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urras\Downloads\"/>
    </mc:Choice>
  </mc:AlternateContent>
  <workbookProtection workbookAlgorithmName="SHA-512" workbookHashValue="JdX7bSkJLuxmGNbgWB2flEaga8dm2qhQ4NfS7mEfH6zvrrQoJsqideTAB7UE6NTd/4YsZmR5XBuCbu1LDTO8tw==" workbookSaltValue="F4bUqwFKIMhppPz1Rn9uLw==" workbookSpinCount="100000" lockStructure="1"/>
  <bookViews>
    <workbookView xWindow="0" yWindow="0" windowWidth="28800" windowHeight="13020" firstSheet="4" activeTab="4"/>
  </bookViews>
  <sheets>
    <sheet name="Other QA scope" sheetId="35" state="hidden" r:id="rId1"/>
    <sheet name="Export" sheetId="33" state="hidden" r:id="rId2"/>
    <sheet name="WS0 - Input data" sheetId="22" state="hidden" r:id="rId3"/>
    <sheet name="Overview" sheetId="16" r:id="rId4"/>
    <sheet name="WS1-Application" sheetId="41" r:id="rId5"/>
    <sheet name="WS2-Proposal" sheetId="13" r:id="rId6"/>
    <sheet name="WS3 - Notional General Income" sheetId="3" r:id="rId7"/>
    <sheet name="WS4 - Yr 1 YIELD" sheetId="4" r:id="rId8"/>
    <sheet name="WS5 - Yrs 2-7 YIELD" sheetId="40" r:id="rId9"/>
    <sheet name="WS6 - PGI summary" sheetId="14" r:id="rId10"/>
    <sheet name="WS7 - Impact on Rates" sheetId="15" r:id="rId11"/>
    <sheet name="WS8 - Expenditure Program" sheetId="18" r:id="rId12"/>
    <sheet name="WS9 - Financials" sheetId="31" r:id="rId13"/>
    <sheet name="WS10 - LTFP" sheetId="21" r:id="rId14"/>
    <sheet name="WS11 - Ratios" sheetId="32" r:id="rId15"/>
    <sheet name="WS12 - Other" sheetId="37" r:id="rId16"/>
  </sheets>
  <definedNames>
    <definedName name="No">'Other QA scope'!$J$101:$J$102</definedName>
    <definedName name="OldNameOfPage_WK0" hidden="1">"WK0 - Input data"</definedName>
    <definedName name="OldNameOfPage_WK1" hidden="1">"WK1 - Identification"</definedName>
    <definedName name="OldNameOfPage_WK2" hidden="1">"WK2 - Notional General Income"</definedName>
    <definedName name="OldNameOfPage_WK3" hidden="1">"WK3 - Notional GI Yr1 YIELD"</definedName>
    <definedName name="OldNameOfPage_WK4" hidden="1">"WK4 - PGI summary"</definedName>
    <definedName name="OldNameOfPage_WK5a" hidden="1">"WK5a - Impact on Rates"</definedName>
    <definedName name="OldNameOfPage_WK5b" hidden="1">"WK5b - Impact on Rates"</definedName>
    <definedName name="OldNameOfPage_WK6" hidden="1">"WK6 - Expenditure Program"</definedName>
    <definedName name="OldNameOfPage_WK7" hidden="1">"WK7 - Long Term Financial Plan"</definedName>
    <definedName name="_xlnm.Print_Area" localSheetId="0">'Other QA scope'!$B$1:$G$130</definedName>
    <definedName name="_xlnm.Print_Area" localSheetId="3">Overview!$B$2:$N$107</definedName>
    <definedName name="_xlnm.Print_Area" localSheetId="13">'WS10 - LTFP'!$A$1:$Y$440</definedName>
    <definedName name="_xlnm.Print_Area" localSheetId="14">'WS11 - Ratios'!$B$1:$T$106</definedName>
    <definedName name="_xlnm.Print_Area" localSheetId="4">'WS1-Application'!$B$1:$N$118</definedName>
    <definedName name="_xlnm.Print_Area" localSheetId="5">'WS2-Proposal'!$B$1:$R$94</definedName>
    <definedName name="_xlnm.Print_Area" localSheetId="6">'WS3 - Notional General Income'!$B$2:$M$166</definedName>
    <definedName name="_xlnm.Print_Area" localSheetId="7">'WS4 - Yr 1 YIELD'!$B$1:$M$167</definedName>
    <definedName name="_xlnm.Print_Area" localSheetId="8">'WS5 - Yrs 2-7 YIELD'!$B$1:$L$173</definedName>
    <definedName name="_xlnm.Print_Area" localSheetId="9">'WS6 - PGI summary'!$B$1:$U$142</definedName>
    <definedName name="_xlnm.Print_Area" localSheetId="10">'WS7 - Impact on Rates'!$B$2:$BB$448</definedName>
    <definedName name="_xlnm.Print_Area" localSheetId="11">'WS8 - Expenditure Program'!$B$2:$U$167</definedName>
    <definedName name="_xlnm.Print_Area" localSheetId="12">'WS9 - Financials'!$A$1:$U$118</definedName>
    <definedName name="VbaUpdate" comment="ExportSheet Aligned To Master@22Mar_16:15">"Latest update for Export sheet: 22Mar1881_161507"</definedName>
    <definedName name="xFormulasToWatchOut">#REF!,#REF!,#REF!,#REF!,#REF!,#REF!,#REF!,#REF!,#REF!,#REF!,#REF!</definedName>
    <definedName name="Year0">'WS0 - Input data'!$D$45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31" i="21" l="1"/>
  <c r="K331" i="21"/>
  <c r="K330" i="21"/>
  <c r="T196" i="21" l="1"/>
  <c r="T195" i="21"/>
  <c r="T194" i="21"/>
  <c r="T193" i="21"/>
  <c r="T175" i="21"/>
  <c r="T179" i="21"/>
  <c r="T178" i="21"/>
  <c r="T177" i="21"/>
  <c r="T176" i="21"/>
  <c r="T174" i="21"/>
  <c r="L160" i="21" l="1"/>
  <c r="L152" i="21"/>
  <c r="M152" i="21"/>
  <c r="K152" i="21"/>
  <c r="T51" i="21" l="1"/>
  <c r="T50" i="21"/>
  <c r="T49" i="21"/>
  <c r="T48" i="21"/>
  <c r="T47" i="21"/>
  <c r="T33" i="21"/>
  <c r="T32" i="21"/>
  <c r="T31" i="21"/>
  <c r="T30" i="21"/>
  <c r="T29" i="21"/>
  <c r="T28" i="21"/>
  <c r="I19" i="31" l="1"/>
  <c r="I22" i="31"/>
  <c r="H22" i="31"/>
  <c r="H19" i="31"/>
  <c r="G22" i="31"/>
  <c r="G19" i="31"/>
  <c r="F22" i="31"/>
  <c r="F19" i="31"/>
  <c r="E19" i="31"/>
  <c r="Q53" i="15" l="1"/>
  <c r="Q52" i="15"/>
  <c r="Q49" i="15"/>
  <c r="Q50" i="15"/>
  <c r="Q51" i="15"/>
  <c r="P53" i="15"/>
  <c r="P52" i="15"/>
  <c r="P51" i="15"/>
  <c r="P50" i="15"/>
  <c r="P49" i="15"/>
  <c r="O53" i="15"/>
  <c r="O52" i="15"/>
  <c r="O51" i="15"/>
  <c r="O50" i="15"/>
  <c r="O49" i="15"/>
  <c r="N53" i="15"/>
  <c r="N52" i="15"/>
  <c r="N51" i="15"/>
  <c r="N50" i="15"/>
  <c r="N49" i="15"/>
  <c r="M53" i="15"/>
  <c r="M52" i="15"/>
  <c r="M51" i="15"/>
  <c r="M50" i="15"/>
  <c r="M49" i="15"/>
  <c r="L53" i="15"/>
  <c r="L52" i="15"/>
  <c r="L51" i="15"/>
  <c r="L50" i="15"/>
  <c r="L49" i="15"/>
  <c r="K53" i="15"/>
  <c r="K52" i="15"/>
  <c r="K51" i="15"/>
  <c r="K50" i="15"/>
  <c r="K49" i="15"/>
  <c r="Q28" i="15"/>
  <c r="P28" i="15"/>
  <c r="O28" i="15"/>
  <c r="N28" i="15"/>
  <c r="M28" i="15"/>
  <c r="L28" i="15"/>
  <c r="K28" i="15"/>
  <c r="AU22" i="40" l="1"/>
  <c r="AT22" i="40"/>
  <c r="AN22" i="40"/>
  <c r="AL22" i="40"/>
  <c r="AK22" i="40"/>
  <c r="AE22" i="40"/>
  <c r="AC22" i="40"/>
  <c r="AB22" i="40"/>
  <c r="V22" i="40"/>
  <c r="T22" i="40"/>
  <c r="S22" i="40"/>
  <c r="M22" i="40"/>
  <c r="H47" i="40" l="1"/>
  <c r="Q47" i="40" s="1"/>
  <c r="Z47" i="40" s="1"/>
  <c r="AI47" i="40" s="1"/>
  <c r="AR47" i="40" s="1"/>
  <c r="BA47" i="40" s="1"/>
  <c r="I42" i="4"/>
  <c r="I46" i="40" s="1"/>
  <c r="K44" i="40"/>
  <c r="T44" i="40" s="1"/>
  <c r="AC44" i="40" s="1"/>
  <c r="AL44" i="40" s="1"/>
  <c r="AU44" i="40" s="1"/>
  <c r="BD44" i="40" s="1"/>
  <c r="K22" i="40"/>
  <c r="J22" i="40"/>
  <c r="D22" i="40"/>
  <c r="K43" i="4"/>
  <c r="K47" i="40" s="1"/>
  <c r="T47" i="40" s="1"/>
  <c r="AC47" i="40" s="1"/>
  <c r="AL47" i="40" s="1"/>
  <c r="J43" i="4"/>
  <c r="J47" i="40" s="1"/>
  <c r="S47" i="40" s="1"/>
  <c r="AB47" i="40" s="1"/>
  <c r="AK47" i="40" s="1"/>
  <c r="I43" i="4"/>
  <c r="I47" i="40" s="1"/>
  <c r="R47" i="40" s="1"/>
  <c r="AA47" i="40" s="1"/>
  <c r="AJ47" i="40" s="1"/>
  <c r="H43" i="4"/>
  <c r="E43" i="4"/>
  <c r="E47" i="40" s="1"/>
  <c r="N47" i="40" s="1"/>
  <c r="W47" i="40" s="1"/>
  <c r="AF47" i="40" s="1"/>
  <c r="AO47" i="40" s="1"/>
  <c r="AX47" i="40" s="1"/>
  <c r="D43" i="4"/>
  <c r="D47" i="40" s="1"/>
  <c r="M47" i="40" s="1"/>
  <c r="V47" i="40" s="1"/>
  <c r="AE47" i="40" s="1"/>
  <c r="J42" i="4"/>
  <c r="J46" i="40" s="1"/>
  <c r="S46" i="40" s="1"/>
  <c r="AB46" i="40" s="1"/>
  <c r="AK46" i="40" s="1"/>
  <c r="H42" i="4"/>
  <c r="H46" i="40" s="1"/>
  <c r="Q46" i="40" s="1"/>
  <c r="Z46" i="40" s="1"/>
  <c r="AI46" i="40" s="1"/>
  <c r="AR46" i="40" s="1"/>
  <c r="BA46" i="40" s="1"/>
  <c r="E42" i="4"/>
  <c r="E46" i="40" s="1"/>
  <c r="N46" i="40" s="1"/>
  <c r="W46" i="40" s="1"/>
  <c r="AF46" i="40" s="1"/>
  <c r="AO46" i="40" s="1"/>
  <c r="AX46" i="40" s="1"/>
  <c r="D42" i="4"/>
  <c r="D46" i="40" s="1"/>
  <c r="M46" i="40" s="1"/>
  <c r="V46" i="40" s="1"/>
  <c r="AE46" i="40" s="1"/>
  <c r="J41" i="4"/>
  <c r="J45" i="40" s="1"/>
  <c r="S45" i="40" s="1"/>
  <c r="AB45" i="40" s="1"/>
  <c r="AK45" i="40" s="1"/>
  <c r="I41" i="4"/>
  <c r="I45" i="40" s="1"/>
  <c r="H41" i="4"/>
  <c r="H45" i="40" s="1"/>
  <c r="Q45" i="40" s="1"/>
  <c r="Z45" i="40" s="1"/>
  <c r="AI45" i="40" s="1"/>
  <c r="AR45" i="40" s="1"/>
  <c r="BA45" i="40" s="1"/>
  <c r="E41" i="4"/>
  <c r="E45" i="40" s="1"/>
  <c r="N45" i="40" s="1"/>
  <c r="W45" i="40" s="1"/>
  <c r="AF45" i="40" s="1"/>
  <c r="AO45" i="40" s="1"/>
  <c r="AX45" i="40" s="1"/>
  <c r="D41" i="4"/>
  <c r="D45" i="40" s="1"/>
  <c r="M45" i="40" s="1"/>
  <c r="V45" i="40" s="1"/>
  <c r="AE45" i="40" s="1"/>
  <c r="K40" i="4"/>
  <c r="J40" i="4"/>
  <c r="J44" i="40" s="1"/>
  <c r="S44" i="40" s="1"/>
  <c r="AB44" i="40" s="1"/>
  <c r="AK44" i="40" s="1"/>
  <c r="AT44" i="40" s="1"/>
  <c r="BC44" i="40" s="1"/>
  <c r="I40" i="4"/>
  <c r="I44" i="40" s="1"/>
  <c r="R44" i="40" s="1"/>
  <c r="AA44" i="40" s="1"/>
  <c r="AJ44" i="40" s="1"/>
  <c r="H40" i="4"/>
  <c r="H44" i="40" s="1"/>
  <c r="Q44" i="40" s="1"/>
  <c r="Z44" i="40" s="1"/>
  <c r="AI44" i="40" s="1"/>
  <c r="AR44" i="40" s="1"/>
  <c r="BA44" i="40" s="1"/>
  <c r="E40" i="4"/>
  <c r="E44" i="40" s="1"/>
  <c r="N44" i="40" s="1"/>
  <c r="W44" i="40" s="1"/>
  <c r="AF44" i="40" s="1"/>
  <c r="AO44" i="40" s="1"/>
  <c r="AX44" i="40" s="1"/>
  <c r="D40" i="4"/>
  <c r="D44" i="40" s="1"/>
  <c r="M44" i="40" s="1"/>
  <c r="V44" i="40" s="1"/>
  <c r="AE44" i="40" s="1"/>
  <c r="K39" i="4"/>
  <c r="K43" i="40" s="1"/>
  <c r="T43" i="40" s="1"/>
  <c r="AC43" i="40" s="1"/>
  <c r="AL43" i="40" s="1"/>
  <c r="J39" i="4"/>
  <c r="J43" i="40" s="1"/>
  <c r="S43" i="40" s="1"/>
  <c r="AB43" i="40" s="1"/>
  <c r="AK43" i="40" s="1"/>
  <c r="I39" i="4"/>
  <c r="I43" i="40" s="1"/>
  <c r="R43" i="40" s="1"/>
  <c r="AA43" i="40" s="1"/>
  <c r="AJ43" i="40" s="1"/>
  <c r="H39" i="4"/>
  <c r="H43" i="40" s="1"/>
  <c r="Q43" i="40" s="1"/>
  <c r="Z43" i="40" s="1"/>
  <c r="AI43" i="40" s="1"/>
  <c r="AR43" i="40" s="1"/>
  <c r="BA43" i="40" s="1"/>
  <c r="E39" i="4"/>
  <c r="E43" i="40" s="1"/>
  <c r="N43" i="40" s="1"/>
  <c r="W43" i="40" s="1"/>
  <c r="AF43" i="40" s="1"/>
  <c r="AO43" i="40" s="1"/>
  <c r="AX43" i="40" s="1"/>
  <c r="D39" i="4"/>
  <c r="D43" i="40" s="1"/>
  <c r="M43" i="40" s="1"/>
  <c r="V43" i="40" s="1"/>
  <c r="AE43" i="40" s="1"/>
  <c r="I18" i="4"/>
  <c r="I22" i="40" s="1"/>
  <c r="R22" i="40" s="1"/>
  <c r="AA22" i="40" s="1"/>
  <c r="AJ22" i="40" s="1"/>
  <c r="AS22" i="40" s="1"/>
  <c r="H18" i="4"/>
  <c r="H22" i="40" s="1"/>
  <c r="Q22" i="40" s="1"/>
  <c r="Z22" i="40" s="1"/>
  <c r="AI22" i="40" s="1"/>
  <c r="AR22" i="40" s="1"/>
  <c r="BA22" i="40" s="1"/>
  <c r="E18" i="4"/>
  <c r="E22" i="40" s="1"/>
  <c r="N22" i="40" s="1"/>
  <c r="W22" i="40" s="1"/>
  <c r="AF22" i="40" s="1"/>
  <c r="AO22" i="40" s="1"/>
  <c r="AX22" i="40" s="1"/>
  <c r="I38" i="31" l="1"/>
  <c r="H38" i="31"/>
  <c r="G38" i="31"/>
  <c r="F35" i="31"/>
  <c r="F38" i="31"/>
  <c r="K239" i="21" l="1"/>
  <c r="L239" i="21"/>
  <c r="M239" i="21"/>
  <c r="N239" i="21"/>
  <c r="O239" i="21"/>
  <c r="P239" i="21"/>
  <c r="Q239" i="21"/>
  <c r="R239" i="21"/>
  <c r="S239" i="21"/>
  <c r="T239" i="21"/>
  <c r="J239" i="21"/>
  <c r="F78" i="37"/>
  <c r="G78" i="37"/>
  <c r="H78" i="37"/>
  <c r="I78" i="37"/>
  <c r="E78" i="37"/>
  <c r="D42" i="14"/>
  <c r="D40" i="14"/>
  <c r="D38" i="14"/>
  <c r="D37" i="14"/>
  <c r="D28" i="14"/>
  <c r="D26" i="14"/>
  <c r="D25" i="14"/>
  <c r="B147" i="4"/>
  <c r="B91" i="4"/>
  <c r="B16" i="4"/>
  <c r="B152" i="40"/>
  <c r="B95" i="40"/>
  <c r="B19" i="40"/>
  <c r="B74" i="32"/>
  <c r="B70" i="32"/>
  <c r="B66" i="32"/>
  <c r="B11" i="32" l="1"/>
  <c r="B10" i="21"/>
  <c r="B12" i="21"/>
  <c r="B11" i="21"/>
  <c r="B56" i="31"/>
  <c r="F336" i="22"/>
  <c r="F331" i="22"/>
  <c r="F330" i="22"/>
  <c r="D331" i="22"/>
  <c r="F308" i="22"/>
  <c r="T93" i="21" l="1"/>
  <c r="S93" i="21"/>
  <c r="R93" i="21"/>
  <c r="Q93" i="21"/>
  <c r="P93" i="21"/>
  <c r="O93" i="21"/>
  <c r="N93" i="21"/>
  <c r="M93" i="21"/>
  <c r="L93" i="21"/>
  <c r="K93" i="21"/>
  <c r="J93" i="21"/>
  <c r="B13" i="32"/>
  <c r="T451" i="33" l="1"/>
  <c r="S451" i="33"/>
  <c r="R451" i="33"/>
  <c r="Q451" i="33"/>
  <c r="P451" i="33"/>
  <c r="O451" i="33"/>
  <c r="N451" i="33"/>
  <c r="M451" i="33"/>
  <c r="L451" i="33"/>
  <c r="K451" i="33"/>
  <c r="J451" i="33"/>
  <c r="J459" i="33"/>
  <c r="K459" i="33"/>
  <c r="L459" i="33"/>
  <c r="M459" i="33"/>
  <c r="N459" i="33"/>
  <c r="O459" i="33"/>
  <c r="P459" i="33"/>
  <c r="Q459" i="33"/>
  <c r="R459" i="33"/>
  <c r="S459" i="33"/>
  <c r="T459" i="33"/>
  <c r="T449" i="33"/>
  <c r="S449" i="33"/>
  <c r="R449" i="33"/>
  <c r="Q449" i="33"/>
  <c r="P449" i="33"/>
  <c r="O449" i="33"/>
  <c r="N449" i="33"/>
  <c r="M449" i="33"/>
  <c r="L449" i="33"/>
  <c r="K449" i="33"/>
  <c r="J449" i="33"/>
  <c r="T448" i="33"/>
  <c r="S448" i="33"/>
  <c r="R448" i="33"/>
  <c r="Q448" i="33"/>
  <c r="P448" i="33"/>
  <c r="O448" i="33"/>
  <c r="N448" i="33"/>
  <c r="M448" i="33"/>
  <c r="L448" i="33"/>
  <c r="K448" i="33"/>
  <c r="J448" i="33"/>
  <c r="T447" i="33"/>
  <c r="S447" i="33"/>
  <c r="R447" i="33"/>
  <c r="Q447" i="33"/>
  <c r="P447" i="33"/>
  <c r="O447" i="33"/>
  <c r="N447" i="33"/>
  <c r="M447" i="33"/>
  <c r="L447" i="33"/>
  <c r="K447" i="33"/>
  <c r="J447" i="33"/>
  <c r="T446" i="33"/>
  <c r="S446" i="33"/>
  <c r="R446" i="33"/>
  <c r="Q446" i="33"/>
  <c r="P446" i="33"/>
  <c r="O446" i="33"/>
  <c r="N446" i="33"/>
  <c r="M446" i="33"/>
  <c r="L446" i="33"/>
  <c r="K446" i="33"/>
  <c r="J446" i="33"/>
  <c r="T445" i="33"/>
  <c r="S445" i="33"/>
  <c r="R445" i="33"/>
  <c r="Q445" i="33"/>
  <c r="P445" i="33"/>
  <c r="O445" i="33"/>
  <c r="N445" i="33"/>
  <c r="M445" i="33"/>
  <c r="L445" i="33"/>
  <c r="K445" i="33"/>
  <c r="J445" i="33"/>
  <c r="T444" i="33"/>
  <c r="S444" i="33"/>
  <c r="R444" i="33"/>
  <c r="Q444" i="33"/>
  <c r="P444" i="33"/>
  <c r="O444" i="33"/>
  <c r="N444" i="33"/>
  <c r="M444" i="33"/>
  <c r="L444" i="33"/>
  <c r="K444" i="33"/>
  <c r="J444" i="33"/>
  <c r="J437" i="33"/>
  <c r="K437" i="33"/>
  <c r="L437" i="33"/>
  <c r="M437" i="33"/>
  <c r="N437" i="33"/>
  <c r="O437" i="33"/>
  <c r="P437" i="33"/>
  <c r="Q437" i="33"/>
  <c r="R437" i="33"/>
  <c r="S437" i="33"/>
  <c r="T437" i="33"/>
  <c r="J438" i="33"/>
  <c r="K438" i="33"/>
  <c r="L438" i="33"/>
  <c r="M438" i="33"/>
  <c r="N438" i="33"/>
  <c r="O438" i="33"/>
  <c r="P438" i="33"/>
  <c r="Q438" i="33"/>
  <c r="R438" i="33"/>
  <c r="S438" i="33"/>
  <c r="T438" i="33"/>
  <c r="J439" i="33"/>
  <c r="K439" i="33"/>
  <c r="L439" i="33"/>
  <c r="M439" i="33"/>
  <c r="N439" i="33"/>
  <c r="O439" i="33"/>
  <c r="P439" i="33"/>
  <c r="Q439" i="33"/>
  <c r="R439" i="33"/>
  <c r="S439" i="33"/>
  <c r="T439" i="33"/>
  <c r="J440" i="33"/>
  <c r="K440" i="33"/>
  <c r="L440" i="33"/>
  <c r="M440" i="33"/>
  <c r="N440" i="33"/>
  <c r="O440" i="33"/>
  <c r="P440" i="33"/>
  <c r="Q440" i="33"/>
  <c r="R440" i="33"/>
  <c r="S440" i="33"/>
  <c r="T440" i="33"/>
  <c r="J443" i="33"/>
  <c r="K443" i="33"/>
  <c r="L443" i="33"/>
  <c r="M443" i="33"/>
  <c r="N443" i="33"/>
  <c r="O443" i="33"/>
  <c r="P443" i="33"/>
  <c r="Q443" i="33"/>
  <c r="R443" i="33"/>
  <c r="S443" i="33"/>
  <c r="T443" i="33"/>
  <c r="T436" i="33"/>
  <c r="S436" i="33"/>
  <c r="R436" i="33"/>
  <c r="Q436" i="33"/>
  <c r="P436" i="33"/>
  <c r="O436" i="33"/>
  <c r="N436" i="33"/>
  <c r="M436" i="33"/>
  <c r="L436" i="33"/>
  <c r="K436" i="33"/>
  <c r="J436" i="33"/>
  <c r="D133" i="14"/>
  <c r="T319" i="21"/>
  <c r="S319" i="21"/>
  <c r="R319" i="21"/>
  <c r="Q319" i="21"/>
  <c r="P319" i="21"/>
  <c r="O319" i="21"/>
  <c r="N319" i="21"/>
  <c r="M319" i="21"/>
  <c r="L319" i="21"/>
  <c r="T318" i="21"/>
  <c r="S318" i="21"/>
  <c r="R318" i="21"/>
  <c r="Q318" i="21"/>
  <c r="P318" i="21"/>
  <c r="O318" i="21"/>
  <c r="N318" i="21"/>
  <c r="M318" i="21"/>
  <c r="L318" i="21"/>
  <c r="K319" i="21"/>
  <c r="K318" i="21"/>
  <c r="B450" i="33" l="1"/>
  <c r="B445" i="33"/>
  <c r="B446" i="33"/>
  <c r="B447" i="33"/>
  <c r="B448" i="33"/>
  <c r="B449" i="33"/>
  <c r="B436" i="33"/>
  <c r="B437" i="33"/>
  <c r="B438" i="33"/>
  <c r="B439" i="33"/>
  <c r="B440" i="33"/>
  <c r="B441" i="33"/>
  <c r="B443" i="33"/>
  <c r="B444" i="33"/>
  <c r="B412" i="33"/>
  <c r="Q430" i="33"/>
  <c r="R430" i="33"/>
  <c r="S430" i="33"/>
  <c r="T430" i="33"/>
  <c r="L430" i="33"/>
  <c r="M430" i="33"/>
  <c r="N430" i="33"/>
  <c r="O430" i="33"/>
  <c r="P430" i="33"/>
  <c r="K430" i="33"/>
  <c r="J430" i="33"/>
  <c r="T428" i="33"/>
  <c r="S428" i="33"/>
  <c r="R428" i="33"/>
  <c r="Q428" i="33"/>
  <c r="P428" i="33"/>
  <c r="O428" i="33"/>
  <c r="N428" i="33"/>
  <c r="M428" i="33"/>
  <c r="L428" i="33"/>
  <c r="K428" i="33"/>
  <c r="J428" i="33"/>
  <c r="J424" i="33"/>
  <c r="K424" i="33"/>
  <c r="L424" i="33"/>
  <c r="M424" i="33"/>
  <c r="N424" i="33"/>
  <c r="O424" i="33"/>
  <c r="P424" i="33"/>
  <c r="Q424" i="33"/>
  <c r="R424" i="33"/>
  <c r="S424" i="33"/>
  <c r="T424" i="33"/>
  <c r="J425" i="33"/>
  <c r="K425" i="33"/>
  <c r="L425" i="33"/>
  <c r="M425" i="33"/>
  <c r="N425" i="33"/>
  <c r="O425" i="33"/>
  <c r="P425" i="33"/>
  <c r="Q425" i="33"/>
  <c r="R425" i="33"/>
  <c r="S425" i="33"/>
  <c r="T425" i="33"/>
  <c r="J426" i="33"/>
  <c r="K426" i="33"/>
  <c r="L426" i="33"/>
  <c r="M426" i="33"/>
  <c r="N426" i="33"/>
  <c r="O426" i="33"/>
  <c r="P426" i="33"/>
  <c r="Q426" i="33"/>
  <c r="R426" i="33"/>
  <c r="S426" i="33"/>
  <c r="T426" i="33"/>
  <c r="J427" i="33"/>
  <c r="K427" i="33"/>
  <c r="L427" i="33"/>
  <c r="M427" i="33"/>
  <c r="N427" i="33"/>
  <c r="O427" i="33"/>
  <c r="P427" i="33"/>
  <c r="Q427" i="33"/>
  <c r="R427" i="33"/>
  <c r="S427" i="33"/>
  <c r="T427" i="33"/>
  <c r="T423" i="33"/>
  <c r="S423" i="33"/>
  <c r="R423" i="33"/>
  <c r="Q423" i="33"/>
  <c r="P423" i="33"/>
  <c r="O423" i="33"/>
  <c r="N423" i="33"/>
  <c r="M423" i="33"/>
  <c r="L423" i="33"/>
  <c r="K423" i="33"/>
  <c r="J423" i="33"/>
  <c r="J416" i="33"/>
  <c r="K416" i="33"/>
  <c r="L416" i="33"/>
  <c r="M416" i="33"/>
  <c r="N416" i="33"/>
  <c r="O416" i="33"/>
  <c r="P416" i="33"/>
  <c r="Q416" i="33"/>
  <c r="R416" i="33"/>
  <c r="S416" i="33"/>
  <c r="T416" i="33"/>
  <c r="J417" i="33"/>
  <c r="K417" i="33"/>
  <c r="L417" i="33"/>
  <c r="M417" i="33"/>
  <c r="N417" i="33"/>
  <c r="O417" i="33"/>
  <c r="P417" i="33"/>
  <c r="Q417" i="33"/>
  <c r="R417" i="33"/>
  <c r="S417" i="33"/>
  <c r="T417" i="33"/>
  <c r="J418" i="33"/>
  <c r="K418" i="33"/>
  <c r="L418" i="33"/>
  <c r="M418" i="33"/>
  <c r="N418" i="33"/>
  <c r="O418" i="33"/>
  <c r="P418" i="33"/>
  <c r="Q418" i="33"/>
  <c r="R418" i="33"/>
  <c r="S418" i="33"/>
  <c r="T418" i="33"/>
  <c r="J419" i="33"/>
  <c r="K419" i="33"/>
  <c r="L419" i="33"/>
  <c r="M419" i="33"/>
  <c r="N419" i="33"/>
  <c r="O419" i="33"/>
  <c r="P419" i="33"/>
  <c r="Q419" i="33"/>
  <c r="R419" i="33"/>
  <c r="S419" i="33"/>
  <c r="T419" i="33"/>
  <c r="J422" i="33"/>
  <c r="K422" i="33"/>
  <c r="L422" i="33"/>
  <c r="M422" i="33"/>
  <c r="N422" i="33"/>
  <c r="O422" i="33"/>
  <c r="P422" i="33"/>
  <c r="Q422" i="33"/>
  <c r="R422" i="33"/>
  <c r="S422" i="33"/>
  <c r="T422" i="33"/>
  <c r="T415" i="33"/>
  <c r="S415" i="33"/>
  <c r="R415" i="33"/>
  <c r="Q415" i="33"/>
  <c r="P415" i="33"/>
  <c r="O415" i="33"/>
  <c r="N415" i="33"/>
  <c r="M415" i="33"/>
  <c r="L415" i="33"/>
  <c r="K415" i="33"/>
  <c r="J415" i="33"/>
  <c r="B415" i="33"/>
  <c r="B416" i="33"/>
  <c r="B417" i="33"/>
  <c r="B418" i="33"/>
  <c r="B419" i="33"/>
  <c r="B420" i="33"/>
  <c r="B421" i="33"/>
  <c r="B422" i="33"/>
  <c r="B423" i="33"/>
  <c r="B424" i="33"/>
  <c r="B425" i="33"/>
  <c r="B426" i="33"/>
  <c r="B427" i="33"/>
  <c r="B428" i="33"/>
  <c r="B429" i="33"/>
  <c r="B430" i="33"/>
  <c r="B431" i="33"/>
  <c r="B414" i="33"/>
  <c r="B413" i="33"/>
  <c r="I71" i="37"/>
  <c r="H71" i="37"/>
  <c r="G71" i="37"/>
  <c r="F71" i="37"/>
  <c r="E71" i="37"/>
  <c r="C89" i="40"/>
  <c r="C88" i="40"/>
  <c r="C87" i="40"/>
  <c r="C86" i="40"/>
  <c r="C85" i="40"/>
  <c r="C84" i="40"/>
  <c r="C83" i="40"/>
  <c r="C82" i="40"/>
  <c r="C81" i="40"/>
  <c r="C78" i="40"/>
  <c r="C77" i="40"/>
  <c r="C76" i="40"/>
  <c r="C75" i="40"/>
  <c r="C74" i="40"/>
  <c r="C73" i="40"/>
  <c r="C72" i="40"/>
  <c r="C71" i="40"/>
  <c r="C70" i="40"/>
  <c r="C67" i="40"/>
  <c r="C66" i="40"/>
  <c r="C65" i="40"/>
  <c r="C64" i="40"/>
  <c r="C63" i="40"/>
  <c r="C62" i="40"/>
  <c r="C61" i="40"/>
  <c r="C60" i="40"/>
  <c r="C59" i="40"/>
  <c r="C58" i="40"/>
  <c r="C57" i="40"/>
  <c r="C56" i="40"/>
  <c r="C55" i="40"/>
  <c r="C54" i="40"/>
  <c r="C53" i="40"/>
  <c r="C52" i="40"/>
  <c r="C51" i="40"/>
  <c r="C50" i="40"/>
  <c r="C49" i="40"/>
  <c r="C48" i="40"/>
  <c r="C47" i="40"/>
  <c r="C46" i="40"/>
  <c r="C45" i="40"/>
  <c r="C44" i="40"/>
  <c r="C41" i="40"/>
  <c r="C40" i="40"/>
  <c r="C39" i="40"/>
  <c r="C38" i="40"/>
  <c r="C37" i="40"/>
  <c r="C36" i="40"/>
  <c r="C35" i="40"/>
  <c r="C34" i="40"/>
  <c r="C33" i="40"/>
  <c r="C32" i="40"/>
  <c r="C31" i="40"/>
  <c r="C30" i="40"/>
  <c r="C29" i="40"/>
  <c r="C28" i="40"/>
  <c r="C27" i="40"/>
  <c r="C26" i="40"/>
  <c r="C25" i="40"/>
  <c r="C24" i="40"/>
  <c r="C23" i="40"/>
  <c r="J159" i="21" l="1"/>
  <c r="K159" i="21"/>
  <c r="L159" i="21"/>
  <c r="M159" i="21"/>
  <c r="N159" i="21"/>
  <c r="O159" i="21"/>
  <c r="O161" i="21" s="1"/>
  <c r="O431" i="33" s="1"/>
  <c r="P159" i="21"/>
  <c r="Q159" i="21"/>
  <c r="R159" i="21"/>
  <c r="S159" i="21"/>
  <c r="T159" i="21"/>
  <c r="T150" i="21"/>
  <c r="T420" i="33" s="1"/>
  <c r="S150" i="21"/>
  <c r="S420" i="33" s="1"/>
  <c r="R150" i="21"/>
  <c r="R420" i="33" s="1"/>
  <c r="Q150" i="21"/>
  <c r="Q420" i="33" s="1"/>
  <c r="P150" i="21"/>
  <c r="P420" i="33" s="1"/>
  <c r="O150" i="21"/>
  <c r="O420" i="33" s="1"/>
  <c r="N150" i="21"/>
  <c r="N420" i="33" s="1"/>
  <c r="M150" i="21"/>
  <c r="M420" i="33" s="1"/>
  <c r="L150" i="21"/>
  <c r="L420" i="33" s="1"/>
  <c r="K150" i="21"/>
  <c r="K420" i="33" s="1"/>
  <c r="J150" i="21"/>
  <c r="J420" i="33" s="1"/>
  <c r="M161" i="21" l="1"/>
  <c r="M431" i="33" s="1"/>
  <c r="N161" i="21"/>
  <c r="N431" i="33" s="1"/>
  <c r="P161" i="21"/>
  <c r="P431" i="33" s="1"/>
  <c r="Q161" i="21"/>
  <c r="Q431" i="33" s="1"/>
  <c r="J161" i="21"/>
  <c r="J431" i="33" s="1"/>
  <c r="R161" i="21"/>
  <c r="R431" i="33" s="1"/>
  <c r="K161" i="21"/>
  <c r="K431" i="33" s="1"/>
  <c r="S161" i="21"/>
  <c r="S431" i="33" s="1"/>
  <c r="L161" i="21"/>
  <c r="L431" i="33" s="1"/>
  <c r="T161" i="21"/>
  <c r="T431" i="33" s="1"/>
  <c r="T305" i="21"/>
  <c r="T450" i="33" s="1"/>
  <c r="S305" i="21"/>
  <c r="S450" i="33" s="1"/>
  <c r="R305" i="21"/>
  <c r="Q305" i="21"/>
  <c r="P305" i="21"/>
  <c r="O305" i="21"/>
  <c r="N305" i="21"/>
  <c r="M305" i="21"/>
  <c r="M450" i="33" s="1"/>
  <c r="L305" i="21"/>
  <c r="K305" i="21"/>
  <c r="K450" i="33" s="1"/>
  <c r="J305" i="21"/>
  <c r="T296" i="21"/>
  <c r="T441" i="33" s="1"/>
  <c r="S296" i="21"/>
  <c r="S441" i="33" s="1"/>
  <c r="R296" i="21"/>
  <c r="R441" i="33" s="1"/>
  <c r="Q296" i="21"/>
  <c r="Q441" i="33" s="1"/>
  <c r="P296" i="21"/>
  <c r="P441" i="33" s="1"/>
  <c r="O296" i="21"/>
  <c r="O441" i="33" s="1"/>
  <c r="N296" i="21"/>
  <c r="N441" i="33" s="1"/>
  <c r="M296" i="21"/>
  <c r="M441" i="33" s="1"/>
  <c r="L296" i="21"/>
  <c r="L441" i="33" s="1"/>
  <c r="K296" i="21"/>
  <c r="K441" i="33" s="1"/>
  <c r="J296" i="21"/>
  <c r="J441" i="33" s="1"/>
  <c r="O307" i="21" l="1"/>
  <c r="O452" i="33" s="1"/>
  <c r="O450" i="33"/>
  <c r="J307" i="21"/>
  <c r="J452" i="33" s="1"/>
  <c r="J450" i="33"/>
  <c r="R307" i="21"/>
  <c r="R452" i="33" s="1"/>
  <c r="R450" i="33"/>
  <c r="P307" i="21"/>
  <c r="P452" i="33" s="1"/>
  <c r="P450" i="33"/>
  <c r="Q307" i="21"/>
  <c r="Q452" i="33" s="1"/>
  <c r="Q450" i="33"/>
  <c r="L307" i="21"/>
  <c r="L452" i="33" s="1"/>
  <c r="L450" i="33"/>
  <c r="N307" i="21"/>
  <c r="N452" i="33" s="1"/>
  <c r="N450" i="33"/>
  <c r="K307" i="21"/>
  <c r="K452" i="33" s="1"/>
  <c r="S307" i="21"/>
  <c r="S452" i="33" s="1"/>
  <c r="T307" i="21"/>
  <c r="T452" i="33" s="1"/>
  <c r="M307" i="21"/>
  <c r="M452" i="33" s="1"/>
  <c r="B12" i="41" l="1"/>
  <c r="I105" i="41"/>
  <c r="I104" i="41"/>
  <c r="I103" i="41"/>
  <c r="I102" i="41"/>
  <c r="B20" i="16"/>
  <c r="B12" i="37"/>
  <c r="E42" i="32"/>
  <c r="E62" i="32"/>
  <c r="B50" i="32"/>
  <c r="B48" i="32"/>
  <c r="B73" i="32" l="1"/>
  <c r="B69" i="32"/>
  <c r="B65" i="32"/>
  <c r="X372" i="21"/>
  <c r="X370" i="21"/>
  <c r="X366" i="21"/>
  <c r="X355" i="21"/>
  <c r="X353" i="21"/>
  <c r="X351" i="21"/>
  <c r="X347" i="21"/>
  <c r="K313" i="21"/>
  <c r="B318" i="21"/>
  <c r="T277" i="21"/>
  <c r="S277" i="21"/>
  <c r="R277" i="21"/>
  <c r="Q277" i="21"/>
  <c r="P277" i="21"/>
  <c r="O277" i="21"/>
  <c r="N277" i="21"/>
  <c r="M277" i="21"/>
  <c r="L277" i="21"/>
  <c r="K277" i="21"/>
  <c r="J277" i="21"/>
  <c r="B265" i="21"/>
  <c r="B266" i="21"/>
  <c r="B264" i="21"/>
  <c r="T261" i="21"/>
  <c r="S261" i="21"/>
  <c r="R261" i="21"/>
  <c r="Q261" i="21"/>
  <c r="P261" i="21"/>
  <c r="O261" i="21"/>
  <c r="N261" i="21"/>
  <c r="M261" i="21"/>
  <c r="L261" i="21"/>
  <c r="K261" i="21"/>
  <c r="J261" i="21"/>
  <c r="B255" i="21"/>
  <c r="B246" i="21"/>
  <c r="B245" i="21"/>
  <c r="T131" i="21"/>
  <c r="S131" i="21"/>
  <c r="R131" i="21"/>
  <c r="Q131" i="21"/>
  <c r="P131" i="21"/>
  <c r="O131" i="21"/>
  <c r="N131" i="21"/>
  <c r="M131" i="21"/>
  <c r="L131" i="21"/>
  <c r="K131" i="21"/>
  <c r="J131" i="21"/>
  <c r="T115" i="21"/>
  <c r="S115" i="21"/>
  <c r="R115" i="21"/>
  <c r="Q115" i="21"/>
  <c r="P115" i="21"/>
  <c r="O115" i="21"/>
  <c r="N115" i="21"/>
  <c r="M115" i="21"/>
  <c r="L115" i="21"/>
  <c r="K115" i="21"/>
  <c r="J115" i="21"/>
  <c r="B221" i="21"/>
  <c r="B167" i="21"/>
  <c r="B75" i="21"/>
  <c r="B21" i="21"/>
  <c r="B100" i="31"/>
  <c r="I109" i="31"/>
  <c r="I108" i="31"/>
  <c r="B45" i="14" l="1"/>
  <c r="B45" i="13"/>
  <c r="B29" i="13"/>
  <c r="B28" i="13"/>
  <c r="B27" i="13"/>
  <c r="B22" i="13"/>
  <c r="B10" i="13"/>
  <c r="B83" i="16"/>
  <c r="D107" i="14" l="1"/>
  <c r="D77" i="33" s="1"/>
  <c r="B77" i="33"/>
  <c r="B107" i="14"/>
  <c r="B40" i="41"/>
  <c r="X345" i="33" l="1"/>
  <c r="U217" i="21" l="1"/>
  <c r="T217" i="21"/>
  <c r="S217" i="21"/>
  <c r="R217" i="21"/>
  <c r="Q217" i="21"/>
  <c r="P217" i="21"/>
  <c r="O217" i="21"/>
  <c r="N217" i="21"/>
  <c r="M217" i="21"/>
  <c r="L217" i="21"/>
  <c r="T216" i="21"/>
  <c r="S216" i="21"/>
  <c r="R216" i="21"/>
  <c r="Q216" i="21"/>
  <c r="P216" i="21"/>
  <c r="O216" i="21"/>
  <c r="N216" i="21"/>
  <c r="M216" i="21"/>
  <c r="L216" i="21"/>
  <c r="K217" i="21"/>
  <c r="K216" i="21"/>
  <c r="T71" i="21"/>
  <c r="S71" i="21"/>
  <c r="R71" i="21"/>
  <c r="Q71" i="21"/>
  <c r="P71" i="21"/>
  <c r="O71" i="21"/>
  <c r="N71" i="21"/>
  <c r="M71" i="21"/>
  <c r="L71" i="21"/>
  <c r="T70" i="21"/>
  <c r="S70" i="21"/>
  <c r="R70" i="21"/>
  <c r="Q70" i="21"/>
  <c r="P70" i="21"/>
  <c r="O70" i="21"/>
  <c r="N70" i="21"/>
  <c r="M70" i="21"/>
  <c r="L70" i="21"/>
  <c r="K71" i="21"/>
  <c r="K70" i="21"/>
  <c r="V79" i="40"/>
  <c r="AB79" i="40"/>
  <c r="B50" i="16"/>
  <c r="B49" i="16"/>
  <c r="J41" i="41"/>
  <c r="K334" i="21"/>
  <c r="J107" i="41" s="1"/>
  <c r="K388" i="21"/>
  <c r="J108" i="41" s="1"/>
  <c r="M146" i="18"/>
  <c r="J93" i="41" s="1"/>
  <c r="M35" i="18"/>
  <c r="J91" i="41" s="1"/>
  <c r="M74" i="18"/>
  <c r="J92" i="41" s="1"/>
  <c r="J106" i="41"/>
  <c r="K75" i="21"/>
  <c r="J103" i="41" s="1"/>
  <c r="K21" i="21"/>
  <c r="J102" i="41" s="1"/>
  <c r="J111" i="41"/>
  <c r="J110" i="41"/>
  <c r="B34" i="13"/>
  <c r="B36" i="41"/>
  <c r="B33" i="13"/>
  <c r="J46" i="41"/>
  <c r="B32" i="13"/>
  <c r="I46" i="41"/>
  <c r="L63" i="13"/>
  <c r="L61" i="13"/>
  <c r="L59" i="13"/>
  <c r="L58" i="13"/>
  <c r="O61" i="13"/>
  <c r="L57" i="13"/>
  <c r="D54" i="13"/>
  <c r="E6" i="33" l="1"/>
  <c r="B6" i="33" l="1"/>
  <c r="B18" i="41" l="1"/>
  <c r="I116" i="41" l="1"/>
  <c r="I115" i="41"/>
  <c r="I114" i="41"/>
  <c r="I112" i="41"/>
  <c r="I111" i="41"/>
  <c r="I110" i="41"/>
  <c r="B334" i="21"/>
  <c r="I108" i="41"/>
  <c r="I107" i="41"/>
  <c r="I106" i="41"/>
  <c r="B388" i="21"/>
  <c r="B313" i="21"/>
  <c r="B15" i="21"/>
  <c r="I100" i="41"/>
  <c r="I99" i="41"/>
  <c r="I98" i="41"/>
  <c r="I97" i="41"/>
  <c r="I96" i="41"/>
  <c r="I92" i="41"/>
  <c r="I93" i="41"/>
  <c r="I91" i="41"/>
  <c r="I94" i="41"/>
  <c r="I90" i="41"/>
  <c r="I80" i="41"/>
  <c r="I79" i="41"/>
  <c r="I78" i="41"/>
  <c r="B11" i="15"/>
  <c r="B10" i="40"/>
  <c r="I88" i="41"/>
  <c r="I83" i="41"/>
  <c r="I84" i="41"/>
  <c r="I85" i="41"/>
  <c r="I86" i="41"/>
  <c r="I87" i="41"/>
  <c r="I82" i="41"/>
  <c r="B106" i="41" l="1"/>
  <c r="B771" i="33"/>
  <c r="B2" i="41"/>
  <c r="K40" i="14" l="1"/>
  <c r="J34" i="14"/>
  <c r="K28" i="14"/>
  <c r="K31" i="14" s="1"/>
  <c r="B25" i="15"/>
  <c r="B82" i="41" s="1"/>
  <c r="I76" i="41"/>
  <c r="I72" i="41"/>
  <c r="I73" i="41"/>
  <c r="I74" i="41"/>
  <c r="I75" i="41"/>
  <c r="I71" i="41"/>
  <c r="I69" i="41"/>
  <c r="I68" i="41"/>
  <c r="I67" i="41"/>
  <c r="I66" i="41"/>
  <c r="I65" i="41"/>
  <c r="I64" i="41"/>
  <c r="I62" i="41"/>
  <c r="I61" i="41"/>
  <c r="I60" i="41"/>
  <c r="I59" i="41"/>
  <c r="I58" i="41"/>
  <c r="I57" i="41"/>
  <c r="B11" i="40"/>
  <c r="I54" i="41"/>
  <c r="I53" i="41"/>
  <c r="I52" i="41"/>
  <c r="I50" i="41"/>
  <c r="I49" i="41"/>
  <c r="I48" i="41"/>
  <c r="B50" i="41"/>
  <c r="B49" i="41"/>
  <c r="B48" i="41"/>
  <c r="B9" i="41"/>
  <c r="I45" i="41"/>
  <c r="I43" i="41"/>
  <c r="K30" i="14" l="1"/>
  <c r="K34" i="14" s="1"/>
  <c r="K42" i="14" s="1"/>
  <c r="B2" i="13"/>
  <c r="B4" i="41"/>
  <c r="B42" i="41" s="1"/>
  <c r="B4" i="13"/>
  <c r="B44" i="41" s="1"/>
  <c r="A40" i="41"/>
  <c r="B108" i="41" l="1"/>
  <c r="B105" i="41"/>
  <c r="B107" i="41"/>
  <c r="B104" i="41"/>
  <c r="B25" i="18"/>
  <c r="B90" i="41" s="1"/>
  <c r="B22" i="41"/>
  <c r="B43" i="41" s="1"/>
  <c r="B4" i="37"/>
  <c r="B113" i="41" s="1"/>
  <c r="B4" i="32"/>
  <c r="B11" i="37"/>
  <c r="B90" i="37"/>
  <c r="B116" i="41" s="1"/>
  <c r="B607" i="33" l="1"/>
  <c r="B456" i="33"/>
  <c r="B109" i="41"/>
  <c r="I62" i="37"/>
  <c r="H62" i="37"/>
  <c r="G62" i="37"/>
  <c r="F62" i="37"/>
  <c r="E62" i="37"/>
  <c r="I48" i="37"/>
  <c r="H48" i="37"/>
  <c r="G48" i="37"/>
  <c r="F48" i="37"/>
  <c r="E48" i="37"/>
  <c r="I41" i="37"/>
  <c r="H41" i="37"/>
  <c r="G41" i="37"/>
  <c r="F41" i="37"/>
  <c r="E41" i="37"/>
  <c r="B38" i="37"/>
  <c r="B39" i="37"/>
  <c r="B40" i="37"/>
  <c r="B37" i="37"/>
  <c r="I33" i="37"/>
  <c r="H33" i="37"/>
  <c r="G33" i="37"/>
  <c r="F33" i="37"/>
  <c r="E33" i="37"/>
  <c r="B30" i="37"/>
  <c r="B45" i="37" s="1"/>
  <c r="B59" i="37" s="1"/>
  <c r="B68" i="37" s="1"/>
  <c r="B75" i="37" s="1"/>
  <c r="B31" i="37"/>
  <c r="B46" i="37" s="1"/>
  <c r="B60" i="37" s="1"/>
  <c r="B69" i="37" s="1"/>
  <c r="B76" i="37" s="1"/>
  <c r="B32" i="37"/>
  <c r="B47" i="37" s="1"/>
  <c r="B61" i="37" s="1"/>
  <c r="B70" i="37" s="1"/>
  <c r="B77" i="37" s="1"/>
  <c r="B29" i="37"/>
  <c r="B44" i="37" s="1"/>
  <c r="B58" i="37" s="1"/>
  <c r="B67" i="37" s="1"/>
  <c r="B74" i="37" s="1"/>
  <c r="I26" i="37"/>
  <c r="H26" i="37"/>
  <c r="G26" i="37"/>
  <c r="F26" i="37"/>
  <c r="E26" i="37"/>
  <c r="B82" i="37"/>
  <c r="B115" i="41" s="1"/>
  <c r="B16" i="37"/>
  <c r="B114" i="41" s="1"/>
  <c r="B78" i="32"/>
  <c r="B112" i="41" s="1"/>
  <c r="B62" i="32"/>
  <c r="B111" i="41" s="1"/>
  <c r="B42" i="32"/>
  <c r="B8" i="21"/>
  <c r="T423" i="21"/>
  <c r="S423" i="21"/>
  <c r="R423" i="21"/>
  <c r="Q423" i="21"/>
  <c r="P423" i="21"/>
  <c r="O423" i="21"/>
  <c r="N423" i="21"/>
  <c r="M423" i="21"/>
  <c r="L423" i="21"/>
  <c r="K423" i="21"/>
  <c r="T422" i="21"/>
  <c r="S422" i="21"/>
  <c r="R422" i="21"/>
  <c r="Q422" i="21"/>
  <c r="P422" i="21"/>
  <c r="O422" i="21"/>
  <c r="N422" i="21"/>
  <c r="M422" i="21"/>
  <c r="L422" i="21"/>
  <c r="K422" i="21"/>
  <c r="T421" i="21"/>
  <c r="S421" i="21"/>
  <c r="R421" i="21"/>
  <c r="Q421" i="21"/>
  <c r="P421" i="21"/>
  <c r="O421" i="21"/>
  <c r="N421" i="21"/>
  <c r="M421" i="21"/>
  <c r="L421" i="21"/>
  <c r="K421" i="21"/>
  <c r="J423" i="21"/>
  <c r="J422" i="21"/>
  <c r="J421" i="21"/>
  <c r="T419" i="21"/>
  <c r="S419" i="21"/>
  <c r="R419" i="21"/>
  <c r="Q419" i="21"/>
  <c r="P419" i="21"/>
  <c r="O419" i="21"/>
  <c r="N419" i="21"/>
  <c r="M419" i="21"/>
  <c r="L419" i="21"/>
  <c r="K419" i="21"/>
  <c r="T418" i="21"/>
  <c r="S418" i="21"/>
  <c r="R418" i="21"/>
  <c r="Q418" i="21"/>
  <c r="P418" i="21"/>
  <c r="O418" i="21"/>
  <c r="N418" i="21"/>
  <c r="M418" i="21"/>
  <c r="L418" i="21"/>
  <c r="K418" i="21"/>
  <c r="T417" i="21"/>
  <c r="S417" i="21"/>
  <c r="R417" i="21"/>
  <c r="Q417" i="21"/>
  <c r="P417" i="21"/>
  <c r="O417" i="21"/>
  <c r="N417" i="21"/>
  <c r="M417" i="21"/>
  <c r="L417" i="21"/>
  <c r="K417" i="21"/>
  <c r="T416" i="21"/>
  <c r="S416" i="21"/>
  <c r="R416" i="21"/>
  <c r="Q416" i="21"/>
  <c r="P416" i="21"/>
  <c r="O416" i="21"/>
  <c r="N416" i="21"/>
  <c r="M416" i="21"/>
  <c r="L416" i="21"/>
  <c r="K416" i="21"/>
  <c r="T415" i="21"/>
  <c r="S415" i="21"/>
  <c r="R415" i="21"/>
  <c r="Q415" i="21"/>
  <c r="P415" i="21"/>
  <c r="O415" i="21"/>
  <c r="N415" i="21"/>
  <c r="M415" i="21"/>
  <c r="L415" i="21"/>
  <c r="K415" i="21"/>
  <c r="T414" i="21"/>
  <c r="S414" i="21"/>
  <c r="R414" i="21"/>
  <c r="Q414" i="21"/>
  <c r="P414" i="21"/>
  <c r="O414" i="21"/>
  <c r="N414" i="21"/>
  <c r="M414" i="21"/>
  <c r="L414" i="21"/>
  <c r="K414" i="21"/>
  <c r="J415" i="21"/>
  <c r="J416" i="21"/>
  <c r="J417" i="21"/>
  <c r="J418" i="21"/>
  <c r="J419" i="21"/>
  <c r="J414" i="21"/>
  <c r="T404" i="21"/>
  <c r="S404" i="21"/>
  <c r="R404" i="21"/>
  <c r="Q404" i="21"/>
  <c r="P404" i="21"/>
  <c r="O404" i="21"/>
  <c r="N404" i="21"/>
  <c r="M404" i="21"/>
  <c r="L404" i="21"/>
  <c r="K404" i="21"/>
  <c r="T403" i="21"/>
  <c r="S403" i="21"/>
  <c r="R403" i="21"/>
  <c r="Q403" i="21"/>
  <c r="P403" i="21"/>
  <c r="O403" i="21"/>
  <c r="N403" i="21"/>
  <c r="M403" i="21"/>
  <c r="L403" i="21"/>
  <c r="K403" i="21"/>
  <c r="T402" i="21"/>
  <c r="S402" i="21"/>
  <c r="R402" i="21"/>
  <c r="Q402" i="21"/>
  <c r="P402" i="21"/>
  <c r="O402" i="21"/>
  <c r="N402" i="21"/>
  <c r="M402" i="21"/>
  <c r="L402" i="21"/>
  <c r="K402" i="21"/>
  <c r="J404" i="21"/>
  <c r="J403" i="21"/>
  <c r="J402" i="21"/>
  <c r="T400" i="21"/>
  <c r="S400" i="21"/>
  <c r="R400" i="21"/>
  <c r="Q400" i="21"/>
  <c r="P400" i="21"/>
  <c r="O400" i="21"/>
  <c r="N400" i="21"/>
  <c r="M400" i="21"/>
  <c r="L400" i="21"/>
  <c r="K400" i="21"/>
  <c r="T399" i="21"/>
  <c r="S399" i="21"/>
  <c r="R399" i="21"/>
  <c r="Q399" i="21"/>
  <c r="P399" i="21"/>
  <c r="O399" i="21"/>
  <c r="N399" i="21"/>
  <c r="M399" i="21"/>
  <c r="L399" i="21"/>
  <c r="K399" i="21"/>
  <c r="T398" i="21"/>
  <c r="S398" i="21"/>
  <c r="R398" i="21"/>
  <c r="Q398" i="21"/>
  <c r="P398" i="21"/>
  <c r="O398" i="21"/>
  <c r="N398" i="21"/>
  <c r="M398" i="21"/>
  <c r="L398" i="21"/>
  <c r="K398" i="21"/>
  <c r="T397" i="21"/>
  <c r="S397" i="21"/>
  <c r="R397" i="21"/>
  <c r="Q397" i="21"/>
  <c r="P397" i="21"/>
  <c r="O397" i="21"/>
  <c r="N397" i="21"/>
  <c r="M397" i="21"/>
  <c r="L397" i="21"/>
  <c r="K397" i="21"/>
  <c r="T396" i="21"/>
  <c r="S396" i="21"/>
  <c r="R396" i="21"/>
  <c r="Q396" i="21"/>
  <c r="P396" i="21"/>
  <c r="O396" i="21"/>
  <c r="N396" i="21"/>
  <c r="M396" i="21"/>
  <c r="L396" i="21"/>
  <c r="K396" i="21"/>
  <c r="T395" i="21"/>
  <c r="S395" i="21"/>
  <c r="R395" i="21"/>
  <c r="Q395" i="21"/>
  <c r="P395" i="21"/>
  <c r="O395" i="21"/>
  <c r="N395" i="21"/>
  <c r="M395" i="21"/>
  <c r="L395" i="21"/>
  <c r="K395" i="21"/>
  <c r="T394" i="21"/>
  <c r="S394" i="21"/>
  <c r="R394" i="21"/>
  <c r="Q394" i="21"/>
  <c r="P394" i="21"/>
  <c r="O394" i="21"/>
  <c r="N394" i="21"/>
  <c r="M394" i="21"/>
  <c r="L394" i="21"/>
  <c r="K394" i="21"/>
  <c r="T393" i="21"/>
  <c r="S393" i="21"/>
  <c r="R393" i="21"/>
  <c r="Q393" i="21"/>
  <c r="P393" i="21"/>
  <c r="O393" i="21"/>
  <c r="N393" i="21"/>
  <c r="M393" i="21"/>
  <c r="L393" i="21"/>
  <c r="K393" i="21"/>
  <c r="J394" i="21"/>
  <c r="J395" i="21"/>
  <c r="J396" i="21"/>
  <c r="J397" i="21"/>
  <c r="J398" i="21"/>
  <c r="J399" i="21"/>
  <c r="J400" i="21"/>
  <c r="J393" i="21"/>
  <c r="J369" i="21"/>
  <c r="K369" i="21"/>
  <c r="L369" i="21"/>
  <c r="M369" i="21"/>
  <c r="N369" i="21"/>
  <c r="O369" i="21"/>
  <c r="P369" i="21"/>
  <c r="Q369" i="21"/>
  <c r="R369" i="21"/>
  <c r="S369" i="21"/>
  <c r="T369" i="21"/>
  <c r="J368" i="21"/>
  <c r="K368" i="21"/>
  <c r="L368" i="21"/>
  <c r="M368" i="21"/>
  <c r="N368" i="21"/>
  <c r="O368" i="21"/>
  <c r="P368" i="21"/>
  <c r="Q368" i="21"/>
  <c r="R368" i="21"/>
  <c r="S368" i="21"/>
  <c r="T368" i="21"/>
  <c r="T367" i="21"/>
  <c r="S367" i="21"/>
  <c r="R367" i="21"/>
  <c r="Q367" i="21"/>
  <c r="P367" i="21"/>
  <c r="O367" i="21"/>
  <c r="N367" i="21"/>
  <c r="M367" i="21"/>
  <c r="L367" i="21"/>
  <c r="K367" i="21"/>
  <c r="J367" i="21"/>
  <c r="T365" i="21"/>
  <c r="S365" i="21"/>
  <c r="R365" i="21"/>
  <c r="Q365" i="21"/>
  <c r="P365" i="21"/>
  <c r="O365" i="21"/>
  <c r="N365" i="21"/>
  <c r="M365" i="21"/>
  <c r="L365" i="21"/>
  <c r="K365" i="21"/>
  <c r="T364" i="21"/>
  <c r="S364" i="21"/>
  <c r="R364" i="21"/>
  <c r="Q364" i="21"/>
  <c r="P364" i="21"/>
  <c r="O364" i="21"/>
  <c r="N364" i="21"/>
  <c r="M364" i="21"/>
  <c r="L364" i="21"/>
  <c r="K364" i="21"/>
  <c r="T363" i="21"/>
  <c r="S363" i="21"/>
  <c r="R363" i="21"/>
  <c r="Q363" i="21"/>
  <c r="P363" i="21"/>
  <c r="O363" i="21"/>
  <c r="N363" i="21"/>
  <c r="M363" i="21"/>
  <c r="L363" i="21"/>
  <c r="K363" i="21"/>
  <c r="T362" i="21"/>
  <c r="S362" i="21"/>
  <c r="R362" i="21"/>
  <c r="Q362" i="21"/>
  <c r="P362" i="21"/>
  <c r="O362" i="21"/>
  <c r="N362" i="21"/>
  <c r="M362" i="21"/>
  <c r="L362" i="21"/>
  <c r="K362" i="21"/>
  <c r="T361" i="21"/>
  <c r="S361" i="21"/>
  <c r="R361" i="21"/>
  <c r="Q361" i="21"/>
  <c r="P361" i="21"/>
  <c r="O361" i="21"/>
  <c r="N361" i="21"/>
  <c r="M361" i="21"/>
  <c r="L361" i="21"/>
  <c r="K361" i="21"/>
  <c r="T360" i="21"/>
  <c r="S360" i="21"/>
  <c r="R360" i="21"/>
  <c r="Q360" i="21"/>
  <c r="P360" i="21"/>
  <c r="O360" i="21"/>
  <c r="N360" i="21"/>
  <c r="M360" i="21"/>
  <c r="L360" i="21"/>
  <c r="K360" i="21"/>
  <c r="J361" i="21"/>
  <c r="J362" i="21"/>
  <c r="J363" i="21"/>
  <c r="J364" i="21"/>
  <c r="J365" i="21"/>
  <c r="J360" i="21"/>
  <c r="T350" i="21"/>
  <c r="S350" i="21"/>
  <c r="R350" i="21"/>
  <c r="Q350" i="21"/>
  <c r="P350" i="21"/>
  <c r="O350" i="21"/>
  <c r="N350" i="21"/>
  <c r="M350" i="21"/>
  <c r="L350" i="21"/>
  <c r="K350" i="21"/>
  <c r="T349" i="21"/>
  <c r="S349" i="21"/>
  <c r="R349" i="21"/>
  <c r="Q349" i="21"/>
  <c r="P349" i="21"/>
  <c r="O349" i="21"/>
  <c r="N349" i="21"/>
  <c r="M349" i="21"/>
  <c r="L349" i="21"/>
  <c r="K349" i="21"/>
  <c r="T348" i="21"/>
  <c r="S348" i="21"/>
  <c r="R348" i="21"/>
  <c r="Q348" i="21"/>
  <c r="P348" i="21"/>
  <c r="O348" i="21"/>
  <c r="N348" i="21"/>
  <c r="M348" i="21"/>
  <c r="L348" i="21"/>
  <c r="K348" i="21"/>
  <c r="J350" i="21"/>
  <c r="J349" i="21"/>
  <c r="J348" i="21"/>
  <c r="T346" i="21"/>
  <c r="S346" i="21"/>
  <c r="R346" i="21"/>
  <c r="Q346" i="21"/>
  <c r="P346" i="21"/>
  <c r="O346" i="21"/>
  <c r="N346" i="21"/>
  <c r="M346" i="21"/>
  <c r="L346" i="21"/>
  <c r="K346" i="21"/>
  <c r="T345" i="21"/>
  <c r="S345" i="21"/>
  <c r="R345" i="21"/>
  <c r="Q345" i="21"/>
  <c r="P345" i="21"/>
  <c r="O345" i="21"/>
  <c r="N345" i="21"/>
  <c r="M345" i="21"/>
  <c r="L345" i="21"/>
  <c r="K345" i="21"/>
  <c r="T344" i="21"/>
  <c r="S344" i="21"/>
  <c r="R344" i="21"/>
  <c r="Q344" i="21"/>
  <c r="P344" i="21"/>
  <c r="O344" i="21"/>
  <c r="N344" i="21"/>
  <c r="M344" i="21"/>
  <c r="L344" i="21"/>
  <c r="K344" i="21"/>
  <c r="T343" i="21"/>
  <c r="S343" i="21"/>
  <c r="R343" i="21"/>
  <c r="Q343" i="21"/>
  <c r="P343" i="21"/>
  <c r="O343" i="21"/>
  <c r="N343" i="21"/>
  <c r="M343" i="21"/>
  <c r="L343" i="21"/>
  <c r="K343" i="21"/>
  <c r="T342" i="21"/>
  <c r="S342" i="21"/>
  <c r="R342" i="21"/>
  <c r="Q342" i="21"/>
  <c r="P342" i="21"/>
  <c r="O342" i="21"/>
  <c r="N342" i="21"/>
  <c r="M342" i="21"/>
  <c r="L342" i="21"/>
  <c r="K342" i="21"/>
  <c r="T341" i="21"/>
  <c r="S341" i="21"/>
  <c r="R341" i="21"/>
  <c r="Q341" i="21"/>
  <c r="P341" i="21"/>
  <c r="O341" i="21"/>
  <c r="N341" i="21"/>
  <c r="M341" i="21"/>
  <c r="L341" i="21"/>
  <c r="K341" i="21"/>
  <c r="J341" i="21"/>
  <c r="J342" i="21"/>
  <c r="J343" i="21"/>
  <c r="J344" i="21"/>
  <c r="J345" i="21"/>
  <c r="J346" i="21"/>
  <c r="T340" i="21"/>
  <c r="S340" i="21"/>
  <c r="R340" i="21"/>
  <c r="Q340" i="21"/>
  <c r="P340" i="21"/>
  <c r="O340" i="21"/>
  <c r="N340" i="21"/>
  <c r="M340" i="21"/>
  <c r="L340" i="21"/>
  <c r="K340" i="21"/>
  <c r="J340" i="21"/>
  <c r="T339" i="21"/>
  <c r="S339" i="21"/>
  <c r="R339" i="21"/>
  <c r="Q339" i="21"/>
  <c r="P339" i="21"/>
  <c r="O339" i="21"/>
  <c r="N339" i="21"/>
  <c r="M339" i="21"/>
  <c r="L339" i="21"/>
  <c r="K339" i="21"/>
  <c r="J339" i="21"/>
  <c r="B103" i="41"/>
  <c r="B102" i="41"/>
  <c r="Q384" i="21" l="1"/>
  <c r="S384" i="21"/>
  <c r="N384" i="21"/>
  <c r="M384" i="21"/>
  <c r="R384" i="21"/>
  <c r="K384" i="21"/>
  <c r="L384" i="21"/>
  <c r="T384" i="21"/>
  <c r="O384" i="21"/>
  <c r="P384" i="21"/>
  <c r="R383" i="21"/>
  <c r="K383" i="21"/>
  <c r="S383" i="21"/>
  <c r="L383" i="21"/>
  <c r="U383" i="21"/>
  <c r="T383" i="21"/>
  <c r="M383" i="21"/>
  <c r="N383" i="21"/>
  <c r="O383" i="21"/>
  <c r="P383" i="21"/>
  <c r="Q383" i="21"/>
  <c r="B462" i="33"/>
  <c r="B110" i="41"/>
  <c r="F34" i="37"/>
  <c r="H34" i="37"/>
  <c r="I34" i="37"/>
  <c r="E34" i="37"/>
  <c r="G34" i="37"/>
  <c r="Q371" i="21"/>
  <c r="Q373" i="21" s="1"/>
  <c r="W349" i="21"/>
  <c r="X349" i="21" s="1"/>
  <c r="W368" i="21"/>
  <c r="X368" i="21" s="1"/>
  <c r="W364" i="21"/>
  <c r="X364" i="21" s="1"/>
  <c r="J352" i="21"/>
  <c r="R352" i="21"/>
  <c r="U350" i="21"/>
  <c r="K371" i="21"/>
  <c r="K373" i="21" s="1"/>
  <c r="S371" i="21"/>
  <c r="W340" i="21"/>
  <c r="X340" i="21" s="1"/>
  <c r="W341" i="21"/>
  <c r="X341" i="21" s="1"/>
  <c r="W342" i="21"/>
  <c r="X342" i="21" s="1"/>
  <c r="W350" i="21"/>
  <c r="X350" i="21" s="1"/>
  <c r="W369" i="21"/>
  <c r="X369" i="21" s="1"/>
  <c r="S352" i="21"/>
  <c r="U364" i="21"/>
  <c r="L352" i="21"/>
  <c r="T352" i="21"/>
  <c r="W343" i="21"/>
  <c r="X343" i="21" s="1"/>
  <c r="U349" i="21"/>
  <c r="L371" i="21"/>
  <c r="T371" i="21"/>
  <c r="T373" i="21" s="1"/>
  <c r="U344" i="21"/>
  <c r="M371" i="21"/>
  <c r="U361" i="21"/>
  <c r="U365" i="21"/>
  <c r="U369" i="21"/>
  <c r="K352" i="21"/>
  <c r="M352" i="21"/>
  <c r="U339" i="21"/>
  <c r="W344" i="21"/>
  <c r="X344" i="21" s="1"/>
  <c r="U348" i="21"/>
  <c r="N371" i="21"/>
  <c r="W361" i="21"/>
  <c r="X361" i="21" s="1"/>
  <c r="R371" i="21"/>
  <c r="W365" i="21"/>
  <c r="X365" i="21" s="1"/>
  <c r="U343" i="21"/>
  <c r="O352" i="21"/>
  <c r="U340" i="21"/>
  <c r="U341" i="21"/>
  <c r="U345" i="21"/>
  <c r="W348" i="21"/>
  <c r="X348" i="21" s="1"/>
  <c r="W345" i="21"/>
  <c r="X345" i="21" s="1"/>
  <c r="W363" i="21"/>
  <c r="X363" i="21" s="1"/>
  <c r="P371" i="21"/>
  <c r="U362" i="21"/>
  <c r="W362" i="21"/>
  <c r="X362" i="21" s="1"/>
  <c r="U367" i="21"/>
  <c r="U368" i="21"/>
  <c r="P352" i="21"/>
  <c r="Q352" i="21"/>
  <c r="W346" i="21"/>
  <c r="X346" i="21" s="1"/>
  <c r="U342" i="21"/>
  <c r="U346" i="21"/>
  <c r="O371" i="21"/>
  <c r="U363" i="21"/>
  <c r="W367" i="21"/>
  <c r="X367" i="21" s="1"/>
  <c r="N352" i="21"/>
  <c r="J371" i="21"/>
  <c r="W360" i="21"/>
  <c r="X360" i="21" s="1"/>
  <c r="U360" i="21"/>
  <c r="W339" i="21"/>
  <c r="X339" i="21" s="1"/>
  <c r="U384" i="21" l="1"/>
  <c r="U352" i="21"/>
  <c r="W371" i="21"/>
  <c r="X371" i="21" s="1"/>
  <c r="P377" i="21"/>
  <c r="L377" i="21"/>
  <c r="J377" i="21"/>
  <c r="R373" i="21"/>
  <c r="W352" i="21"/>
  <c r="X352" i="21" s="1"/>
  <c r="T377" i="21"/>
  <c r="N377" i="21"/>
  <c r="O373" i="21"/>
  <c r="M377" i="21"/>
  <c r="L373" i="21"/>
  <c r="S377" i="21"/>
  <c r="M373" i="21"/>
  <c r="N373" i="21"/>
  <c r="K377" i="21"/>
  <c r="S373" i="21"/>
  <c r="Q377" i="21"/>
  <c r="O377" i="21"/>
  <c r="P373" i="21"/>
  <c r="R377" i="21"/>
  <c r="U371" i="21"/>
  <c r="J373" i="21"/>
  <c r="U373" i="21" l="1"/>
  <c r="U377" i="21"/>
  <c r="W377" i="21"/>
  <c r="X377" i="21" s="1"/>
  <c r="W373" i="21"/>
  <c r="X373" i="21" s="1"/>
  <c r="B4" i="21" l="1"/>
  <c r="B101" i="41" s="1"/>
  <c r="A56" i="31"/>
  <c r="A65" i="31" s="1"/>
  <c r="B15" i="31"/>
  <c r="B96" i="41" s="1"/>
  <c r="B4" i="31"/>
  <c r="B95" i="41" s="1"/>
  <c r="D29" i="18"/>
  <c r="D69" i="18" s="1"/>
  <c r="A35" i="18"/>
  <c r="B4" i="18"/>
  <c r="A98" i="15"/>
  <c r="B13" i="15" s="1"/>
  <c r="B4" i="15"/>
  <c r="B81" i="41" s="1"/>
  <c r="B55" i="14"/>
  <c r="B78" i="41" s="1"/>
  <c r="D57" i="14"/>
  <c r="D58" i="14" s="1"/>
  <c r="A78" i="14"/>
  <c r="B78" i="14" s="1"/>
  <c r="B79" i="41" s="1"/>
  <c r="B98" i="15" l="1"/>
  <c r="B83" i="41" s="1"/>
  <c r="B89" i="41"/>
  <c r="B631" i="33"/>
  <c r="D149" i="18"/>
  <c r="D157" i="18"/>
  <c r="A74" i="18"/>
  <c r="B74" i="18" s="1"/>
  <c r="B92" i="41" s="1"/>
  <c r="B35" i="18"/>
  <c r="B91" i="41" s="1"/>
  <c r="D150" i="18"/>
  <c r="D158" i="18"/>
  <c r="D151" i="18"/>
  <c r="D166" i="18"/>
  <c r="D152" i="18"/>
  <c r="D167" i="18"/>
  <c r="D153" i="18"/>
  <c r="D154" i="18"/>
  <c r="D156" i="18"/>
  <c r="D155" i="18"/>
  <c r="A222" i="15"/>
  <c r="B14" i="15" s="1"/>
  <c r="A75" i="31"/>
  <c r="B65" i="31"/>
  <c r="B98" i="41" s="1"/>
  <c r="B97" i="41"/>
  <c r="A146" i="18"/>
  <c r="B146" i="18" s="1"/>
  <c r="B93" i="41" s="1"/>
  <c r="D84" i="18"/>
  <c r="D92" i="18"/>
  <c r="D100" i="18"/>
  <c r="D108" i="18"/>
  <c r="D112" i="18"/>
  <c r="D125" i="18"/>
  <c r="D133" i="18"/>
  <c r="D141" i="18"/>
  <c r="D85" i="18"/>
  <c r="D93" i="18"/>
  <c r="D101" i="18"/>
  <c r="D119" i="18"/>
  <c r="D111" i="18"/>
  <c r="D126" i="18"/>
  <c r="D134" i="18"/>
  <c r="D86" i="18"/>
  <c r="D127" i="18"/>
  <c r="D79" i="18"/>
  <c r="D88" i="18"/>
  <c r="D116" i="18"/>
  <c r="D137" i="18"/>
  <c r="D118" i="18"/>
  <c r="D95" i="18"/>
  <c r="D117" i="18"/>
  <c r="D109" i="18"/>
  <c r="D136" i="18"/>
  <c r="D96" i="18"/>
  <c r="D121" i="18"/>
  <c r="D81" i="18"/>
  <c r="D89" i="18"/>
  <c r="D97" i="18"/>
  <c r="D105" i="18"/>
  <c r="D115" i="18"/>
  <c r="D122" i="18"/>
  <c r="D130" i="18"/>
  <c r="D138" i="18"/>
  <c r="D78" i="18"/>
  <c r="D102" i="18"/>
  <c r="D135" i="18"/>
  <c r="D87" i="18"/>
  <c r="D103" i="18"/>
  <c r="D128" i="18"/>
  <c r="D82" i="18"/>
  <c r="D90" i="18"/>
  <c r="D98" i="18"/>
  <c r="D106" i="18"/>
  <c r="D114" i="18"/>
  <c r="D123" i="18"/>
  <c r="D131" i="18"/>
  <c r="D139" i="18"/>
  <c r="D94" i="18"/>
  <c r="D110" i="18"/>
  <c r="D80" i="18"/>
  <c r="D104" i="18"/>
  <c r="D129" i="18"/>
  <c r="D83" i="18"/>
  <c r="D91" i="18"/>
  <c r="D99" i="18"/>
  <c r="D107" i="18"/>
  <c r="D113" i="18"/>
  <c r="D124" i="18"/>
  <c r="D132" i="18"/>
  <c r="D140" i="18"/>
  <c r="D49" i="18"/>
  <c r="D32" i="18"/>
  <c r="D47" i="18"/>
  <c r="D62" i="18"/>
  <c r="D41" i="18"/>
  <c r="D39" i="18"/>
  <c r="D63" i="18"/>
  <c r="D64" i="18"/>
  <c r="D52" i="18"/>
  <c r="D44" i="18"/>
  <c r="D57" i="18"/>
  <c r="D65" i="18"/>
  <c r="D68" i="18"/>
  <c r="D46" i="18"/>
  <c r="D53" i="18"/>
  <c r="D56" i="18"/>
  <c r="D51" i="18"/>
  <c r="D43" i="18"/>
  <c r="D58" i="18"/>
  <c r="D66" i="18"/>
  <c r="D60" i="18"/>
  <c r="D55" i="18"/>
  <c r="D45" i="18"/>
  <c r="D50" i="18"/>
  <c r="D42" i="18"/>
  <c r="D59" i="18"/>
  <c r="D67" i="18"/>
  <c r="D48" i="18"/>
  <c r="D40" i="18"/>
  <c r="D61" i="18"/>
  <c r="A114" i="14"/>
  <c r="B114" i="14" s="1"/>
  <c r="B80" i="41" s="1"/>
  <c r="D59" i="14"/>
  <c r="D74" i="14" s="1"/>
  <c r="B8" i="18" l="1"/>
  <c r="B222" i="15"/>
  <c r="B84" i="41" s="1"/>
  <c r="A346" i="15"/>
  <c r="B346" i="15" s="1"/>
  <c r="B85" i="41" s="1"/>
  <c r="D71" i="14"/>
  <c r="D72" i="14" s="1"/>
  <c r="D70" i="14"/>
  <c r="A163" i="18"/>
  <c r="B163" i="18" s="1"/>
  <c r="B94" i="41" s="1"/>
  <c r="B75" i="31"/>
  <c r="B99" i="41" s="1"/>
  <c r="A100" i="31"/>
  <c r="B100" i="41" s="1"/>
  <c r="A378" i="15" l="1"/>
  <c r="B378" i="15" s="1"/>
  <c r="B86" i="41" s="1"/>
  <c r="A95" i="40"/>
  <c r="A152" i="40" s="1"/>
  <c r="B19" i="3"/>
  <c r="B52" i="41"/>
  <c r="A91" i="4"/>
  <c r="B53" i="41" s="1"/>
  <c r="A94" i="3"/>
  <c r="B94" i="3" s="1"/>
  <c r="A404" i="15" l="1"/>
  <c r="A430" i="15" s="1"/>
  <c r="B430" i="15" s="1"/>
  <c r="B88" i="41" s="1"/>
  <c r="B404" i="15"/>
  <c r="B87" i="41" s="1"/>
  <c r="A147" i="4"/>
  <c r="B54" i="41" s="1"/>
  <c r="A150" i="3"/>
  <c r="B150" i="3" s="1"/>
  <c r="BE162" i="40"/>
  <c r="BE161" i="40"/>
  <c r="BE160" i="40"/>
  <c r="BE159" i="40"/>
  <c r="BE158" i="40"/>
  <c r="BE157" i="40"/>
  <c r="BE156" i="40"/>
  <c r="BE155" i="40"/>
  <c r="AV162" i="40"/>
  <c r="AV161" i="40"/>
  <c r="AV160" i="40"/>
  <c r="AV159" i="40"/>
  <c r="AV158" i="40"/>
  <c r="AV157" i="40"/>
  <c r="AV156" i="40"/>
  <c r="AV155" i="40"/>
  <c r="AM162" i="40"/>
  <c r="AM161" i="40"/>
  <c r="AM160" i="40"/>
  <c r="AM159" i="40"/>
  <c r="AM158" i="40"/>
  <c r="AM157" i="40"/>
  <c r="AM156" i="40"/>
  <c r="AM155" i="40"/>
  <c r="AD162" i="40"/>
  <c r="AD161" i="40"/>
  <c r="AD160" i="40"/>
  <c r="AD159" i="40"/>
  <c r="AD158" i="40"/>
  <c r="AD157" i="40"/>
  <c r="AD156" i="40"/>
  <c r="AD155" i="40"/>
  <c r="U162" i="40"/>
  <c r="U161" i="40"/>
  <c r="U160" i="40"/>
  <c r="U159" i="40"/>
  <c r="U158" i="40"/>
  <c r="U157" i="40"/>
  <c r="U156" i="40"/>
  <c r="U155" i="40"/>
  <c r="BE163" i="40" l="1"/>
  <c r="AV163" i="40"/>
  <c r="AM163" i="40"/>
  <c r="AD163" i="40"/>
  <c r="U163" i="40"/>
  <c r="BE147" i="40"/>
  <c r="AZ147" i="40"/>
  <c r="BE146" i="40"/>
  <c r="AZ146" i="40"/>
  <c r="BE145" i="40"/>
  <c r="AZ145" i="40"/>
  <c r="BE144" i="40"/>
  <c r="AZ144" i="40"/>
  <c r="BE143" i="40"/>
  <c r="AZ143" i="40"/>
  <c r="BE142" i="40"/>
  <c r="AZ142" i="40"/>
  <c r="BE141" i="40"/>
  <c r="AZ141" i="40"/>
  <c r="BE140" i="40"/>
  <c r="AZ140" i="40"/>
  <c r="BE139" i="40"/>
  <c r="AZ139" i="40"/>
  <c r="BE138" i="40"/>
  <c r="AZ138" i="40"/>
  <c r="BE137" i="40"/>
  <c r="AZ137" i="40"/>
  <c r="BE136" i="40"/>
  <c r="AZ136" i="40"/>
  <c r="BE135" i="40"/>
  <c r="AZ135" i="40"/>
  <c r="BE134" i="40"/>
  <c r="AZ134" i="40"/>
  <c r="BE133" i="40"/>
  <c r="AZ133" i="40"/>
  <c r="BE132" i="40"/>
  <c r="AZ132" i="40"/>
  <c r="BE131" i="40"/>
  <c r="AZ131" i="40"/>
  <c r="BE130" i="40"/>
  <c r="AZ130" i="40"/>
  <c r="BE129" i="40"/>
  <c r="AZ129" i="40"/>
  <c r="BE128" i="40"/>
  <c r="AZ128" i="40"/>
  <c r="BE127" i="40"/>
  <c r="AZ127" i="40"/>
  <c r="BE126" i="40"/>
  <c r="AZ126" i="40"/>
  <c r="BE125" i="40"/>
  <c r="AZ125" i="40"/>
  <c r="BE124" i="40"/>
  <c r="AZ124" i="40"/>
  <c r="BE123" i="40"/>
  <c r="AZ123" i="40"/>
  <c r="BE122" i="40"/>
  <c r="AZ122" i="40"/>
  <c r="BE121" i="40"/>
  <c r="AZ121" i="40"/>
  <c r="BE120" i="40"/>
  <c r="AZ120" i="40"/>
  <c r="BE119" i="40"/>
  <c r="AZ119" i="40"/>
  <c r="BE118" i="40"/>
  <c r="AZ118" i="40"/>
  <c r="BE117" i="40"/>
  <c r="AZ117" i="40"/>
  <c r="BE116" i="40"/>
  <c r="AZ116" i="40"/>
  <c r="BE115" i="40"/>
  <c r="AZ115" i="40"/>
  <c r="BE114" i="40"/>
  <c r="AZ114" i="40"/>
  <c r="BE113" i="40"/>
  <c r="AZ113" i="40"/>
  <c r="BE112" i="40"/>
  <c r="AZ112" i="40"/>
  <c r="BE111" i="40"/>
  <c r="AZ111" i="40"/>
  <c r="BE110" i="40"/>
  <c r="AZ110" i="40"/>
  <c r="BE109" i="40"/>
  <c r="AZ109" i="40"/>
  <c r="BE108" i="40"/>
  <c r="AZ108" i="40" s="1"/>
  <c r="BE107" i="40"/>
  <c r="AZ107" i="40"/>
  <c r="BE106" i="40"/>
  <c r="AZ106" i="40"/>
  <c r="BE105" i="40"/>
  <c r="AZ105" i="40"/>
  <c r="BE104" i="40"/>
  <c r="AZ104" i="40"/>
  <c r="BE103" i="40"/>
  <c r="AZ103" i="40"/>
  <c r="BE102" i="40"/>
  <c r="AZ102" i="40"/>
  <c r="BE101" i="40"/>
  <c r="AZ101" i="40"/>
  <c r="BE100" i="40"/>
  <c r="AZ100" i="40"/>
  <c r="BE99" i="40"/>
  <c r="AZ99" i="40"/>
  <c r="BE98" i="40"/>
  <c r="AV147" i="40"/>
  <c r="AQ147" i="40"/>
  <c r="AV146" i="40"/>
  <c r="AQ146" i="40"/>
  <c r="AV145" i="40"/>
  <c r="AQ145" i="40"/>
  <c r="AV144" i="40"/>
  <c r="AQ144" i="40"/>
  <c r="AV143" i="40"/>
  <c r="AQ143" i="40"/>
  <c r="AV142" i="40"/>
  <c r="AQ142" i="40"/>
  <c r="AV141" i="40"/>
  <c r="AQ141" i="40"/>
  <c r="AV140" i="40"/>
  <c r="AQ140" i="40"/>
  <c r="AV139" i="40"/>
  <c r="AQ139" i="40"/>
  <c r="AV138" i="40"/>
  <c r="AQ138" i="40"/>
  <c r="AV137" i="40"/>
  <c r="AQ137" i="40"/>
  <c r="AV136" i="40"/>
  <c r="AQ136" i="40"/>
  <c r="AV135" i="40"/>
  <c r="AQ135" i="40"/>
  <c r="AV134" i="40"/>
  <c r="AQ134" i="40"/>
  <c r="AV133" i="40"/>
  <c r="AQ133" i="40"/>
  <c r="AV132" i="40"/>
  <c r="AQ132" i="40"/>
  <c r="AV131" i="40"/>
  <c r="AQ131" i="40"/>
  <c r="AV130" i="40"/>
  <c r="AQ130" i="40"/>
  <c r="AV129" i="40"/>
  <c r="AQ129" i="40"/>
  <c r="AV128" i="40"/>
  <c r="AQ128" i="40"/>
  <c r="AV127" i="40"/>
  <c r="AQ127" i="40"/>
  <c r="AV126" i="40"/>
  <c r="AQ126" i="40"/>
  <c r="AV125" i="40"/>
  <c r="AQ125" i="40"/>
  <c r="AV124" i="40"/>
  <c r="AQ124" i="40"/>
  <c r="AV123" i="40"/>
  <c r="AQ123" i="40"/>
  <c r="AV122" i="40"/>
  <c r="AQ122" i="40"/>
  <c r="AV121" i="40"/>
  <c r="AQ121" i="40"/>
  <c r="AV120" i="40"/>
  <c r="AQ120" i="40"/>
  <c r="AV119" i="40"/>
  <c r="AQ119" i="40"/>
  <c r="AV118" i="40"/>
  <c r="AQ118" i="40"/>
  <c r="AV117" i="40"/>
  <c r="AQ117" i="40"/>
  <c r="AV116" i="40"/>
  <c r="AQ116" i="40"/>
  <c r="AV115" i="40"/>
  <c r="AQ115" i="40"/>
  <c r="AV114" i="40"/>
  <c r="AQ114" i="40"/>
  <c r="AV113" i="40"/>
  <c r="AQ113" i="40"/>
  <c r="AV112" i="40"/>
  <c r="AQ112" i="40"/>
  <c r="AV111" i="40"/>
  <c r="AQ111" i="40"/>
  <c r="AV110" i="40"/>
  <c r="AQ110" i="40"/>
  <c r="AV109" i="40"/>
  <c r="AQ109" i="40"/>
  <c r="AV108" i="40"/>
  <c r="AQ108" i="40" s="1"/>
  <c r="AV107" i="40"/>
  <c r="AQ107" i="40"/>
  <c r="AV106" i="40"/>
  <c r="AQ106" i="40"/>
  <c r="AV105" i="40"/>
  <c r="AQ105" i="40"/>
  <c r="AV104" i="40"/>
  <c r="AQ104" i="40"/>
  <c r="AV103" i="40"/>
  <c r="AQ103" i="40"/>
  <c r="AV102" i="40"/>
  <c r="AQ102" i="40"/>
  <c r="AV101" i="40"/>
  <c r="AQ101" i="40"/>
  <c r="AV100" i="40"/>
  <c r="AQ100" i="40"/>
  <c r="AV99" i="40"/>
  <c r="AQ99" i="40"/>
  <c r="AV98" i="40"/>
  <c r="AM147" i="40"/>
  <c r="AH147" i="40"/>
  <c r="AM146" i="40"/>
  <c r="AH146" i="40"/>
  <c r="AM145" i="40"/>
  <c r="AH145" i="40"/>
  <c r="AM144" i="40"/>
  <c r="AH144" i="40"/>
  <c r="AM143" i="40"/>
  <c r="AH143" i="40"/>
  <c r="AM142" i="40"/>
  <c r="AH142" i="40"/>
  <c r="AM141" i="40"/>
  <c r="AH141" i="40"/>
  <c r="AM140" i="40"/>
  <c r="AH140" i="40"/>
  <c r="AM139" i="40"/>
  <c r="AH139" i="40"/>
  <c r="AM138" i="40"/>
  <c r="AH138" i="40"/>
  <c r="AM137" i="40"/>
  <c r="AH137" i="40"/>
  <c r="AM136" i="40"/>
  <c r="AH136" i="40"/>
  <c r="AM135" i="40"/>
  <c r="AH135" i="40"/>
  <c r="AM134" i="40"/>
  <c r="AH134" i="40"/>
  <c r="AM133" i="40"/>
  <c r="AH133" i="40"/>
  <c r="AM132" i="40"/>
  <c r="AH132" i="40"/>
  <c r="AM131" i="40"/>
  <c r="AH131" i="40"/>
  <c r="AM130" i="40"/>
  <c r="AH130" i="40"/>
  <c r="AM129" i="40"/>
  <c r="AH129" i="40"/>
  <c r="AM128" i="40"/>
  <c r="AH128" i="40"/>
  <c r="AM127" i="40"/>
  <c r="AH127" i="40"/>
  <c r="AM126" i="40"/>
  <c r="AH126" i="40"/>
  <c r="AM125" i="40"/>
  <c r="AH125" i="40"/>
  <c r="AM124" i="40"/>
  <c r="AH124" i="40"/>
  <c r="AM123" i="40"/>
  <c r="AH123" i="40"/>
  <c r="AM122" i="40"/>
  <c r="AH122" i="40"/>
  <c r="AM121" i="40"/>
  <c r="AH121" i="40"/>
  <c r="AM120" i="40"/>
  <c r="AH120" i="40"/>
  <c r="AM119" i="40"/>
  <c r="AH119" i="40"/>
  <c r="AM118" i="40"/>
  <c r="AH118" i="40"/>
  <c r="AM117" i="40"/>
  <c r="AH117" i="40"/>
  <c r="AM116" i="40"/>
  <c r="AH116" i="40"/>
  <c r="AM115" i="40"/>
  <c r="AH115" i="40"/>
  <c r="AM114" i="40"/>
  <c r="AH114" i="40"/>
  <c r="AM113" i="40"/>
  <c r="AH113" i="40"/>
  <c r="AM112" i="40"/>
  <c r="AH112" i="40"/>
  <c r="AM111" i="40"/>
  <c r="AH111" i="40"/>
  <c r="AM110" i="40"/>
  <c r="AH110" i="40"/>
  <c r="AM109" i="40"/>
  <c r="AH109" i="40"/>
  <c r="AM108" i="40"/>
  <c r="AH108" i="40" s="1"/>
  <c r="AM107" i="40"/>
  <c r="AH107" i="40"/>
  <c r="AM106" i="40"/>
  <c r="AH106" i="40"/>
  <c r="AM105" i="40"/>
  <c r="AH105" i="40"/>
  <c r="AM104" i="40"/>
  <c r="AH104" i="40"/>
  <c r="AM103" i="40"/>
  <c r="AH103" i="40"/>
  <c r="AM102" i="40"/>
  <c r="AH102" i="40"/>
  <c r="AM101" i="40"/>
  <c r="AH101" i="40"/>
  <c r="AM100" i="40"/>
  <c r="AH100" i="40"/>
  <c r="AM99" i="40"/>
  <c r="AH99" i="40"/>
  <c r="AM98" i="40"/>
  <c r="AD147" i="40"/>
  <c r="Y147" i="40"/>
  <c r="AD146" i="40"/>
  <c r="Y146" i="40"/>
  <c r="AD145" i="40"/>
  <c r="Y145" i="40"/>
  <c r="AD144" i="40"/>
  <c r="Y144" i="40"/>
  <c r="AD143" i="40"/>
  <c r="Y143" i="40"/>
  <c r="AD142" i="40"/>
  <c r="Y142" i="40"/>
  <c r="AD141" i="40"/>
  <c r="Y141" i="40"/>
  <c r="AD140" i="40"/>
  <c r="Y140" i="40"/>
  <c r="AD139" i="40"/>
  <c r="Y139" i="40"/>
  <c r="AD138" i="40"/>
  <c r="Y138" i="40"/>
  <c r="AD137" i="40"/>
  <c r="Y137" i="40"/>
  <c r="AD136" i="40"/>
  <c r="Y136" i="40"/>
  <c r="AD135" i="40"/>
  <c r="Y135" i="40"/>
  <c r="AD134" i="40"/>
  <c r="Y134" i="40"/>
  <c r="AD133" i="40"/>
  <c r="Y133" i="40"/>
  <c r="AD132" i="40"/>
  <c r="Y132" i="40"/>
  <c r="AD131" i="40"/>
  <c r="Y131" i="40"/>
  <c r="AD130" i="40"/>
  <c r="Y130" i="40"/>
  <c r="AD129" i="40"/>
  <c r="Y129" i="40"/>
  <c r="AD128" i="40"/>
  <c r="Y128" i="40"/>
  <c r="AD127" i="40"/>
  <c r="Y127" i="40"/>
  <c r="AD126" i="40"/>
  <c r="Y126" i="40"/>
  <c r="AD125" i="40"/>
  <c r="Y125" i="40"/>
  <c r="AD124" i="40"/>
  <c r="Y124" i="40"/>
  <c r="AD123" i="40"/>
  <c r="Y123" i="40"/>
  <c r="AD122" i="40"/>
  <c r="Y122" i="40"/>
  <c r="AD121" i="40"/>
  <c r="Y121" i="40"/>
  <c r="AD120" i="40"/>
  <c r="Y120" i="40"/>
  <c r="AD119" i="40"/>
  <c r="Y119" i="40"/>
  <c r="AD118" i="40"/>
  <c r="Y118" i="40"/>
  <c r="AD117" i="40"/>
  <c r="Y117" i="40"/>
  <c r="AD116" i="40"/>
  <c r="Y116" i="40"/>
  <c r="AD115" i="40"/>
  <c r="Y115" i="40"/>
  <c r="AD114" i="40"/>
  <c r="Y114" i="40"/>
  <c r="AD113" i="40"/>
  <c r="Y113" i="40"/>
  <c r="AD112" i="40"/>
  <c r="Y112" i="40"/>
  <c r="AD111" i="40"/>
  <c r="Y111" i="40"/>
  <c r="AD110" i="40"/>
  <c r="Y110" i="40"/>
  <c r="AD109" i="40"/>
  <c r="Y109" i="40"/>
  <c r="AD108" i="40"/>
  <c r="Y108" i="40" s="1"/>
  <c r="AD107" i="40"/>
  <c r="Y107" i="40"/>
  <c r="AD106" i="40"/>
  <c r="Y106" i="40"/>
  <c r="AD105" i="40"/>
  <c r="Y105" i="40"/>
  <c r="AD104" i="40"/>
  <c r="Y104" i="40"/>
  <c r="AD103" i="40"/>
  <c r="Y103" i="40"/>
  <c r="AD102" i="40"/>
  <c r="Y102" i="40"/>
  <c r="AD101" i="40"/>
  <c r="Y101" i="40"/>
  <c r="AD100" i="40"/>
  <c r="Y100" i="40"/>
  <c r="AD99" i="40"/>
  <c r="Y99" i="40"/>
  <c r="AD98" i="40"/>
  <c r="Y98" i="40" s="1"/>
  <c r="U147" i="40"/>
  <c r="P147" i="40"/>
  <c r="U146" i="40"/>
  <c r="P146" i="40"/>
  <c r="U145" i="40"/>
  <c r="P145" i="40"/>
  <c r="U144" i="40"/>
  <c r="P144" i="40"/>
  <c r="U143" i="40"/>
  <c r="P143" i="40"/>
  <c r="U142" i="40"/>
  <c r="P142" i="40"/>
  <c r="U141" i="40"/>
  <c r="P141" i="40"/>
  <c r="U140" i="40"/>
  <c r="P140" i="40"/>
  <c r="U139" i="40"/>
  <c r="P139" i="40"/>
  <c r="U138" i="40"/>
  <c r="P138" i="40"/>
  <c r="U137" i="40"/>
  <c r="P137" i="40"/>
  <c r="U136" i="40"/>
  <c r="P136" i="40"/>
  <c r="U135" i="40"/>
  <c r="P135" i="40"/>
  <c r="U134" i="40"/>
  <c r="P134" i="40"/>
  <c r="U133" i="40"/>
  <c r="P133" i="40"/>
  <c r="U132" i="40"/>
  <c r="P132" i="40"/>
  <c r="U131" i="40"/>
  <c r="P131" i="40"/>
  <c r="U130" i="40"/>
  <c r="P130" i="40"/>
  <c r="U129" i="40"/>
  <c r="P129" i="40"/>
  <c r="U128" i="40"/>
  <c r="P128" i="40"/>
  <c r="U127" i="40"/>
  <c r="P127" i="40"/>
  <c r="U126" i="40"/>
  <c r="P126" i="40"/>
  <c r="U125" i="40"/>
  <c r="P125" i="40"/>
  <c r="U124" i="40"/>
  <c r="P124" i="40"/>
  <c r="U123" i="40"/>
  <c r="P123" i="40"/>
  <c r="U122" i="40"/>
  <c r="P122" i="40"/>
  <c r="U121" i="40"/>
  <c r="P121" i="40"/>
  <c r="U120" i="40"/>
  <c r="P120" i="40"/>
  <c r="U119" i="40"/>
  <c r="P119" i="40"/>
  <c r="U118" i="40"/>
  <c r="P118" i="40"/>
  <c r="U117" i="40"/>
  <c r="P117" i="40"/>
  <c r="U116" i="40"/>
  <c r="P116" i="40"/>
  <c r="U115" i="40"/>
  <c r="P115" i="40"/>
  <c r="U114" i="40"/>
  <c r="P114" i="40"/>
  <c r="U113" i="40"/>
  <c r="P113" i="40"/>
  <c r="U112" i="40"/>
  <c r="P112" i="40"/>
  <c r="U111" i="40"/>
  <c r="P111" i="40"/>
  <c r="U110" i="40"/>
  <c r="P110" i="40"/>
  <c r="U109" i="40"/>
  <c r="P109" i="40"/>
  <c r="U108" i="40"/>
  <c r="P108" i="40" s="1"/>
  <c r="U107" i="40"/>
  <c r="P107" i="40"/>
  <c r="U106" i="40"/>
  <c r="P106" i="40"/>
  <c r="U105" i="40"/>
  <c r="P105" i="40"/>
  <c r="U104" i="40"/>
  <c r="P104" i="40"/>
  <c r="U103" i="40"/>
  <c r="P103" i="40"/>
  <c r="U102" i="40"/>
  <c r="P102" i="40"/>
  <c r="U101" i="40"/>
  <c r="P101" i="40"/>
  <c r="U100" i="40"/>
  <c r="P100" i="40"/>
  <c r="U99" i="40"/>
  <c r="P99" i="40"/>
  <c r="U98" i="40"/>
  <c r="BD90" i="40"/>
  <c r="BC90" i="40"/>
  <c r="BB90" i="40"/>
  <c r="AW90" i="40"/>
  <c r="BE89" i="40"/>
  <c r="AZ89" i="40"/>
  <c r="BE88" i="40"/>
  <c r="AZ88" i="40"/>
  <c r="BE87" i="40"/>
  <c r="AZ87" i="40"/>
  <c r="BE86" i="40"/>
  <c r="AZ86" i="40"/>
  <c r="BE85" i="40"/>
  <c r="AZ85" i="40"/>
  <c r="BE84" i="40"/>
  <c r="AZ84" i="40"/>
  <c r="BE83" i="40"/>
  <c r="AZ83" i="40"/>
  <c r="BE82" i="40"/>
  <c r="AZ82" i="40"/>
  <c r="BE81" i="40"/>
  <c r="AZ81" i="40"/>
  <c r="BE80" i="40"/>
  <c r="AZ80" i="40"/>
  <c r="BD79" i="40"/>
  <c r="BC79" i="40"/>
  <c r="BB79" i="40"/>
  <c r="BA79" i="40"/>
  <c r="AZ78" i="40"/>
  <c r="AZ77" i="40"/>
  <c r="AZ76" i="40"/>
  <c r="AZ75" i="40"/>
  <c r="AZ74" i="40"/>
  <c r="AZ73" i="40"/>
  <c r="BE72" i="40"/>
  <c r="AZ72" i="40"/>
  <c r="BE71" i="40"/>
  <c r="AZ71" i="40"/>
  <c r="BE70" i="40"/>
  <c r="AZ70" i="40"/>
  <c r="BE69" i="40"/>
  <c r="AZ69" i="40" s="1"/>
  <c r="BD68" i="40"/>
  <c r="BC68" i="40"/>
  <c r="BB68" i="40"/>
  <c r="BA68" i="40"/>
  <c r="AW68" i="40"/>
  <c r="BE67" i="40"/>
  <c r="AZ67" i="40"/>
  <c r="BE66" i="40"/>
  <c r="AZ66" i="40"/>
  <c r="BE65" i="40"/>
  <c r="AZ65" i="40"/>
  <c r="BE64" i="40"/>
  <c r="AZ64" i="40"/>
  <c r="BE63" i="40"/>
  <c r="AZ63" i="40"/>
  <c r="BE62" i="40"/>
  <c r="AZ62" i="40"/>
  <c r="BE61" i="40"/>
  <c r="AZ61" i="40"/>
  <c r="BE60" i="40"/>
  <c r="AZ60" i="40"/>
  <c r="BE59" i="40"/>
  <c r="AZ59" i="40"/>
  <c r="BE58" i="40"/>
  <c r="AZ58" i="40"/>
  <c r="BE57" i="40"/>
  <c r="AZ57" i="40"/>
  <c r="BE56" i="40"/>
  <c r="AZ56" i="40"/>
  <c r="BE55" i="40"/>
  <c r="AZ55" i="40"/>
  <c r="BE54" i="40"/>
  <c r="AZ54" i="40"/>
  <c r="BE53" i="40"/>
  <c r="AZ53" i="40"/>
  <c r="BE52" i="40"/>
  <c r="AZ52" i="40"/>
  <c r="BE51" i="40"/>
  <c r="AZ51" i="40"/>
  <c r="BE50" i="40"/>
  <c r="AZ50" i="40"/>
  <c r="BE49" i="40"/>
  <c r="AZ49" i="40"/>
  <c r="BE48" i="40"/>
  <c r="AZ48" i="40"/>
  <c r="BE47" i="40"/>
  <c r="AZ47" i="40"/>
  <c r="BE46" i="40"/>
  <c r="AZ46" i="40"/>
  <c r="BE45" i="40"/>
  <c r="AZ45" i="40"/>
  <c r="BE44" i="40"/>
  <c r="AZ44" i="40"/>
  <c r="BE43" i="40"/>
  <c r="AZ43" i="40" s="1"/>
  <c r="BD42" i="40"/>
  <c r="BC42" i="40"/>
  <c r="BB42" i="40"/>
  <c r="AW42" i="40"/>
  <c r="BE41" i="40"/>
  <c r="AZ41" i="40"/>
  <c r="BE40" i="40"/>
  <c r="AZ40" i="40"/>
  <c r="BE39" i="40"/>
  <c r="AZ39" i="40"/>
  <c r="BE38" i="40"/>
  <c r="AZ38" i="40"/>
  <c r="BE37" i="40"/>
  <c r="AZ37" i="40"/>
  <c r="BE36" i="40"/>
  <c r="AZ36" i="40"/>
  <c r="BE35" i="40"/>
  <c r="AZ35" i="40"/>
  <c r="BE34" i="40"/>
  <c r="AZ34" i="40"/>
  <c r="BE33" i="40"/>
  <c r="AZ33" i="40"/>
  <c r="BE32" i="40"/>
  <c r="AZ32" i="40"/>
  <c r="BE31" i="40"/>
  <c r="AZ31" i="40"/>
  <c r="BE30" i="40"/>
  <c r="AZ30" i="40"/>
  <c r="BE29" i="40"/>
  <c r="AZ29" i="40"/>
  <c r="BE28" i="40"/>
  <c r="AZ28" i="40"/>
  <c r="BE27" i="40"/>
  <c r="AZ27" i="40"/>
  <c r="BE26" i="40"/>
  <c r="AZ26" i="40"/>
  <c r="BE25" i="40"/>
  <c r="AZ25" i="40"/>
  <c r="BE24" i="40"/>
  <c r="AZ24" i="40"/>
  <c r="BE23" i="40"/>
  <c r="AZ23" i="40"/>
  <c r="BE22" i="40"/>
  <c r="AZ22" i="40" s="1"/>
  <c r="AU90" i="40"/>
  <c r="AT90" i="40"/>
  <c r="AS90" i="40"/>
  <c r="AN90" i="40"/>
  <c r="AV89" i="40"/>
  <c r="AQ89" i="40"/>
  <c r="AV88" i="40"/>
  <c r="AQ88" i="40"/>
  <c r="AV87" i="40"/>
  <c r="AQ87" i="40"/>
  <c r="AV86" i="40"/>
  <c r="AQ86" i="40"/>
  <c r="AV85" i="40"/>
  <c r="AQ85" i="40"/>
  <c r="AV84" i="40"/>
  <c r="AQ84" i="40"/>
  <c r="AV83" i="40"/>
  <c r="AQ83" i="40"/>
  <c r="AV82" i="40"/>
  <c r="AQ82" i="40"/>
  <c r="AV81" i="40"/>
  <c r="AQ81" i="40"/>
  <c r="AV80" i="40"/>
  <c r="AQ80" i="40"/>
  <c r="AU79" i="40"/>
  <c r="AT79" i="40"/>
  <c r="AS79" i="40"/>
  <c r="AR79" i="40"/>
  <c r="AQ78" i="40"/>
  <c r="AQ77" i="40"/>
  <c r="AQ76" i="40"/>
  <c r="AQ75" i="40"/>
  <c r="AQ74" i="40"/>
  <c r="AQ73" i="40"/>
  <c r="AV72" i="40"/>
  <c r="AQ72" i="40"/>
  <c r="AV71" i="40"/>
  <c r="AQ71" i="40"/>
  <c r="AV70" i="40"/>
  <c r="AQ70" i="40"/>
  <c r="AV69" i="40"/>
  <c r="AQ69" i="40" s="1"/>
  <c r="AU68" i="40"/>
  <c r="AT68" i="40"/>
  <c r="AS68" i="40"/>
  <c r="AR68" i="40"/>
  <c r="AN68" i="40"/>
  <c r="AV67" i="40"/>
  <c r="AQ67" i="40"/>
  <c r="AV66" i="40"/>
  <c r="AQ66" i="40"/>
  <c r="AV65" i="40"/>
  <c r="AQ65" i="40"/>
  <c r="AV64" i="40"/>
  <c r="AQ64" i="40"/>
  <c r="AV63" i="40"/>
  <c r="AQ63" i="40"/>
  <c r="AV62" i="40"/>
  <c r="AQ62" i="40"/>
  <c r="AV61" i="40"/>
  <c r="AQ61" i="40"/>
  <c r="AV60" i="40"/>
  <c r="AQ60" i="40"/>
  <c r="AV59" i="40"/>
  <c r="AQ59" i="40"/>
  <c r="AV58" i="40"/>
  <c r="AQ58" i="40"/>
  <c r="AV57" i="40"/>
  <c r="AQ57" i="40"/>
  <c r="AV56" i="40"/>
  <c r="AQ56" i="40"/>
  <c r="AV55" i="40"/>
  <c r="AQ55" i="40"/>
  <c r="AV54" i="40"/>
  <c r="AQ54" i="40"/>
  <c r="AV53" i="40"/>
  <c r="AQ53" i="40"/>
  <c r="AV52" i="40"/>
  <c r="AQ52" i="40"/>
  <c r="AV51" i="40"/>
  <c r="AQ51" i="40"/>
  <c r="AV50" i="40"/>
  <c r="AQ50" i="40"/>
  <c r="AV49" i="40"/>
  <c r="AQ49" i="40"/>
  <c r="AV48" i="40"/>
  <c r="AQ48" i="40"/>
  <c r="AV47" i="40"/>
  <c r="AQ47" i="40"/>
  <c r="AV46" i="40"/>
  <c r="AQ46" i="40"/>
  <c r="AV45" i="40"/>
  <c r="AQ45" i="40"/>
  <c r="AV44" i="40"/>
  <c r="AQ44" i="40"/>
  <c r="AV43" i="40"/>
  <c r="AQ43" i="40" s="1"/>
  <c r="AU42" i="40"/>
  <c r="AT42" i="40"/>
  <c r="AS42" i="40"/>
  <c r="AN42" i="40"/>
  <c r="AV41" i="40"/>
  <c r="AQ41" i="40"/>
  <c r="AV40" i="40"/>
  <c r="AQ40" i="40"/>
  <c r="AV39" i="40"/>
  <c r="AQ39" i="40"/>
  <c r="AV38" i="40"/>
  <c r="AQ38" i="40"/>
  <c r="AV37" i="40"/>
  <c r="AQ37" i="40"/>
  <c r="AV36" i="40"/>
  <c r="AQ36" i="40"/>
  <c r="AV35" i="40"/>
  <c r="AQ35" i="40"/>
  <c r="AV34" i="40"/>
  <c r="AQ34" i="40"/>
  <c r="AV33" i="40"/>
  <c r="AQ33" i="40"/>
  <c r="AV32" i="40"/>
  <c r="AQ32" i="40"/>
  <c r="AV31" i="40"/>
  <c r="AQ31" i="40"/>
  <c r="AV30" i="40"/>
  <c r="AQ30" i="40"/>
  <c r="AV29" i="40"/>
  <c r="AQ29" i="40"/>
  <c r="AV28" i="40"/>
  <c r="AQ28" i="40"/>
  <c r="AV27" i="40"/>
  <c r="AQ27" i="40"/>
  <c r="AV26" i="40"/>
  <c r="AQ26" i="40"/>
  <c r="AV25" i="40"/>
  <c r="AQ25" i="40"/>
  <c r="AV24" i="40"/>
  <c r="AQ24" i="40"/>
  <c r="AV23" i="40"/>
  <c r="AQ23" i="40"/>
  <c r="AV22" i="40"/>
  <c r="AL90" i="40"/>
  <c r="AK90" i="40"/>
  <c r="AJ90" i="40"/>
  <c r="AE90" i="40"/>
  <c r="AM89" i="40"/>
  <c r="AH89" i="40"/>
  <c r="AM88" i="40"/>
  <c r="AH88" i="40"/>
  <c r="AM87" i="40"/>
  <c r="AH87" i="40"/>
  <c r="AM86" i="40"/>
  <c r="AH86" i="40"/>
  <c r="AM85" i="40"/>
  <c r="AH85" i="40"/>
  <c r="AM84" i="40"/>
  <c r="AH84" i="40"/>
  <c r="AM83" i="40"/>
  <c r="AH83" i="40"/>
  <c r="AM82" i="40"/>
  <c r="AH82" i="40"/>
  <c r="AM81" i="40"/>
  <c r="AH81" i="40"/>
  <c r="AM80" i="40"/>
  <c r="AH80" i="40"/>
  <c r="AL79" i="40"/>
  <c r="AK79" i="40"/>
  <c r="AJ79" i="40"/>
  <c r="AI79" i="40"/>
  <c r="AH78" i="40"/>
  <c r="AH77" i="40"/>
  <c r="AH76" i="40"/>
  <c r="AH75" i="40"/>
  <c r="AH74" i="40"/>
  <c r="AH73" i="40"/>
  <c r="AM72" i="40"/>
  <c r="AH72" i="40"/>
  <c r="AM71" i="40"/>
  <c r="AH71" i="40"/>
  <c r="AM70" i="40"/>
  <c r="AH70" i="40"/>
  <c r="AM69" i="40"/>
  <c r="AH69" i="40" s="1"/>
  <c r="AL68" i="40"/>
  <c r="AK68" i="40"/>
  <c r="AJ68" i="40"/>
  <c r="AI68" i="40"/>
  <c r="AE68" i="40"/>
  <c r="AM67" i="40"/>
  <c r="AH67" i="40"/>
  <c r="AM66" i="40"/>
  <c r="AH66" i="40"/>
  <c r="AM65" i="40"/>
  <c r="AH65" i="40"/>
  <c r="AM64" i="40"/>
  <c r="AH64" i="40"/>
  <c r="AM63" i="40"/>
  <c r="AH63" i="40"/>
  <c r="AM62" i="40"/>
  <c r="AH62" i="40"/>
  <c r="AM61" i="40"/>
  <c r="AH61" i="40"/>
  <c r="AM60" i="40"/>
  <c r="AH60" i="40"/>
  <c r="AM59" i="40"/>
  <c r="AH59" i="40"/>
  <c r="AM58" i="40"/>
  <c r="AH58" i="40"/>
  <c r="AM57" i="40"/>
  <c r="AH57" i="40"/>
  <c r="AM56" i="40"/>
  <c r="AH56" i="40"/>
  <c r="AM55" i="40"/>
  <c r="AH55" i="40"/>
  <c r="AM54" i="40"/>
  <c r="AH54" i="40"/>
  <c r="AM53" i="40"/>
  <c r="AH53" i="40"/>
  <c r="AM52" i="40"/>
  <c r="AH52" i="40"/>
  <c r="AM51" i="40"/>
  <c r="AH51" i="40"/>
  <c r="AM50" i="40"/>
  <c r="AH50" i="40"/>
  <c r="AM49" i="40"/>
  <c r="AH49" i="40"/>
  <c r="AM48" i="40"/>
  <c r="AH48" i="40"/>
  <c r="AM47" i="40"/>
  <c r="AH47" i="40"/>
  <c r="AM46" i="40"/>
  <c r="AH46" i="40"/>
  <c r="AM45" i="40"/>
  <c r="AH45" i="40"/>
  <c r="AM44" i="40"/>
  <c r="AH44" i="40"/>
  <c r="AM43" i="40"/>
  <c r="AH43" i="40" s="1"/>
  <c r="AL42" i="40"/>
  <c r="AK42" i="40"/>
  <c r="AJ42" i="40"/>
  <c r="AE42" i="40"/>
  <c r="AM41" i="40"/>
  <c r="AH41" i="40"/>
  <c r="AM40" i="40"/>
  <c r="AH40" i="40"/>
  <c r="AM39" i="40"/>
  <c r="AH39" i="40"/>
  <c r="AM38" i="40"/>
  <c r="AH38" i="40"/>
  <c r="AM37" i="40"/>
  <c r="AH37" i="40"/>
  <c r="AM36" i="40"/>
  <c r="AH36" i="40"/>
  <c r="AM35" i="40"/>
  <c r="AH35" i="40"/>
  <c r="AM34" i="40"/>
  <c r="AH34" i="40"/>
  <c r="AM33" i="40"/>
  <c r="AH33" i="40"/>
  <c r="AM32" i="40"/>
  <c r="AH32" i="40"/>
  <c r="AM31" i="40"/>
  <c r="AH31" i="40"/>
  <c r="AM30" i="40"/>
  <c r="AH30" i="40"/>
  <c r="AM29" i="40"/>
  <c r="AH29" i="40"/>
  <c r="AM28" i="40"/>
  <c r="AH28" i="40"/>
  <c r="AM27" i="40"/>
  <c r="AH27" i="40"/>
  <c r="AM26" i="40"/>
  <c r="AH26" i="40"/>
  <c r="AM25" i="40"/>
  <c r="AH25" i="40"/>
  <c r="AM24" i="40"/>
  <c r="AH24" i="40"/>
  <c r="AM23" i="40"/>
  <c r="AH23" i="40"/>
  <c r="AM22" i="40"/>
  <c r="AH22" i="40" s="1"/>
  <c r="AC90" i="40"/>
  <c r="AB90" i="40"/>
  <c r="AA90" i="40"/>
  <c r="V90" i="40"/>
  <c r="AD89" i="40"/>
  <c r="Y89" i="40"/>
  <c r="AD88" i="40"/>
  <c r="Y88" i="40"/>
  <c r="AD87" i="40"/>
  <c r="Y87" i="40"/>
  <c r="AD86" i="40"/>
  <c r="Y86" i="40"/>
  <c r="AD85" i="40"/>
  <c r="Y85" i="40"/>
  <c r="AD84" i="40"/>
  <c r="Y84" i="40"/>
  <c r="AD83" i="40"/>
  <c r="Y83" i="40"/>
  <c r="AD82" i="40"/>
  <c r="Y82" i="40"/>
  <c r="AD81" i="40"/>
  <c r="Y81" i="40"/>
  <c r="AD80" i="40"/>
  <c r="Y80" i="40"/>
  <c r="AC79" i="40"/>
  <c r="Y78" i="40"/>
  <c r="Y77" i="40"/>
  <c r="Y76" i="40"/>
  <c r="Y75" i="40"/>
  <c r="Y74" i="40"/>
  <c r="Y73" i="40"/>
  <c r="AD72" i="40"/>
  <c r="Y72" i="40"/>
  <c r="AD71" i="40"/>
  <c r="Y71" i="40"/>
  <c r="AD70" i="40"/>
  <c r="Y70" i="40"/>
  <c r="AD69" i="40"/>
  <c r="Y69" i="40" s="1"/>
  <c r="AC68" i="40"/>
  <c r="AB68" i="40"/>
  <c r="AA68" i="40"/>
  <c r="Z68" i="40"/>
  <c r="V68" i="40"/>
  <c r="AD67" i="40"/>
  <c r="Y67" i="40"/>
  <c r="AD66" i="40"/>
  <c r="Y66" i="40"/>
  <c r="AD65" i="40"/>
  <c r="Y65" i="40"/>
  <c r="AD64" i="40"/>
  <c r="Y64" i="40"/>
  <c r="AD63" i="40"/>
  <c r="Y63" i="40"/>
  <c r="AD62" i="40"/>
  <c r="Y62" i="40"/>
  <c r="AD61" i="40"/>
  <c r="Y61" i="40"/>
  <c r="AD60" i="40"/>
  <c r="Y60" i="40"/>
  <c r="AD59" i="40"/>
  <c r="Y59" i="40"/>
  <c r="AD58" i="40"/>
  <c r="Y58" i="40"/>
  <c r="AD57" i="40"/>
  <c r="Y57" i="40"/>
  <c r="AD56" i="40"/>
  <c r="Y56" i="40"/>
  <c r="AD55" i="40"/>
  <c r="Y55" i="40"/>
  <c r="AD54" i="40"/>
  <c r="Y54" i="40"/>
  <c r="AD53" i="40"/>
  <c r="Y53" i="40"/>
  <c r="AD52" i="40"/>
  <c r="Y52" i="40"/>
  <c r="AD51" i="40"/>
  <c r="Y51" i="40"/>
  <c r="AD50" i="40"/>
  <c r="Y50" i="40"/>
  <c r="AD49" i="40"/>
  <c r="Y49" i="40"/>
  <c r="AD48" i="40"/>
  <c r="Y48" i="40"/>
  <c r="AD47" i="40"/>
  <c r="Y47" i="40"/>
  <c r="AD46" i="40"/>
  <c r="Y46" i="40"/>
  <c r="AD45" i="40"/>
  <c r="Y45" i="40"/>
  <c r="AD44" i="40"/>
  <c r="Y44" i="40"/>
  <c r="AD43" i="40"/>
  <c r="Y43" i="40" s="1"/>
  <c r="AC42" i="40"/>
  <c r="AB42" i="40"/>
  <c r="AA42" i="40"/>
  <c r="V42" i="40"/>
  <c r="AD41" i="40"/>
  <c r="Y41" i="40"/>
  <c r="AD40" i="40"/>
  <c r="Y40" i="40"/>
  <c r="AD39" i="40"/>
  <c r="Y39" i="40"/>
  <c r="AD38" i="40"/>
  <c r="Y38" i="40"/>
  <c r="AD37" i="40"/>
  <c r="Y37" i="40"/>
  <c r="AD36" i="40"/>
  <c r="Y36" i="40"/>
  <c r="AD35" i="40"/>
  <c r="Y35" i="40"/>
  <c r="AD34" i="40"/>
  <c r="Y34" i="40"/>
  <c r="AD33" i="40"/>
  <c r="Y33" i="40"/>
  <c r="AD32" i="40"/>
  <c r="Y32" i="40"/>
  <c r="AD31" i="40"/>
  <c r="Y31" i="40"/>
  <c r="AD30" i="40"/>
  <c r="Y30" i="40"/>
  <c r="AD29" i="40"/>
  <c r="Y29" i="40"/>
  <c r="AD28" i="40"/>
  <c r="Y28" i="40"/>
  <c r="AD27" i="40"/>
  <c r="Y27" i="40"/>
  <c r="AD26" i="40"/>
  <c r="Y26" i="40"/>
  <c r="AD25" i="40"/>
  <c r="Y25" i="40"/>
  <c r="AD24" i="40"/>
  <c r="Y24" i="40"/>
  <c r="AD23" i="40"/>
  <c r="Y23" i="40"/>
  <c r="AD22" i="40"/>
  <c r="S90" i="40"/>
  <c r="T90" i="40"/>
  <c r="R90" i="40"/>
  <c r="M90" i="40"/>
  <c r="P89" i="40"/>
  <c r="P88" i="40"/>
  <c r="P87" i="40"/>
  <c r="P86" i="40"/>
  <c r="P85" i="40"/>
  <c r="P84" i="40"/>
  <c r="P83" i="40"/>
  <c r="P82" i="40"/>
  <c r="U81" i="40"/>
  <c r="P81" i="40"/>
  <c r="U80" i="40"/>
  <c r="P80" i="40"/>
  <c r="T79" i="40"/>
  <c r="S79" i="40"/>
  <c r="R79" i="40"/>
  <c r="Q79" i="40"/>
  <c r="U72" i="40"/>
  <c r="U71" i="40"/>
  <c r="U70" i="40"/>
  <c r="U69" i="40"/>
  <c r="P69" i="40" s="1"/>
  <c r="P70" i="40"/>
  <c r="P71" i="40"/>
  <c r="P72" i="40"/>
  <c r="P73" i="40"/>
  <c r="P74" i="40"/>
  <c r="P75" i="40"/>
  <c r="P76" i="40"/>
  <c r="P77" i="40"/>
  <c r="P78" i="40"/>
  <c r="B2" i="37"/>
  <c r="T68" i="40"/>
  <c r="S68" i="40"/>
  <c r="R68" i="40"/>
  <c r="Q68" i="40"/>
  <c r="M68" i="40"/>
  <c r="U65" i="40"/>
  <c r="U66" i="40"/>
  <c r="U67" i="40"/>
  <c r="U44" i="40"/>
  <c r="U45" i="40"/>
  <c r="U46" i="40"/>
  <c r="U47" i="40"/>
  <c r="U48" i="40"/>
  <c r="U49" i="40"/>
  <c r="U50" i="40"/>
  <c r="U51" i="40"/>
  <c r="U52" i="40"/>
  <c r="U53" i="40"/>
  <c r="U54" i="40"/>
  <c r="U55" i="40"/>
  <c r="U56" i="40"/>
  <c r="U57" i="40"/>
  <c r="U58" i="40"/>
  <c r="U59" i="40"/>
  <c r="U60" i="40"/>
  <c r="U61" i="40"/>
  <c r="U62" i="40"/>
  <c r="U63" i="40"/>
  <c r="U64" i="40"/>
  <c r="U43" i="40"/>
  <c r="P44" i="40"/>
  <c r="P45" i="40"/>
  <c r="P46" i="40"/>
  <c r="P47" i="40"/>
  <c r="P48" i="40"/>
  <c r="P49" i="40"/>
  <c r="P50" i="40"/>
  <c r="P51" i="40"/>
  <c r="P52" i="40"/>
  <c r="P53" i="40"/>
  <c r="P54" i="40"/>
  <c r="P55" i="40"/>
  <c r="P56" i="40"/>
  <c r="P57" i="40"/>
  <c r="P58" i="40"/>
  <c r="P59" i="40"/>
  <c r="P60" i="40"/>
  <c r="P61" i="40"/>
  <c r="P62" i="40"/>
  <c r="P63" i="40"/>
  <c r="P64" i="40"/>
  <c r="P65" i="40"/>
  <c r="P66" i="40"/>
  <c r="P67" i="40"/>
  <c r="P43" i="40"/>
  <c r="U41" i="40"/>
  <c r="U40" i="40"/>
  <c r="U39" i="40"/>
  <c r="U38" i="40"/>
  <c r="U37" i="40"/>
  <c r="U36" i="40"/>
  <c r="U35" i="40"/>
  <c r="U34" i="40"/>
  <c r="U33" i="40"/>
  <c r="U32" i="40"/>
  <c r="U31" i="40"/>
  <c r="U30" i="40"/>
  <c r="U29" i="40"/>
  <c r="U28" i="40"/>
  <c r="U27" i="40"/>
  <c r="U26" i="40"/>
  <c r="U25" i="40"/>
  <c r="U24" i="40"/>
  <c r="U23" i="40"/>
  <c r="T42" i="40"/>
  <c r="S42" i="40"/>
  <c r="R42" i="40"/>
  <c r="M42" i="40"/>
  <c r="U22" i="40"/>
  <c r="P22" i="40" s="1"/>
  <c r="P41" i="40"/>
  <c r="P40" i="40"/>
  <c r="P39" i="40"/>
  <c r="P38" i="40"/>
  <c r="P37" i="40"/>
  <c r="P36" i="40"/>
  <c r="P35" i="40"/>
  <c r="P34" i="40"/>
  <c r="P33" i="40"/>
  <c r="P32" i="40"/>
  <c r="P31" i="40"/>
  <c r="P30" i="40"/>
  <c r="P29" i="40"/>
  <c r="P28" i="40"/>
  <c r="P27" i="40"/>
  <c r="P26" i="40"/>
  <c r="P25" i="40"/>
  <c r="P24" i="40"/>
  <c r="P23" i="40"/>
  <c r="N21" i="40"/>
  <c r="W21" i="40" s="1"/>
  <c r="AF21" i="40" s="1"/>
  <c r="AO21" i="40" s="1"/>
  <c r="AX21" i="40" s="1"/>
  <c r="O21" i="40"/>
  <c r="X21" i="40" s="1"/>
  <c r="AG21" i="40" s="1"/>
  <c r="AP21" i="40" s="1"/>
  <c r="AY21" i="40" s="1"/>
  <c r="P21" i="40"/>
  <c r="Y21" i="40" s="1"/>
  <c r="AH21" i="40" s="1"/>
  <c r="AQ21" i="40" s="1"/>
  <c r="AZ21" i="40" s="1"/>
  <c r="Q21" i="40"/>
  <c r="Z21" i="40" s="1"/>
  <c r="AI21" i="40" s="1"/>
  <c r="AR21" i="40" s="1"/>
  <c r="BA21" i="40" s="1"/>
  <c r="R21" i="40"/>
  <c r="AA21" i="40" s="1"/>
  <c r="AJ21" i="40" s="1"/>
  <c r="AS21" i="40" s="1"/>
  <c r="BB21" i="40" s="1"/>
  <c r="S21" i="40"/>
  <c r="AB21" i="40" s="1"/>
  <c r="AK21" i="40" s="1"/>
  <c r="AT21" i="40" s="1"/>
  <c r="BC21" i="40" s="1"/>
  <c r="T21" i="40"/>
  <c r="AC21" i="40" s="1"/>
  <c r="AL21" i="40" s="1"/>
  <c r="AU21" i="40" s="1"/>
  <c r="BD21" i="40" s="1"/>
  <c r="U21" i="40"/>
  <c r="AD21" i="40" s="1"/>
  <c r="AM21" i="40" s="1"/>
  <c r="AV21" i="40" s="1"/>
  <c r="BE21" i="40" s="1"/>
  <c r="M21" i="40"/>
  <c r="V21" i="40" s="1"/>
  <c r="AE21" i="40" s="1"/>
  <c r="AN21" i="40" s="1"/>
  <c r="AW21" i="40" s="1"/>
  <c r="L162" i="40"/>
  <c r="L161" i="40"/>
  <c r="L160" i="40"/>
  <c r="L159" i="40"/>
  <c r="L158" i="40"/>
  <c r="L157" i="40"/>
  <c r="L156" i="40"/>
  <c r="L155" i="40"/>
  <c r="L147" i="40"/>
  <c r="G147" i="40"/>
  <c r="C147" i="40"/>
  <c r="L146" i="40"/>
  <c r="G146" i="40"/>
  <c r="C146" i="40"/>
  <c r="L145" i="40"/>
  <c r="G145" i="40"/>
  <c r="C145" i="40"/>
  <c r="L144" i="40"/>
  <c r="G144" i="40"/>
  <c r="C144" i="40"/>
  <c r="L143" i="40"/>
  <c r="G143" i="40"/>
  <c r="C143" i="40"/>
  <c r="L142" i="40"/>
  <c r="G142" i="40"/>
  <c r="C142" i="40"/>
  <c r="L141" i="40"/>
  <c r="G141" i="40"/>
  <c r="C141" i="40"/>
  <c r="L140" i="40"/>
  <c r="G140" i="40"/>
  <c r="C140" i="40"/>
  <c r="L139" i="40"/>
  <c r="G139" i="40"/>
  <c r="C139" i="40"/>
  <c r="L138" i="40"/>
  <c r="G138" i="40"/>
  <c r="C138" i="40"/>
  <c r="L137" i="40"/>
  <c r="G137" i="40"/>
  <c r="C137" i="40"/>
  <c r="L136" i="40"/>
  <c r="G136" i="40"/>
  <c r="C136" i="40"/>
  <c r="L135" i="40"/>
  <c r="G135" i="40"/>
  <c r="C135" i="40"/>
  <c r="L134" i="40"/>
  <c r="G134" i="40"/>
  <c r="C134" i="40"/>
  <c r="L133" i="40"/>
  <c r="G133" i="40"/>
  <c r="C133" i="40"/>
  <c r="L132" i="40"/>
  <c r="G132" i="40"/>
  <c r="C132" i="40"/>
  <c r="L131" i="40"/>
  <c r="G131" i="40"/>
  <c r="C131" i="40"/>
  <c r="L130" i="40"/>
  <c r="G130" i="40"/>
  <c r="C130" i="40"/>
  <c r="L129" i="40"/>
  <c r="G129" i="40"/>
  <c r="C129" i="40"/>
  <c r="L128" i="40"/>
  <c r="G128" i="40"/>
  <c r="C128" i="40"/>
  <c r="L127" i="40"/>
  <c r="G127" i="40"/>
  <c r="C127" i="40"/>
  <c r="L126" i="40"/>
  <c r="G126" i="40"/>
  <c r="C126" i="40"/>
  <c r="L125" i="40"/>
  <c r="G125" i="40"/>
  <c r="C125" i="40"/>
  <c r="L124" i="40"/>
  <c r="G124" i="40"/>
  <c r="C124" i="40"/>
  <c r="L123" i="40"/>
  <c r="G123" i="40"/>
  <c r="C123" i="40"/>
  <c r="L122" i="40"/>
  <c r="G122" i="40"/>
  <c r="C122" i="40"/>
  <c r="L121" i="40"/>
  <c r="G121" i="40"/>
  <c r="C121" i="40"/>
  <c r="L120" i="40"/>
  <c r="G120" i="40"/>
  <c r="C120" i="40"/>
  <c r="L119" i="40"/>
  <c r="G119" i="40"/>
  <c r="C119" i="40"/>
  <c r="L118" i="40"/>
  <c r="G118" i="40"/>
  <c r="C118" i="40"/>
  <c r="L117" i="40"/>
  <c r="G117" i="40"/>
  <c r="C117" i="40"/>
  <c r="L116" i="40"/>
  <c r="G116" i="40"/>
  <c r="C116" i="40"/>
  <c r="L115" i="40"/>
  <c r="G115" i="40"/>
  <c r="C115" i="40"/>
  <c r="L114" i="40"/>
  <c r="G114" i="40"/>
  <c r="C114" i="40"/>
  <c r="L113" i="40"/>
  <c r="G113" i="40"/>
  <c r="C113" i="40"/>
  <c r="L112" i="40"/>
  <c r="G112" i="40"/>
  <c r="C112" i="40"/>
  <c r="L111" i="40"/>
  <c r="G111" i="40"/>
  <c r="C111" i="40"/>
  <c r="L110" i="40"/>
  <c r="G110" i="40"/>
  <c r="C110" i="40"/>
  <c r="L109" i="40"/>
  <c r="G109" i="40"/>
  <c r="C109" i="40"/>
  <c r="L108" i="40"/>
  <c r="G108" i="40" s="1"/>
  <c r="C108" i="40"/>
  <c r="L107" i="40"/>
  <c r="G107" i="40"/>
  <c r="C107" i="40"/>
  <c r="L106" i="40"/>
  <c r="G106" i="40"/>
  <c r="C106" i="40"/>
  <c r="L105" i="40"/>
  <c r="G105" i="40"/>
  <c r="C105" i="40"/>
  <c r="L104" i="40"/>
  <c r="G104" i="40"/>
  <c r="C104" i="40"/>
  <c r="L103" i="40"/>
  <c r="G103" i="40"/>
  <c r="C103" i="40"/>
  <c r="L102" i="40"/>
  <c r="G102" i="40"/>
  <c r="C102" i="40"/>
  <c r="L101" i="40"/>
  <c r="G101" i="40"/>
  <c r="C101" i="40"/>
  <c r="L100" i="40"/>
  <c r="G100" i="40"/>
  <c r="C100" i="40"/>
  <c r="L99" i="40"/>
  <c r="G99" i="40"/>
  <c r="C99" i="40"/>
  <c r="L98" i="40"/>
  <c r="C98" i="40"/>
  <c r="K90" i="40"/>
  <c r="J90" i="40"/>
  <c r="G89" i="40"/>
  <c r="G88" i="40"/>
  <c r="G87" i="40"/>
  <c r="G86" i="40"/>
  <c r="G85" i="40"/>
  <c r="G84" i="40"/>
  <c r="G83" i="40"/>
  <c r="G82" i="40"/>
  <c r="G81" i="40"/>
  <c r="L80" i="40"/>
  <c r="G80" i="40"/>
  <c r="C80" i="40"/>
  <c r="K79" i="40"/>
  <c r="J79" i="40"/>
  <c r="I79" i="40"/>
  <c r="G78" i="40"/>
  <c r="G77" i="40"/>
  <c r="G76" i="40"/>
  <c r="G75" i="40"/>
  <c r="G74" i="40"/>
  <c r="G73" i="40"/>
  <c r="L72" i="40"/>
  <c r="G72" i="40"/>
  <c r="L71" i="40"/>
  <c r="G71" i="40"/>
  <c r="L70" i="40"/>
  <c r="G70" i="40"/>
  <c r="L69" i="40"/>
  <c r="G69" i="40" s="1"/>
  <c r="C69" i="40"/>
  <c r="K68" i="40"/>
  <c r="J68" i="40"/>
  <c r="I68" i="40"/>
  <c r="D68" i="40"/>
  <c r="L67" i="40"/>
  <c r="G67" i="40"/>
  <c r="L66" i="40"/>
  <c r="G66" i="40"/>
  <c r="L65" i="40"/>
  <c r="G65" i="40"/>
  <c r="L64" i="40"/>
  <c r="G64" i="40"/>
  <c r="L63" i="40"/>
  <c r="G63" i="40"/>
  <c r="L62" i="40"/>
  <c r="G62" i="40"/>
  <c r="L61" i="40"/>
  <c r="G61" i="40"/>
  <c r="L60" i="40"/>
  <c r="G60" i="40"/>
  <c r="L59" i="40"/>
  <c r="G59" i="40"/>
  <c r="L58" i="40"/>
  <c r="G58" i="40"/>
  <c r="L57" i="40"/>
  <c r="G57" i="40"/>
  <c r="L56" i="40"/>
  <c r="G56" i="40"/>
  <c r="L55" i="40"/>
  <c r="G55" i="40"/>
  <c r="L54" i="40"/>
  <c r="G54" i="40"/>
  <c r="L53" i="40"/>
  <c r="G53" i="40"/>
  <c r="L52" i="40"/>
  <c r="G52" i="40"/>
  <c r="L51" i="40"/>
  <c r="G51" i="40"/>
  <c r="L50" i="40"/>
  <c r="G50" i="40"/>
  <c r="L49" i="40"/>
  <c r="G49" i="40"/>
  <c r="L48" i="40"/>
  <c r="G48" i="40"/>
  <c r="L47" i="40"/>
  <c r="G47" i="40"/>
  <c r="L46" i="40"/>
  <c r="G46" i="40"/>
  <c r="L45" i="40"/>
  <c r="G45" i="40"/>
  <c r="L44" i="40"/>
  <c r="G44" i="40"/>
  <c r="L43" i="40"/>
  <c r="G43" i="40" s="1"/>
  <c r="C43" i="40"/>
  <c r="K42" i="40"/>
  <c r="J42" i="40"/>
  <c r="I42" i="40"/>
  <c r="D42" i="40"/>
  <c r="L41" i="40"/>
  <c r="G41" i="40"/>
  <c r="L40" i="40"/>
  <c r="G40" i="40"/>
  <c r="L39" i="40"/>
  <c r="G39" i="40"/>
  <c r="L38" i="40"/>
  <c r="G38" i="40"/>
  <c r="L37" i="40"/>
  <c r="G37" i="40"/>
  <c r="L36" i="40"/>
  <c r="G36" i="40"/>
  <c r="L35" i="40"/>
  <c r="G35" i="40"/>
  <c r="L34" i="40"/>
  <c r="G34" i="40"/>
  <c r="L33" i="40"/>
  <c r="G33" i="40"/>
  <c r="L32" i="40"/>
  <c r="G32" i="40"/>
  <c r="L31" i="40"/>
  <c r="G31" i="40"/>
  <c r="L30" i="40"/>
  <c r="G30" i="40"/>
  <c r="L29" i="40"/>
  <c r="G29" i="40"/>
  <c r="L28" i="40"/>
  <c r="G28" i="40"/>
  <c r="L27" i="40"/>
  <c r="G27" i="40"/>
  <c r="L26" i="40"/>
  <c r="G26" i="40"/>
  <c r="L25" i="40"/>
  <c r="G25" i="40"/>
  <c r="L24" i="40"/>
  <c r="G24" i="40"/>
  <c r="L23" i="40"/>
  <c r="G23" i="40"/>
  <c r="L22" i="40"/>
  <c r="G22" i="40" s="1"/>
  <c r="C22" i="40"/>
  <c r="AK91" i="40" l="1"/>
  <c r="BE73" i="40"/>
  <c r="B38" i="13"/>
  <c r="B45" i="41" s="1"/>
  <c r="B8" i="13"/>
  <c r="A54" i="13"/>
  <c r="B13" i="13" s="1"/>
  <c r="B2" i="31"/>
  <c r="B2" i="21"/>
  <c r="B2" i="18"/>
  <c r="B2" i="15"/>
  <c r="B2" i="14"/>
  <c r="B2" i="32"/>
  <c r="AD90" i="40"/>
  <c r="S91" i="40"/>
  <c r="L74" i="40"/>
  <c r="AD42" i="40"/>
  <c r="AM68" i="40"/>
  <c r="BC91" i="40"/>
  <c r="AD148" i="40"/>
  <c r="AV42" i="40"/>
  <c r="U148" i="40"/>
  <c r="BE148" i="40"/>
  <c r="AZ98" i="40"/>
  <c r="AV148" i="40"/>
  <c r="AQ98" i="40"/>
  <c r="AM148" i="40"/>
  <c r="AH98" i="40"/>
  <c r="P98" i="40"/>
  <c r="L83" i="40"/>
  <c r="L82" i="40"/>
  <c r="AB91" i="40"/>
  <c r="AT91" i="40"/>
  <c r="U68" i="40"/>
  <c r="AM73" i="40"/>
  <c r="BE68" i="40"/>
  <c r="AD68" i="40"/>
  <c r="AV68" i="40"/>
  <c r="AM90" i="40"/>
  <c r="AV90" i="40"/>
  <c r="BE90" i="40"/>
  <c r="Y22" i="40"/>
  <c r="AQ22" i="40"/>
  <c r="BE74" i="40"/>
  <c r="BE42" i="40"/>
  <c r="AV74" i="40"/>
  <c r="AV73" i="40"/>
  <c r="AM74" i="40"/>
  <c r="AM42" i="40"/>
  <c r="AD74" i="40"/>
  <c r="AD73" i="40"/>
  <c r="L81" i="40"/>
  <c r="U83" i="40"/>
  <c r="U82" i="40"/>
  <c r="U74" i="40"/>
  <c r="U73" i="40"/>
  <c r="J91" i="40"/>
  <c r="L76" i="40"/>
  <c r="L75" i="40"/>
  <c r="L73" i="40"/>
  <c r="U42" i="40"/>
  <c r="L68" i="40"/>
  <c r="L42" i="40"/>
  <c r="L163" i="40"/>
  <c r="G98" i="40"/>
  <c r="L148" i="40"/>
  <c r="B54" i="13" l="1"/>
  <c r="B46" i="41" s="1"/>
  <c r="B18" i="13"/>
  <c r="I90" i="40"/>
  <c r="BE75" i="40"/>
  <c r="AV75" i="40"/>
  <c r="AM75" i="40"/>
  <c r="AD75" i="40"/>
  <c r="L84" i="40"/>
  <c r="U84" i="40"/>
  <c r="U75" i="40"/>
  <c r="L77" i="40"/>
  <c r="BE76" i="40" l="1"/>
  <c r="AV76" i="40"/>
  <c r="AM76" i="40"/>
  <c r="AD76" i="40"/>
  <c r="L85" i="40"/>
  <c r="U85" i="40"/>
  <c r="U76" i="40"/>
  <c r="L78" i="40"/>
  <c r="L79" i="40" s="1"/>
  <c r="D79" i="40"/>
  <c r="L241" i="22"/>
  <c r="L240" i="22"/>
  <c r="L239" i="22"/>
  <c r="L238" i="22"/>
  <c r="L237" i="22"/>
  <c r="L236" i="22"/>
  <c r="L235" i="22"/>
  <c r="BE78" i="40" l="1"/>
  <c r="BE77" i="40"/>
  <c r="BE79" i="40" s="1"/>
  <c r="BE91" i="40" s="1"/>
  <c r="BE166" i="40" s="1"/>
  <c r="BE170" i="40" s="1"/>
  <c r="AV77" i="40"/>
  <c r="AM77" i="40"/>
  <c r="AD77" i="40"/>
  <c r="L86" i="40"/>
  <c r="U86" i="40"/>
  <c r="U77" i="40"/>
  <c r="AW79" i="40" l="1"/>
  <c r="AW91" i="40" s="1"/>
  <c r="AV78" i="40"/>
  <c r="AV79" i="40" s="1"/>
  <c r="AV91" i="40" s="1"/>
  <c r="AV166" i="40" s="1"/>
  <c r="AV170" i="40" s="1"/>
  <c r="AN79" i="40"/>
  <c r="AN91" i="40" s="1"/>
  <c r="AM78" i="40"/>
  <c r="AM79" i="40" s="1"/>
  <c r="AM91" i="40" s="1"/>
  <c r="AM166" i="40" s="1"/>
  <c r="AM170" i="40" s="1"/>
  <c r="AE79" i="40"/>
  <c r="AE91" i="40" s="1"/>
  <c r="AD78" i="40"/>
  <c r="AD79" i="40" s="1"/>
  <c r="AD91" i="40" s="1"/>
  <c r="AD166" i="40" s="1"/>
  <c r="AD170" i="40" s="1"/>
  <c r="V91" i="40"/>
  <c r="U78" i="40"/>
  <c r="U79" i="40" s="1"/>
  <c r="M79" i="40"/>
  <c r="M91" i="40" s="1"/>
  <c r="L87" i="40"/>
  <c r="U87" i="40"/>
  <c r="B2" i="3"/>
  <c r="L88" i="40" l="1"/>
  <c r="U89" i="40"/>
  <c r="U88" i="40"/>
  <c r="B2" i="4"/>
  <c r="B2" i="40"/>
  <c r="U90" i="40" l="1"/>
  <c r="U91" i="40" s="1"/>
  <c r="U166" i="40" s="1"/>
  <c r="U170" i="40" s="1"/>
  <c r="L89" i="40"/>
  <c r="L90" i="40" s="1"/>
  <c r="L91" i="40" s="1"/>
  <c r="L166" i="40" s="1"/>
  <c r="L170" i="40" s="1"/>
  <c r="D90" i="40"/>
  <c r="D91" i="40" s="1"/>
  <c r="I53" i="37" l="1"/>
  <c r="H53" i="37"/>
  <c r="G53" i="37"/>
  <c r="F53" i="37"/>
  <c r="E53" i="37"/>
  <c r="B348" i="33"/>
  <c r="V386" i="33"/>
  <c r="D386" i="33"/>
  <c r="T367" i="33"/>
  <c r="S367" i="33"/>
  <c r="R367" i="33"/>
  <c r="Q367" i="33"/>
  <c r="P367" i="33"/>
  <c r="O367" i="33"/>
  <c r="N367" i="33"/>
  <c r="M367" i="33"/>
  <c r="L367" i="33"/>
  <c r="K367" i="33"/>
  <c r="J367" i="33"/>
  <c r="D367" i="33"/>
  <c r="K348" i="33"/>
  <c r="L348" i="33"/>
  <c r="M348" i="33"/>
  <c r="N348" i="33"/>
  <c r="O348" i="33"/>
  <c r="P348" i="33"/>
  <c r="Q348" i="33"/>
  <c r="R348" i="33"/>
  <c r="S348" i="33"/>
  <c r="T348" i="33"/>
  <c r="J348" i="33"/>
  <c r="D348" i="33"/>
  <c r="B393" i="21"/>
  <c r="T386" i="33"/>
  <c r="S386" i="33"/>
  <c r="R386" i="33"/>
  <c r="Q386" i="33"/>
  <c r="P386" i="33"/>
  <c r="O386" i="33"/>
  <c r="N386" i="33"/>
  <c r="M386" i="33"/>
  <c r="L386" i="33"/>
  <c r="K386" i="33"/>
  <c r="J386" i="33"/>
  <c r="B339" i="21"/>
  <c r="B386" i="33" s="1"/>
  <c r="V204" i="21"/>
  <c r="T204" i="21"/>
  <c r="S204" i="21"/>
  <c r="R204" i="21"/>
  <c r="Q204" i="21"/>
  <c r="P204" i="21"/>
  <c r="O204" i="21"/>
  <c r="N204" i="21"/>
  <c r="M204" i="21"/>
  <c r="L204" i="21"/>
  <c r="K204" i="21"/>
  <c r="J204" i="21"/>
  <c r="V185" i="21"/>
  <c r="T185" i="21"/>
  <c r="S185" i="21"/>
  <c r="R185" i="21"/>
  <c r="Q185" i="21"/>
  <c r="P185" i="21"/>
  <c r="O185" i="21"/>
  <c r="N185" i="21"/>
  <c r="M185" i="21"/>
  <c r="L185" i="21"/>
  <c r="K185" i="21"/>
  <c r="J185" i="21"/>
  <c r="W172" i="21"/>
  <c r="W367" i="33" s="1"/>
  <c r="U172" i="21"/>
  <c r="B172" i="21"/>
  <c r="B367" i="33" s="1"/>
  <c r="V58" i="21"/>
  <c r="T58" i="21"/>
  <c r="S58" i="21"/>
  <c r="R58" i="21"/>
  <c r="Q58" i="21"/>
  <c r="Q425" i="21" s="1"/>
  <c r="P58" i="21"/>
  <c r="O58" i="21"/>
  <c r="N58" i="21"/>
  <c r="M58" i="21"/>
  <c r="L58" i="21"/>
  <c r="K58" i="21"/>
  <c r="J58" i="21"/>
  <c r="V39" i="21"/>
  <c r="T39" i="21"/>
  <c r="S39" i="21"/>
  <c r="S406" i="21" s="1"/>
  <c r="R39" i="21"/>
  <c r="Q39" i="21"/>
  <c r="P39" i="21"/>
  <c r="O39" i="21"/>
  <c r="N39" i="21"/>
  <c r="M39" i="21"/>
  <c r="M406" i="21" s="1"/>
  <c r="L39" i="21"/>
  <c r="K39" i="21"/>
  <c r="K406" i="21" s="1"/>
  <c r="J39" i="21"/>
  <c r="W26" i="21"/>
  <c r="W348" i="33" s="1"/>
  <c r="U26" i="21"/>
  <c r="O425" i="21" l="1"/>
  <c r="P406" i="21"/>
  <c r="L425" i="21"/>
  <c r="T425" i="21"/>
  <c r="X172" i="21"/>
  <c r="X367" i="33" s="1"/>
  <c r="U367" i="33"/>
  <c r="X26" i="21"/>
  <c r="X348" i="33" s="1"/>
  <c r="J425" i="21"/>
  <c r="R425" i="21"/>
  <c r="N406" i="21"/>
  <c r="U393" i="21"/>
  <c r="O406" i="21"/>
  <c r="S425" i="21"/>
  <c r="K425" i="21"/>
  <c r="J406" i="21"/>
  <c r="R406" i="21"/>
  <c r="N425" i="21"/>
  <c r="L406" i="21"/>
  <c r="T406" i="21"/>
  <c r="P425" i="21"/>
  <c r="Q406" i="21"/>
  <c r="M425" i="21"/>
  <c r="U348" i="33"/>
  <c r="Y348" i="33"/>
  <c r="U386" i="33"/>
  <c r="W386" i="33"/>
  <c r="E627" i="33"/>
  <c r="E626" i="33"/>
  <c r="E625" i="33"/>
  <c r="E624" i="33"/>
  <c r="E622" i="33"/>
  <c r="E621" i="33"/>
  <c r="E620" i="33"/>
  <c r="E619" i="33"/>
  <c r="E617" i="33"/>
  <c r="E616" i="33"/>
  <c r="E615" i="33"/>
  <c r="E614" i="33"/>
  <c r="F627" i="33"/>
  <c r="F626" i="33"/>
  <c r="F625" i="33"/>
  <c r="F624" i="33"/>
  <c r="F622" i="33"/>
  <c r="F621" i="33"/>
  <c r="F620" i="33"/>
  <c r="F619" i="33"/>
  <c r="F617" i="33"/>
  <c r="F616" i="33"/>
  <c r="F615" i="33"/>
  <c r="F614" i="33"/>
  <c r="D627" i="33"/>
  <c r="D626" i="33"/>
  <c r="D625" i="33"/>
  <c r="D624" i="33"/>
  <c r="D622" i="33"/>
  <c r="D621" i="33"/>
  <c r="D620" i="33"/>
  <c r="D619" i="33"/>
  <c r="X386" i="33" l="1"/>
  <c r="D490" i="33"/>
  <c r="D489" i="33"/>
  <c r="D486" i="33"/>
  <c r="D485" i="33"/>
  <c r="D482" i="33"/>
  <c r="D481" i="33"/>
  <c r="D475" i="33"/>
  <c r="D474" i="33"/>
  <c r="D471" i="33"/>
  <c r="D470" i="33"/>
  <c r="D467" i="33"/>
  <c r="D466" i="33"/>
  <c r="D465" i="33"/>
  <c r="B484" i="33"/>
  <c r="B57" i="32"/>
  <c r="B474" i="33" s="1"/>
  <c r="B473" i="33"/>
  <c r="B465" i="33"/>
  <c r="B466" i="33"/>
  <c r="B467" i="33"/>
  <c r="C86" i="32"/>
  <c r="C617" i="33" s="1"/>
  <c r="C85" i="32"/>
  <c r="C616" i="33" s="1"/>
  <c r="C84" i="32"/>
  <c r="C615" i="33" s="1"/>
  <c r="C83" i="32"/>
  <c r="C614" i="33" s="1"/>
  <c r="D774" i="33" l="1"/>
  <c r="D403" i="33"/>
  <c r="D402" i="33"/>
  <c r="D401" i="33"/>
  <c r="D400" i="33"/>
  <c r="D399" i="33"/>
  <c r="D395" i="33"/>
  <c r="D394" i="33"/>
  <c r="D393" i="33"/>
  <c r="D391" i="33"/>
  <c r="D389" i="33"/>
  <c r="D388" i="33"/>
  <c r="D387" i="33"/>
  <c r="D381" i="33"/>
  <c r="D380" i="33"/>
  <c r="D379" i="33"/>
  <c r="D374" i="33"/>
  <c r="D373" i="33"/>
  <c r="D372" i="33"/>
  <c r="D369" i="33"/>
  <c r="D368" i="33"/>
  <c r="D357" i="33"/>
  <c r="B357" i="33"/>
  <c r="D352" i="33"/>
  <c r="D351" i="33"/>
  <c r="B351" i="33"/>
  <c r="D362" i="33"/>
  <c r="D361" i="33"/>
  <c r="D360" i="33"/>
  <c r="D358" i="33"/>
  <c r="D355" i="33"/>
  <c r="D354" i="33"/>
  <c r="D353" i="33"/>
  <c r="D350" i="33"/>
  <c r="D349" i="33"/>
  <c r="D320" i="33"/>
  <c r="D319" i="33"/>
  <c r="D318" i="33"/>
  <c r="D317" i="33"/>
  <c r="D314" i="33"/>
  <c r="D312" i="33"/>
  <c r="D311" i="33"/>
  <c r="D310" i="33"/>
  <c r="D306" i="33"/>
  <c r="D307" i="33"/>
  <c r="D305" i="33"/>
  <c r="D337" i="33"/>
  <c r="D336" i="33"/>
  <c r="D335" i="33"/>
  <c r="D334" i="33"/>
  <c r="D328" i="33"/>
  <c r="D329" i="33"/>
  <c r="D330" i="33"/>
  <c r="D331" i="33"/>
  <c r="D327" i="33"/>
  <c r="N323" i="33"/>
  <c r="M323" i="33"/>
  <c r="L323" i="33"/>
  <c r="K323" i="33"/>
  <c r="J323" i="33"/>
  <c r="I323" i="33"/>
  <c r="O101" i="31"/>
  <c r="P101" i="31" s="1"/>
  <c r="Q101" i="31" s="1"/>
  <c r="R101" i="31" s="1"/>
  <c r="S101" i="31" s="1"/>
  <c r="T101" i="31" s="1"/>
  <c r="T323" i="33" s="1"/>
  <c r="O323" i="33" l="1"/>
  <c r="D376" i="33"/>
  <c r="D370" i="33"/>
  <c r="D371" i="33"/>
  <c r="P323" i="33"/>
  <c r="R323" i="33"/>
  <c r="Q323" i="33"/>
  <c r="S323" i="33"/>
  <c r="D764" i="33"/>
  <c r="D763" i="33"/>
  <c r="D757" i="33"/>
  <c r="D756" i="33"/>
  <c r="D755" i="33"/>
  <c r="D754" i="33"/>
  <c r="D753" i="33"/>
  <c r="D752" i="33"/>
  <c r="D751" i="33"/>
  <c r="D750" i="33"/>
  <c r="D749" i="33"/>
  <c r="D748" i="33"/>
  <c r="D742" i="33"/>
  <c r="D741" i="33"/>
  <c r="D740" i="33"/>
  <c r="D739" i="33"/>
  <c r="D738" i="33"/>
  <c r="D737" i="33"/>
  <c r="D736" i="33"/>
  <c r="D735" i="33"/>
  <c r="D734" i="33"/>
  <c r="D733" i="33"/>
  <c r="D732" i="33"/>
  <c r="D731" i="33"/>
  <c r="D730" i="33"/>
  <c r="D729" i="33"/>
  <c r="D728" i="33"/>
  <c r="D727" i="33"/>
  <c r="D726" i="33"/>
  <c r="D725" i="33"/>
  <c r="D724" i="33"/>
  <c r="D723" i="33"/>
  <c r="D722" i="33"/>
  <c r="D720" i="33"/>
  <c r="D719" i="33"/>
  <c r="D718" i="33"/>
  <c r="D717" i="33"/>
  <c r="D716" i="33"/>
  <c r="D715" i="33"/>
  <c r="D714" i="33"/>
  <c r="D713" i="33"/>
  <c r="D712" i="33"/>
  <c r="D711" i="33"/>
  <c r="D710" i="33"/>
  <c r="D709" i="33"/>
  <c r="D708" i="33"/>
  <c r="D707" i="33"/>
  <c r="D706" i="33"/>
  <c r="D705" i="33"/>
  <c r="D704" i="33"/>
  <c r="D703" i="33"/>
  <c r="D702" i="33"/>
  <c r="D701" i="33"/>
  <c r="D700" i="33"/>
  <c r="D699" i="33"/>
  <c r="D698" i="33"/>
  <c r="D697" i="33"/>
  <c r="D696" i="33"/>
  <c r="D695" i="33"/>
  <c r="D694" i="33"/>
  <c r="D693" i="33"/>
  <c r="D692" i="33"/>
  <c r="D691" i="33"/>
  <c r="D690" i="33"/>
  <c r="D689" i="33"/>
  <c r="D688" i="33"/>
  <c r="D687" i="33"/>
  <c r="D686" i="33"/>
  <c r="D685" i="33"/>
  <c r="D684" i="33"/>
  <c r="D683" i="33"/>
  <c r="D682" i="33"/>
  <c r="D681" i="33"/>
  <c r="D680" i="33"/>
  <c r="D679" i="33"/>
  <c r="D672" i="33"/>
  <c r="D671" i="33"/>
  <c r="D670" i="33"/>
  <c r="D669" i="33"/>
  <c r="D668" i="33"/>
  <c r="D667" i="33"/>
  <c r="D666" i="33"/>
  <c r="D665" i="33"/>
  <c r="D664" i="33"/>
  <c r="D663" i="33"/>
  <c r="D662" i="33"/>
  <c r="D661" i="33"/>
  <c r="D660" i="33"/>
  <c r="D659" i="33"/>
  <c r="D658" i="33"/>
  <c r="D656" i="33"/>
  <c r="D655" i="33"/>
  <c r="D654" i="33"/>
  <c r="D653" i="33"/>
  <c r="D652" i="33"/>
  <c r="D651" i="33"/>
  <c r="D650" i="33"/>
  <c r="D649" i="33"/>
  <c r="D648" i="33"/>
  <c r="D647" i="33"/>
  <c r="D646" i="33"/>
  <c r="D645" i="33"/>
  <c r="D644" i="33"/>
  <c r="D643" i="33"/>
  <c r="D642" i="33"/>
  <c r="D638" i="33"/>
  <c r="D637" i="33"/>
  <c r="D291" i="33" l="1"/>
  <c r="D290" i="33"/>
  <c r="D289" i="33"/>
  <c r="D288" i="33"/>
  <c r="D284" i="33"/>
  <c r="D283" i="33"/>
  <c r="D282" i="33"/>
  <c r="D281" i="33"/>
  <c r="D280" i="33"/>
  <c r="D279" i="33"/>
  <c r="D278" i="33"/>
  <c r="D277" i="33"/>
  <c r="D276" i="33"/>
  <c r="D275" i="33"/>
  <c r="D274" i="33"/>
  <c r="D273" i="33"/>
  <c r="D272" i="33"/>
  <c r="D271" i="33"/>
  <c r="D270" i="33"/>
  <c r="D269" i="33"/>
  <c r="D268" i="33"/>
  <c r="D267" i="33"/>
  <c r="D266" i="33"/>
  <c r="D265" i="33"/>
  <c r="D252" i="33"/>
  <c r="D253" i="33"/>
  <c r="D254" i="33"/>
  <c r="D255" i="33"/>
  <c r="D256" i="33"/>
  <c r="D257" i="33"/>
  <c r="D258" i="33"/>
  <c r="D259" i="33"/>
  <c r="D260" i="33"/>
  <c r="D261" i="33"/>
  <c r="D262" i="33"/>
  <c r="D263" i="33"/>
  <c r="D244" i="33"/>
  <c r="D245" i="33"/>
  <c r="D246" i="33"/>
  <c r="D247" i="33"/>
  <c r="D248" i="33"/>
  <c r="D249" i="33"/>
  <c r="D250" i="33"/>
  <c r="D25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199" i="33"/>
  <c r="D200" i="33"/>
  <c r="D201" i="33"/>
  <c r="D202" i="33"/>
  <c r="D203" i="33"/>
  <c r="D204" i="33"/>
  <c r="D205" i="33"/>
  <c r="D206" i="33"/>
  <c r="D207" i="33"/>
  <c r="D208" i="33"/>
  <c r="D209" i="33"/>
  <c r="D210" i="33"/>
  <c r="D211" i="33"/>
  <c r="D198"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67" i="33"/>
  <c r="D164" i="33"/>
  <c r="D163" i="33"/>
  <c r="D162" i="33"/>
  <c r="D161" i="33"/>
  <c r="D160" i="33"/>
  <c r="D159" i="33"/>
  <c r="D158" i="33"/>
  <c r="D157" i="33"/>
  <c r="D156" i="33"/>
  <c r="D155" i="33"/>
  <c r="D154" i="33"/>
  <c r="D153" i="33"/>
  <c r="D152" i="33"/>
  <c r="D151" i="33"/>
  <c r="D150" i="33"/>
  <c r="D149" i="33"/>
  <c r="D148" i="33"/>
  <c r="D147" i="33"/>
  <c r="D146" i="33"/>
  <c r="D145" i="33"/>
  <c r="D144" i="33"/>
  <c r="D143" i="33"/>
  <c r="D142" i="33"/>
  <c r="D141" i="33"/>
  <c r="D140" i="33"/>
  <c r="D139" i="33"/>
  <c r="D138" i="33"/>
  <c r="D137" i="33"/>
  <c r="D136" i="33"/>
  <c r="D135" i="33"/>
  <c r="D134" i="33"/>
  <c r="D133" i="33"/>
  <c r="D132" i="33"/>
  <c r="D131" i="33"/>
  <c r="D130" i="33"/>
  <c r="D129" i="33"/>
  <c r="D128" i="33"/>
  <c r="D127" i="33"/>
  <c r="D126" i="33"/>
  <c r="D125" i="33"/>
  <c r="D124" i="33"/>
  <c r="D123" i="33"/>
  <c r="D122" i="33"/>
  <c r="D121" i="33"/>
  <c r="D120" i="33"/>
  <c r="D119" i="33"/>
  <c r="D118" i="33"/>
  <c r="D117" i="33"/>
  <c r="D116" i="33"/>
  <c r="D115" i="33"/>
  <c r="D114" i="33"/>
  <c r="D113" i="33"/>
  <c r="D112" i="33"/>
  <c r="D111" i="33"/>
  <c r="D110" i="33"/>
  <c r="D109" i="33"/>
  <c r="D108" i="33"/>
  <c r="D107" i="33"/>
  <c r="D106" i="33"/>
  <c r="D105" i="33"/>
  <c r="D104" i="33"/>
  <c r="D103" i="33"/>
  <c r="D102" i="33"/>
  <c r="D101" i="33"/>
  <c r="D100" i="33"/>
  <c r="B35" i="33" l="1"/>
  <c r="D330" i="21" l="1"/>
  <c r="D786" i="33" s="1"/>
  <c r="D327" i="21"/>
  <c r="D783" i="33" s="1"/>
  <c r="D324" i="21"/>
  <c r="D780" i="33" s="1"/>
  <c r="D321" i="21"/>
  <c r="D777" i="33" s="1"/>
  <c r="D319" i="21"/>
  <c r="D322" i="21" l="1"/>
  <c r="D775" i="33"/>
  <c r="B279" i="21"/>
  <c r="B239" i="21"/>
  <c r="B241" i="21"/>
  <c r="B242" i="21"/>
  <c r="B243" i="21"/>
  <c r="B244" i="21"/>
  <c r="B251" i="21"/>
  <c r="B252" i="21"/>
  <c r="B253" i="21"/>
  <c r="B254" i="21"/>
  <c r="B261" i="21"/>
  <c r="B263" i="21"/>
  <c r="B270" i="21"/>
  <c r="B271" i="21"/>
  <c r="B272" i="21"/>
  <c r="B277" i="21"/>
  <c r="B281" i="21"/>
  <c r="B283" i="21"/>
  <c r="B286" i="21"/>
  <c r="B287" i="21"/>
  <c r="B288" i="21"/>
  <c r="B433" i="33" s="1"/>
  <c r="B289" i="21"/>
  <c r="B434" i="33" s="1"/>
  <c r="B290" i="21"/>
  <c r="B435" i="33" s="1"/>
  <c r="B297" i="21"/>
  <c r="B442" i="33" s="1"/>
  <c r="B306" i="21"/>
  <c r="B451" i="33" s="1"/>
  <c r="B307" i="21"/>
  <c r="B452" i="33" s="1"/>
  <c r="B309" i="21"/>
  <c r="B224" i="21"/>
  <c r="B225" i="21"/>
  <c r="B227" i="21"/>
  <c r="B228" i="21"/>
  <c r="B229" i="21"/>
  <c r="B230" i="21"/>
  <c r="B231" i="21"/>
  <c r="B232" i="21"/>
  <c r="B233" i="21"/>
  <c r="B234" i="21"/>
  <c r="B235" i="21"/>
  <c r="B236" i="21"/>
  <c r="B237" i="21"/>
  <c r="B226" i="21"/>
  <c r="D325" i="21" l="1"/>
  <c r="D778" i="33"/>
  <c r="Q279" i="21"/>
  <c r="M279" i="21"/>
  <c r="O279" i="21"/>
  <c r="J279" i="21"/>
  <c r="J283" i="21" s="1"/>
  <c r="K281" i="21" s="1"/>
  <c r="R279" i="21"/>
  <c r="K279" i="21"/>
  <c r="S279" i="21"/>
  <c r="N279" i="21"/>
  <c r="L279" i="21"/>
  <c r="T279" i="21"/>
  <c r="P279" i="21"/>
  <c r="J286" i="21" l="1"/>
  <c r="J288" i="21" s="1"/>
  <c r="J309" i="21" s="1"/>
  <c r="O133" i="21"/>
  <c r="D328" i="21"/>
  <c r="D781" i="33"/>
  <c r="K283" i="21"/>
  <c r="L281" i="21" s="1"/>
  <c r="L283" i="21" s="1"/>
  <c r="S133" i="21"/>
  <c r="N133" i="21"/>
  <c r="P133" i="21"/>
  <c r="J133" i="21"/>
  <c r="J137" i="21" s="1"/>
  <c r="J140" i="21" s="1"/>
  <c r="J142" i="21" s="1"/>
  <c r="J163" i="21" s="1"/>
  <c r="M133" i="21"/>
  <c r="T133" i="21"/>
  <c r="L133" i="21"/>
  <c r="K133" i="21"/>
  <c r="Q133" i="21"/>
  <c r="R133" i="21"/>
  <c r="D331" i="21" l="1"/>
  <c r="D787" i="33" s="1"/>
  <c r="D784" i="33"/>
  <c r="K286" i="21"/>
  <c r="K288" i="21" s="1"/>
  <c r="K309" i="21" s="1"/>
  <c r="L286" i="21"/>
  <c r="L288" i="21" s="1"/>
  <c r="L309" i="21" s="1"/>
  <c r="M281" i="21"/>
  <c r="M283" i="21" s="1"/>
  <c r="K135" i="21"/>
  <c r="K137" i="21" s="1"/>
  <c r="M286" i="21" l="1"/>
  <c r="M288" i="21" s="1"/>
  <c r="M309" i="21" s="1"/>
  <c r="N281" i="21"/>
  <c r="N283" i="21" s="1"/>
  <c r="L135" i="21"/>
  <c r="L137" i="21" s="1"/>
  <c r="L140" i="21" s="1"/>
  <c r="L142" i="21" s="1"/>
  <c r="L163" i="21" s="1"/>
  <c r="K140" i="21"/>
  <c r="K142" i="21" s="1"/>
  <c r="K163" i="21" s="1"/>
  <c r="O281" i="21" l="1"/>
  <c r="O283" i="21" s="1"/>
  <c r="N286" i="21"/>
  <c r="N288" i="21" s="1"/>
  <c r="N309" i="21" s="1"/>
  <c r="M135" i="21"/>
  <c r="M137" i="21" s="1"/>
  <c r="N135" i="21" s="1"/>
  <c r="N137" i="21" s="1"/>
  <c r="P281" i="21" l="1"/>
  <c r="P283" i="21" s="1"/>
  <c r="O286" i="21"/>
  <c r="O288" i="21" s="1"/>
  <c r="O309" i="21" s="1"/>
  <c r="M140" i="21"/>
  <c r="M142" i="21" s="1"/>
  <c r="M163" i="21" s="1"/>
  <c r="O135" i="21"/>
  <c r="O137" i="21" s="1"/>
  <c r="N140" i="21"/>
  <c r="N142" i="21" s="1"/>
  <c r="N163" i="21" s="1"/>
  <c r="Q281" i="21" l="1"/>
  <c r="Q283" i="21" s="1"/>
  <c r="P286" i="21"/>
  <c r="P288" i="21" s="1"/>
  <c r="P309" i="21" s="1"/>
  <c r="P135" i="21"/>
  <c r="P137" i="21" s="1"/>
  <c r="O140" i="21"/>
  <c r="O142" i="21" s="1"/>
  <c r="O163" i="21" s="1"/>
  <c r="R281" i="21" l="1"/>
  <c r="R283" i="21" s="1"/>
  <c r="Q286" i="21"/>
  <c r="Q288" i="21" s="1"/>
  <c r="Q309" i="21" s="1"/>
  <c r="Q135" i="21"/>
  <c r="Q137" i="21" s="1"/>
  <c r="P140" i="21"/>
  <c r="P142" i="21" s="1"/>
  <c r="P163" i="21" s="1"/>
  <c r="S281" i="21" l="1"/>
  <c r="S283" i="21" s="1"/>
  <c r="R286" i="21"/>
  <c r="R288" i="21" s="1"/>
  <c r="R309" i="21" s="1"/>
  <c r="R135" i="21"/>
  <c r="R137" i="21" s="1"/>
  <c r="Q140" i="21"/>
  <c r="Q142" i="21" s="1"/>
  <c r="Q163" i="21" s="1"/>
  <c r="S286" i="21" l="1"/>
  <c r="S288" i="21" s="1"/>
  <c r="S309" i="21" s="1"/>
  <c r="T281" i="21"/>
  <c r="T283" i="21" s="1"/>
  <c r="T286" i="21" s="1"/>
  <c r="T288" i="21" s="1"/>
  <c r="T309" i="21" s="1"/>
  <c r="S135" i="21"/>
  <c r="S137" i="21" s="1"/>
  <c r="R140" i="21"/>
  <c r="R142" i="21" s="1"/>
  <c r="R163" i="21" s="1"/>
  <c r="T135" i="21" l="1"/>
  <c r="T137" i="21" s="1"/>
  <c r="T140" i="21" s="1"/>
  <c r="T142" i="21" s="1"/>
  <c r="T163" i="21" s="1"/>
  <c r="S140" i="21"/>
  <c r="S142" i="21" s="1"/>
  <c r="S163" i="21" s="1"/>
  <c r="D85" i="14" l="1"/>
  <c r="D55" i="33" s="1"/>
  <c r="E612" i="33" l="1"/>
  <c r="G458" i="33"/>
  <c r="E609" i="33"/>
  <c r="E57" i="32"/>
  <c r="F57" i="32"/>
  <c r="E65" i="32"/>
  <c r="F65" i="32"/>
  <c r="E69" i="32"/>
  <c r="F69" i="32"/>
  <c r="E29" i="31"/>
  <c r="E30" i="31" s="1"/>
  <c r="E73" i="32" s="1"/>
  <c r="E489" i="33" s="1"/>
  <c r="F29" i="31"/>
  <c r="F30" i="31" s="1"/>
  <c r="F73" i="32" s="1"/>
  <c r="F489" i="33" s="1"/>
  <c r="E44" i="31"/>
  <c r="E45" i="31" s="1"/>
  <c r="E46" i="31" s="1"/>
  <c r="F44" i="31"/>
  <c r="F45" i="31" s="1"/>
  <c r="F46" i="31" s="1"/>
  <c r="E66" i="32" l="1"/>
  <c r="E482" i="33" s="1"/>
  <c r="E481" i="33"/>
  <c r="F58" i="32"/>
  <c r="F475" i="33" s="1"/>
  <c r="F474" i="33"/>
  <c r="F70" i="32"/>
  <c r="F486" i="33" s="1"/>
  <c r="F485" i="33"/>
  <c r="E58" i="32"/>
  <c r="E475" i="33" s="1"/>
  <c r="E474" i="33"/>
  <c r="E70" i="32"/>
  <c r="E486" i="33" s="1"/>
  <c r="E485" i="33"/>
  <c r="F66" i="32"/>
  <c r="F482" i="33" s="1"/>
  <c r="F481" i="33"/>
  <c r="F74" i="32"/>
  <c r="F490" i="33" s="1"/>
  <c r="E74" i="32"/>
  <c r="E490" i="33" s="1"/>
  <c r="F48" i="31"/>
  <c r="F31" i="31"/>
  <c r="F53" i="32" s="1"/>
  <c r="F470" i="33" s="1"/>
  <c r="E31" i="31"/>
  <c r="E53" i="32" s="1"/>
  <c r="E470" i="33" s="1"/>
  <c r="E48" i="31"/>
  <c r="E47" i="31"/>
  <c r="F47" i="31"/>
  <c r="E54" i="32" l="1"/>
  <c r="E471" i="33" s="1"/>
  <c r="F54" i="32"/>
  <c r="F471" i="33" s="1"/>
  <c r="E49" i="31"/>
  <c r="E51" i="31" s="1"/>
  <c r="E48" i="32" s="1"/>
  <c r="E465" i="33" s="1"/>
  <c r="F49" i="31"/>
  <c r="F51" i="31" s="1"/>
  <c r="F48" i="32" s="1"/>
  <c r="F465" i="33" s="1"/>
  <c r="F50" i="32" l="1"/>
  <c r="F467" i="33" s="1"/>
  <c r="F49" i="32"/>
  <c r="F466" i="33" s="1"/>
  <c r="E49" i="32"/>
  <c r="E466" i="33" s="1"/>
  <c r="E50" i="32"/>
  <c r="E467" i="33" s="1"/>
  <c r="C63"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272" i="22"/>
  <c r="B394" i="22" l="1"/>
  <c r="E394" i="22" s="1"/>
  <c r="B395" i="22"/>
  <c r="E395" i="22" s="1"/>
  <c r="B396" i="22"/>
  <c r="E396" i="22" s="1"/>
  <c r="B397" i="22"/>
  <c r="E397" i="22" s="1"/>
  <c r="B398" i="22"/>
  <c r="E398" i="22" s="1"/>
  <c r="B399" i="22"/>
  <c r="E399" i="22" s="1"/>
  <c r="B378" i="22"/>
  <c r="E378" i="22" s="1"/>
  <c r="B379" i="22"/>
  <c r="E379" i="22" s="1"/>
  <c r="B380" i="22"/>
  <c r="E380" i="22" s="1"/>
  <c r="B381" i="22"/>
  <c r="E381" i="22" s="1"/>
  <c r="B382" i="22"/>
  <c r="E382" i="22" s="1"/>
  <c r="B383" i="22"/>
  <c r="E383" i="22" s="1"/>
  <c r="B384" i="22"/>
  <c r="E384" i="22" s="1"/>
  <c r="B385" i="22"/>
  <c r="E385" i="22" s="1"/>
  <c r="B386" i="22"/>
  <c r="E386" i="22" s="1"/>
  <c r="B387" i="22"/>
  <c r="E387" i="22" s="1"/>
  <c r="B388" i="22"/>
  <c r="E388" i="22" s="1"/>
  <c r="B389" i="22"/>
  <c r="E389" i="22" s="1"/>
  <c r="B390" i="22"/>
  <c r="E390" i="22" s="1"/>
  <c r="B391" i="22"/>
  <c r="E391" i="22" s="1"/>
  <c r="B392" i="22"/>
  <c r="E392" i="22" s="1"/>
  <c r="B393" i="22"/>
  <c r="E393" i="22" s="1"/>
  <c r="B358" i="22"/>
  <c r="E358" i="22" s="1"/>
  <c r="B359" i="22"/>
  <c r="E359" i="22" s="1"/>
  <c r="B360" i="22"/>
  <c r="E360" i="22" s="1"/>
  <c r="B361" i="22"/>
  <c r="E361" i="22" s="1"/>
  <c r="B362" i="22"/>
  <c r="E362" i="22" s="1"/>
  <c r="B363" i="22"/>
  <c r="E363" i="22" s="1"/>
  <c r="B364" i="22"/>
  <c r="E364" i="22" s="1"/>
  <c r="B365" i="22"/>
  <c r="E365" i="22" s="1"/>
  <c r="B366" i="22"/>
  <c r="E366" i="22" s="1"/>
  <c r="B367" i="22"/>
  <c r="E367" i="22" s="1"/>
  <c r="B368" i="22"/>
  <c r="E368" i="22" s="1"/>
  <c r="B369" i="22"/>
  <c r="E369" i="22" s="1"/>
  <c r="B370" i="22"/>
  <c r="E370" i="22" s="1"/>
  <c r="B371" i="22"/>
  <c r="E371" i="22" s="1"/>
  <c r="B372" i="22"/>
  <c r="E372" i="22" s="1"/>
  <c r="B373" i="22"/>
  <c r="E373" i="22" s="1"/>
  <c r="B374" i="22"/>
  <c r="E374" i="22" s="1"/>
  <c r="B375" i="22"/>
  <c r="E375" i="22" s="1"/>
  <c r="B376" i="22"/>
  <c r="E376" i="22" s="1"/>
  <c r="B377" i="22"/>
  <c r="E377" i="22" s="1"/>
  <c r="B345" i="22"/>
  <c r="E345" i="22" s="1"/>
  <c r="B346" i="22"/>
  <c r="E346" i="22" s="1"/>
  <c r="B347" i="22"/>
  <c r="E347" i="22" s="1"/>
  <c r="B348" i="22"/>
  <c r="E348" i="22" s="1"/>
  <c r="B349" i="22"/>
  <c r="E349" i="22" s="1"/>
  <c r="B350" i="22"/>
  <c r="E350" i="22" s="1"/>
  <c r="B351" i="22"/>
  <c r="E351" i="22" s="1"/>
  <c r="B352" i="22"/>
  <c r="E352" i="22" s="1"/>
  <c r="B353" i="22"/>
  <c r="E353" i="22" s="1"/>
  <c r="B354" i="22"/>
  <c r="E354" i="22" s="1"/>
  <c r="B355" i="22"/>
  <c r="E355" i="22" s="1"/>
  <c r="B356" i="22"/>
  <c r="E356" i="22" s="1"/>
  <c r="B357" i="22"/>
  <c r="E357" i="22" s="1"/>
  <c r="B329" i="22"/>
  <c r="E329" i="22" s="1"/>
  <c r="B330" i="22"/>
  <c r="E330" i="22" s="1"/>
  <c r="B331" i="22"/>
  <c r="E331" i="22" s="1"/>
  <c r="B332" i="22"/>
  <c r="E332" i="22" s="1"/>
  <c r="B333" i="22"/>
  <c r="E333" i="22" s="1"/>
  <c r="B334" i="22"/>
  <c r="E334" i="22" s="1"/>
  <c r="B335" i="22"/>
  <c r="E335" i="22" s="1"/>
  <c r="B336" i="22"/>
  <c r="E336" i="22" s="1"/>
  <c r="B337" i="22"/>
  <c r="E337" i="22" s="1"/>
  <c r="B338" i="22"/>
  <c r="E338" i="22" s="1"/>
  <c r="B339" i="22"/>
  <c r="E339" i="22" s="1"/>
  <c r="B340" i="22"/>
  <c r="E340" i="22" s="1"/>
  <c r="B341" i="22"/>
  <c r="E341" i="22" s="1"/>
  <c r="B342" i="22"/>
  <c r="E342" i="22" s="1"/>
  <c r="B343" i="22"/>
  <c r="E343" i="22" s="1"/>
  <c r="B344" i="22"/>
  <c r="E344" i="22" s="1"/>
  <c r="B308" i="22"/>
  <c r="B309" i="22"/>
  <c r="E309" i="22" s="1"/>
  <c r="B310" i="22"/>
  <c r="E310" i="22" s="1"/>
  <c r="B311" i="22"/>
  <c r="E311" i="22" s="1"/>
  <c r="B312" i="22"/>
  <c r="E312" i="22" s="1"/>
  <c r="B313" i="22"/>
  <c r="E313" i="22" s="1"/>
  <c r="B314" i="22"/>
  <c r="E314" i="22" s="1"/>
  <c r="B315" i="22"/>
  <c r="E315" i="22" s="1"/>
  <c r="B316" i="22"/>
  <c r="E316" i="22" s="1"/>
  <c r="B317" i="22"/>
  <c r="E317" i="22" s="1"/>
  <c r="B318" i="22"/>
  <c r="E318" i="22" s="1"/>
  <c r="B319" i="22"/>
  <c r="E319" i="22" s="1"/>
  <c r="B320" i="22"/>
  <c r="E320" i="22" s="1"/>
  <c r="B321" i="22"/>
  <c r="E321" i="22" s="1"/>
  <c r="B322" i="22"/>
  <c r="E322" i="22" s="1"/>
  <c r="B323" i="22"/>
  <c r="E323" i="22" s="1"/>
  <c r="B324" i="22"/>
  <c r="E324" i="22" s="1"/>
  <c r="B325" i="22"/>
  <c r="E325" i="22" s="1"/>
  <c r="B326" i="22"/>
  <c r="E326" i="22" s="1"/>
  <c r="B327" i="22"/>
  <c r="E327" i="22" s="1"/>
  <c r="B328" i="22"/>
  <c r="E328" i="22" s="1"/>
  <c r="B286" i="22"/>
  <c r="E286" i="22" s="1"/>
  <c r="B287" i="22"/>
  <c r="E287" i="22" s="1"/>
  <c r="B288" i="22"/>
  <c r="E288" i="22" s="1"/>
  <c r="B289" i="22"/>
  <c r="E289" i="22" s="1"/>
  <c r="B290" i="22"/>
  <c r="E290" i="22" s="1"/>
  <c r="B291" i="22"/>
  <c r="E291" i="22" s="1"/>
  <c r="B292" i="22"/>
  <c r="E292" i="22" s="1"/>
  <c r="B293" i="22"/>
  <c r="E293" i="22" s="1"/>
  <c r="B294" i="22"/>
  <c r="E294" i="22" s="1"/>
  <c r="B295" i="22"/>
  <c r="E295" i="22" s="1"/>
  <c r="B296" i="22"/>
  <c r="E296" i="22" s="1"/>
  <c r="B297" i="22"/>
  <c r="E297" i="22" s="1"/>
  <c r="B298" i="22"/>
  <c r="E298" i="22" s="1"/>
  <c r="B299" i="22"/>
  <c r="B300" i="22"/>
  <c r="E300" i="22" s="1"/>
  <c r="B301" i="22"/>
  <c r="E301" i="22" s="1"/>
  <c r="B302" i="22"/>
  <c r="E302" i="22" s="1"/>
  <c r="B303" i="22"/>
  <c r="E303" i="22" s="1"/>
  <c r="B304" i="22"/>
  <c r="E304" i="22" s="1"/>
  <c r="B305" i="22"/>
  <c r="E305" i="22" s="1"/>
  <c r="B306" i="22"/>
  <c r="E306" i="22" s="1"/>
  <c r="B307" i="22"/>
  <c r="E307" i="22" s="1"/>
  <c r="B273" i="22"/>
  <c r="E273" i="22" s="1"/>
  <c r="B274" i="22"/>
  <c r="E274" i="22" s="1"/>
  <c r="B275" i="22"/>
  <c r="E275" i="22" s="1"/>
  <c r="B276" i="22"/>
  <c r="E276" i="22" s="1"/>
  <c r="B277" i="22"/>
  <c r="E277" i="22" s="1"/>
  <c r="B278" i="22"/>
  <c r="E278" i="22" s="1"/>
  <c r="B279" i="22"/>
  <c r="E279" i="22" s="1"/>
  <c r="B280" i="22"/>
  <c r="E280" i="22" s="1"/>
  <c r="B281" i="22"/>
  <c r="E281" i="22" s="1"/>
  <c r="B282" i="22"/>
  <c r="E282" i="22" s="1"/>
  <c r="B283" i="22"/>
  <c r="E283" i="22" s="1"/>
  <c r="B284" i="22"/>
  <c r="E284" i="22" s="1"/>
  <c r="B285" i="22"/>
  <c r="E285" i="22" s="1"/>
  <c r="B272" i="22"/>
  <c r="D47" i="22" s="1"/>
  <c r="E308" i="22" l="1"/>
  <c r="E272" i="22"/>
  <c r="E299" i="22"/>
  <c r="H624" i="33" l="1"/>
  <c r="I624" i="33"/>
  <c r="J624" i="33"/>
  <c r="K624" i="33"/>
  <c r="L624" i="33"/>
  <c r="M624" i="33"/>
  <c r="N624" i="33"/>
  <c r="O624" i="33"/>
  <c r="P624" i="33"/>
  <c r="Q624" i="33"/>
  <c r="R624" i="33"/>
  <c r="S624" i="33"/>
  <c r="T624" i="33"/>
  <c r="H625" i="33"/>
  <c r="I625" i="33"/>
  <c r="J625" i="33"/>
  <c r="K625" i="33"/>
  <c r="L625" i="33"/>
  <c r="M625" i="33"/>
  <c r="N625" i="33"/>
  <c r="O625" i="33"/>
  <c r="P625" i="33"/>
  <c r="Q625" i="33"/>
  <c r="R625" i="33"/>
  <c r="S625" i="33"/>
  <c r="T625" i="33"/>
  <c r="H626" i="33"/>
  <c r="I626" i="33"/>
  <c r="J626" i="33"/>
  <c r="K626" i="33"/>
  <c r="L626" i="33"/>
  <c r="M626" i="33"/>
  <c r="N626" i="33"/>
  <c r="O626" i="33"/>
  <c r="P626" i="33"/>
  <c r="Q626" i="33"/>
  <c r="R626" i="33"/>
  <c r="S626" i="33"/>
  <c r="T626" i="33"/>
  <c r="H627" i="33"/>
  <c r="I627" i="33"/>
  <c r="J627" i="33"/>
  <c r="K627" i="33"/>
  <c r="L627" i="33"/>
  <c r="M627" i="33"/>
  <c r="N627" i="33"/>
  <c r="O627" i="33"/>
  <c r="P627" i="33"/>
  <c r="Q627" i="33"/>
  <c r="R627" i="33"/>
  <c r="S627" i="33"/>
  <c r="T627" i="33"/>
  <c r="G625" i="33"/>
  <c r="G626" i="33"/>
  <c r="G627" i="33"/>
  <c r="G624" i="33"/>
  <c r="B624" i="33"/>
  <c r="B625" i="33"/>
  <c r="B626" i="33"/>
  <c r="B627" i="33"/>
  <c r="H619" i="33"/>
  <c r="I619" i="33"/>
  <c r="J619" i="33"/>
  <c r="K619" i="33"/>
  <c r="L619" i="33"/>
  <c r="M619" i="33"/>
  <c r="N619" i="33"/>
  <c r="O619" i="33"/>
  <c r="P619" i="33"/>
  <c r="Q619" i="33"/>
  <c r="R619" i="33"/>
  <c r="S619" i="33"/>
  <c r="T619" i="33"/>
  <c r="H620" i="33"/>
  <c r="I620" i="33"/>
  <c r="J620" i="33"/>
  <c r="K620" i="33"/>
  <c r="L620" i="33"/>
  <c r="M620" i="33"/>
  <c r="N620" i="33"/>
  <c r="O620" i="33"/>
  <c r="P620" i="33"/>
  <c r="Q620" i="33"/>
  <c r="R620" i="33"/>
  <c r="S620" i="33"/>
  <c r="T620" i="33"/>
  <c r="H621" i="33"/>
  <c r="I621" i="33"/>
  <c r="J621" i="33"/>
  <c r="K621" i="33"/>
  <c r="L621" i="33"/>
  <c r="M621" i="33"/>
  <c r="N621" i="33"/>
  <c r="O621" i="33"/>
  <c r="P621" i="33"/>
  <c r="Q621" i="33"/>
  <c r="R621" i="33"/>
  <c r="S621" i="33"/>
  <c r="T621" i="33"/>
  <c r="H622" i="33"/>
  <c r="I622" i="33"/>
  <c r="J622" i="33"/>
  <c r="K622" i="33"/>
  <c r="L622" i="33"/>
  <c r="M622" i="33"/>
  <c r="N622" i="33"/>
  <c r="O622" i="33"/>
  <c r="P622" i="33"/>
  <c r="Q622" i="33"/>
  <c r="R622" i="33"/>
  <c r="S622" i="33"/>
  <c r="T622" i="33"/>
  <c r="G620" i="33"/>
  <c r="G621" i="33"/>
  <c r="G622" i="33"/>
  <c r="G619" i="33"/>
  <c r="B619" i="33"/>
  <c r="B620" i="33"/>
  <c r="B621" i="33"/>
  <c r="B622" i="33"/>
  <c r="H614" i="33"/>
  <c r="I614" i="33"/>
  <c r="J614" i="33"/>
  <c r="K614" i="33"/>
  <c r="L614" i="33"/>
  <c r="M614" i="33"/>
  <c r="N614" i="33"/>
  <c r="O614" i="33"/>
  <c r="P614" i="33"/>
  <c r="Q614" i="33"/>
  <c r="R614" i="33"/>
  <c r="S614" i="33"/>
  <c r="T614" i="33"/>
  <c r="H615" i="33"/>
  <c r="I615" i="33"/>
  <c r="J615" i="33"/>
  <c r="K615" i="33"/>
  <c r="L615" i="33"/>
  <c r="M615" i="33"/>
  <c r="N615" i="33"/>
  <c r="O615" i="33"/>
  <c r="P615" i="33"/>
  <c r="Q615" i="33"/>
  <c r="R615" i="33"/>
  <c r="S615" i="33"/>
  <c r="T615" i="33"/>
  <c r="H616" i="33"/>
  <c r="I616" i="33"/>
  <c r="J616" i="33"/>
  <c r="K616" i="33"/>
  <c r="L616" i="33"/>
  <c r="M616" i="33"/>
  <c r="N616" i="33"/>
  <c r="O616" i="33"/>
  <c r="P616" i="33"/>
  <c r="Q616" i="33"/>
  <c r="R616" i="33"/>
  <c r="S616" i="33"/>
  <c r="T616" i="33"/>
  <c r="H617" i="33"/>
  <c r="I617" i="33"/>
  <c r="J617" i="33"/>
  <c r="K617" i="33"/>
  <c r="L617" i="33"/>
  <c r="M617" i="33"/>
  <c r="N617" i="33"/>
  <c r="O617" i="33"/>
  <c r="P617" i="33"/>
  <c r="Q617" i="33"/>
  <c r="R617" i="33"/>
  <c r="S617" i="33"/>
  <c r="T617" i="33"/>
  <c r="G615" i="33"/>
  <c r="G616" i="33"/>
  <c r="G617" i="33"/>
  <c r="G614" i="33"/>
  <c r="B615" i="33"/>
  <c r="B616" i="33"/>
  <c r="B617" i="33"/>
  <c r="B614" i="33"/>
  <c r="J612" i="33"/>
  <c r="J609" i="33"/>
  <c r="B94" i="32" l="1"/>
  <c r="C98" i="32"/>
  <c r="C627" i="33" s="1"/>
  <c r="C97" i="32"/>
  <c r="C626" i="33" s="1"/>
  <c r="C96" i="32"/>
  <c r="C625" i="33" s="1"/>
  <c r="C95" i="32"/>
  <c r="C624" i="33" s="1"/>
  <c r="B88" i="32"/>
  <c r="B82" i="32"/>
  <c r="C92" i="32"/>
  <c r="C622" i="33" s="1"/>
  <c r="C91" i="32"/>
  <c r="C621" i="33" s="1"/>
  <c r="C90" i="32"/>
  <c r="C620" i="33" s="1"/>
  <c r="C89" i="32"/>
  <c r="C619" i="33" s="1"/>
  <c r="B613" i="33" l="1"/>
  <c r="B618" i="33"/>
  <c r="D614" i="33"/>
  <c r="D615" i="33"/>
  <c r="D616" i="33"/>
  <c r="D617" i="33"/>
  <c r="B623" i="33"/>
  <c r="E599" i="33"/>
  <c r="F599" i="33"/>
  <c r="G599" i="33"/>
  <c r="H599" i="33"/>
  <c r="E600" i="33"/>
  <c r="F600" i="33"/>
  <c r="G600" i="33"/>
  <c r="H600" i="33"/>
  <c r="E601" i="33"/>
  <c r="F601" i="33"/>
  <c r="G601" i="33"/>
  <c r="H601" i="33"/>
  <c r="E602" i="33"/>
  <c r="F602" i="33"/>
  <c r="G602" i="33"/>
  <c r="H602" i="33"/>
  <c r="F603" i="33" l="1"/>
  <c r="E603" i="33"/>
  <c r="H603" i="33"/>
  <c r="G603" i="33"/>
  <c r="J158" i="33"/>
  <c r="K158" i="33"/>
  <c r="L158" i="33"/>
  <c r="M158" i="33"/>
  <c r="N158" i="33"/>
  <c r="O158" i="33"/>
  <c r="P158" i="33"/>
  <c r="Q158" i="33"/>
  <c r="J159" i="33"/>
  <c r="K159" i="33"/>
  <c r="L159" i="33"/>
  <c r="M159" i="33"/>
  <c r="N159" i="33"/>
  <c r="O159" i="33"/>
  <c r="P159" i="33"/>
  <c r="Q159" i="33"/>
  <c r="J160" i="33"/>
  <c r="K160" i="33"/>
  <c r="L160" i="33"/>
  <c r="M160" i="33"/>
  <c r="N160" i="33"/>
  <c r="O160" i="33"/>
  <c r="P160" i="33"/>
  <c r="Q160" i="33"/>
  <c r="J161" i="33"/>
  <c r="K161" i="33"/>
  <c r="L161" i="33"/>
  <c r="M161" i="33"/>
  <c r="N161" i="33"/>
  <c r="O161" i="33"/>
  <c r="P161" i="33"/>
  <c r="Q161" i="33"/>
  <c r="J162" i="33"/>
  <c r="K162" i="33"/>
  <c r="L162" i="33"/>
  <c r="M162" i="33"/>
  <c r="N162" i="33"/>
  <c r="O162" i="33"/>
  <c r="P162" i="33"/>
  <c r="Q162" i="33"/>
  <c r="J163" i="33"/>
  <c r="K163" i="33"/>
  <c r="L163" i="33"/>
  <c r="M163" i="33"/>
  <c r="N163" i="33"/>
  <c r="O163" i="33"/>
  <c r="P163" i="33"/>
  <c r="Q163" i="33"/>
  <c r="J164" i="33"/>
  <c r="K164" i="33"/>
  <c r="L164" i="33"/>
  <c r="M164" i="33"/>
  <c r="N164" i="33"/>
  <c r="O164" i="33"/>
  <c r="P164" i="33"/>
  <c r="Q164" i="33"/>
  <c r="J148" i="33"/>
  <c r="K148" i="33"/>
  <c r="L148" i="33"/>
  <c r="M148" i="33"/>
  <c r="N148" i="33"/>
  <c r="O148" i="33"/>
  <c r="P148" i="33"/>
  <c r="Q148" i="33"/>
  <c r="J149" i="33"/>
  <c r="K149" i="33"/>
  <c r="L149" i="33"/>
  <c r="M149" i="33"/>
  <c r="N149" i="33"/>
  <c r="O149" i="33"/>
  <c r="P149" i="33"/>
  <c r="Q149" i="33"/>
  <c r="J150" i="33"/>
  <c r="K150" i="33"/>
  <c r="L150" i="33"/>
  <c r="M150" i="33"/>
  <c r="N150" i="33"/>
  <c r="O150" i="33"/>
  <c r="P150" i="33"/>
  <c r="Q150" i="33"/>
  <c r="J151" i="33"/>
  <c r="K151" i="33"/>
  <c r="L151" i="33"/>
  <c r="M151" i="33"/>
  <c r="N151" i="33"/>
  <c r="O151" i="33"/>
  <c r="P151" i="33"/>
  <c r="Q151" i="33"/>
  <c r="J152" i="33"/>
  <c r="K152" i="33"/>
  <c r="L152" i="33"/>
  <c r="M152" i="33"/>
  <c r="N152" i="33"/>
  <c r="O152" i="33"/>
  <c r="P152" i="33"/>
  <c r="Q152" i="33"/>
  <c r="J153" i="33"/>
  <c r="K153" i="33"/>
  <c r="L153" i="33"/>
  <c r="M153" i="33"/>
  <c r="N153" i="33"/>
  <c r="O153" i="33"/>
  <c r="P153" i="33"/>
  <c r="Q153" i="33"/>
  <c r="J154" i="33"/>
  <c r="K154" i="33"/>
  <c r="L154" i="33"/>
  <c r="M154" i="33"/>
  <c r="N154" i="33"/>
  <c r="O154" i="33"/>
  <c r="P154" i="33"/>
  <c r="Q154" i="33"/>
  <c r="J127" i="33"/>
  <c r="K127" i="33"/>
  <c r="L127" i="33"/>
  <c r="M127" i="33"/>
  <c r="N127" i="33"/>
  <c r="O127" i="33"/>
  <c r="P127" i="33"/>
  <c r="Q127" i="33"/>
  <c r="J128" i="33"/>
  <c r="K128" i="33"/>
  <c r="L128" i="33"/>
  <c r="M128" i="33"/>
  <c r="N128" i="33"/>
  <c r="O128" i="33"/>
  <c r="P128" i="33"/>
  <c r="Q128" i="33"/>
  <c r="J129" i="33"/>
  <c r="K129" i="33"/>
  <c r="L129" i="33"/>
  <c r="M129" i="33"/>
  <c r="N129" i="33"/>
  <c r="O129" i="33"/>
  <c r="P129" i="33"/>
  <c r="Q129" i="33"/>
  <c r="J130" i="33"/>
  <c r="K130" i="33"/>
  <c r="L130" i="33"/>
  <c r="M130" i="33"/>
  <c r="N130" i="33"/>
  <c r="O130" i="33"/>
  <c r="P130" i="33"/>
  <c r="Q130" i="33"/>
  <c r="J131" i="33"/>
  <c r="K131" i="33"/>
  <c r="L131" i="33"/>
  <c r="M131" i="33"/>
  <c r="N131" i="33"/>
  <c r="O131" i="33"/>
  <c r="P131" i="33"/>
  <c r="Q131" i="33"/>
  <c r="J132" i="33"/>
  <c r="K132" i="33"/>
  <c r="L132" i="33"/>
  <c r="M132" i="33"/>
  <c r="N132" i="33"/>
  <c r="O132" i="33"/>
  <c r="P132" i="33"/>
  <c r="Q132" i="33"/>
  <c r="J133" i="33"/>
  <c r="K133" i="33"/>
  <c r="L133" i="33"/>
  <c r="M133" i="33"/>
  <c r="N133" i="33"/>
  <c r="O133" i="33"/>
  <c r="P133" i="33"/>
  <c r="Q133" i="33"/>
  <c r="J134" i="33"/>
  <c r="K134" i="33"/>
  <c r="L134" i="33"/>
  <c r="M134" i="33"/>
  <c r="N134" i="33"/>
  <c r="O134" i="33"/>
  <c r="P134" i="33"/>
  <c r="Q134" i="33"/>
  <c r="J135" i="33"/>
  <c r="K135" i="33"/>
  <c r="L135" i="33"/>
  <c r="M135" i="33"/>
  <c r="N135" i="33"/>
  <c r="O135" i="33"/>
  <c r="P135" i="33"/>
  <c r="Q135" i="33"/>
  <c r="J136" i="33"/>
  <c r="K136" i="33"/>
  <c r="L136" i="33"/>
  <c r="M136" i="33"/>
  <c r="N136" i="33"/>
  <c r="O136" i="33"/>
  <c r="P136" i="33"/>
  <c r="Q136" i="33"/>
  <c r="J137" i="33"/>
  <c r="K137" i="33"/>
  <c r="L137" i="33"/>
  <c r="M137" i="33"/>
  <c r="N137" i="33"/>
  <c r="O137" i="33"/>
  <c r="P137" i="33"/>
  <c r="Q137" i="33"/>
  <c r="J138" i="33"/>
  <c r="K138" i="33"/>
  <c r="L138" i="33"/>
  <c r="M138" i="33"/>
  <c r="N138" i="33"/>
  <c r="O138" i="33"/>
  <c r="P138" i="33"/>
  <c r="Q138" i="33"/>
  <c r="J139" i="33"/>
  <c r="K139" i="33"/>
  <c r="L139" i="33"/>
  <c r="M139" i="33"/>
  <c r="N139" i="33"/>
  <c r="O139" i="33"/>
  <c r="P139" i="33"/>
  <c r="Q139" i="33"/>
  <c r="J140" i="33"/>
  <c r="K140" i="33"/>
  <c r="L140" i="33"/>
  <c r="M140" i="33"/>
  <c r="N140" i="33"/>
  <c r="O140" i="33"/>
  <c r="P140" i="33"/>
  <c r="Q140" i="33"/>
  <c r="J141" i="33"/>
  <c r="K141" i="33"/>
  <c r="L141" i="33"/>
  <c r="M141" i="33"/>
  <c r="N141" i="33"/>
  <c r="O141" i="33"/>
  <c r="P141" i="33"/>
  <c r="Q141" i="33"/>
  <c r="J142" i="33"/>
  <c r="K142" i="33"/>
  <c r="L142" i="33"/>
  <c r="M142" i="33"/>
  <c r="N142" i="33"/>
  <c r="O142" i="33"/>
  <c r="P142" i="33"/>
  <c r="Q142" i="33"/>
  <c r="J143" i="33"/>
  <c r="K143" i="33"/>
  <c r="L143" i="33"/>
  <c r="M143" i="33"/>
  <c r="N143" i="33"/>
  <c r="O143" i="33"/>
  <c r="P143" i="33"/>
  <c r="Q143" i="33"/>
  <c r="J144" i="33"/>
  <c r="K144" i="33"/>
  <c r="L144" i="33"/>
  <c r="M144" i="33"/>
  <c r="N144" i="33"/>
  <c r="O144" i="33"/>
  <c r="P144" i="33"/>
  <c r="Q144" i="33"/>
  <c r="J119" i="33"/>
  <c r="K119" i="33"/>
  <c r="L119" i="33"/>
  <c r="M119" i="33"/>
  <c r="N119" i="33"/>
  <c r="O119" i="33"/>
  <c r="P119" i="33"/>
  <c r="Q119" i="33"/>
  <c r="J104" i="33"/>
  <c r="K104" i="33"/>
  <c r="L104" i="33"/>
  <c r="M104" i="33"/>
  <c r="N104" i="33"/>
  <c r="O104" i="33"/>
  <c r="P104" i="33"/>
  <c r="Q104" i="33"/>
  <c r="J105" i="33"/>
  <c r="K105" i="33"/>
  <c r="L105" i="33"/>
  <c r="M105" i="33"/>
  <c r="N105" i="33"/>
  <c r="O105" i="33"/>
  <c r="P105" i="33"/>
  <c r="Q105" i="33"/>
  <c r="J106" i="33"/>
  <c r="K106" i="33"/>
  <c r="L106" i="33"/>
  <c r="M106" i="33"/>
  <c r="N106" i="33"/>
  <c r="O106" i="33"/>
  <c r="P106" i="33"/>
  <c r="Q106" i="33"/>
  <c r="J107" i="33"/>
  <c r="K107" i="33"/>
  <c r="L107" i="33"/>
  <c r="M107" i="33"/>
  <c r="N107" i="33"/>
  <c r="O107" i="33"/>
  <c r="P107" i="33"/>
  <c r="Q107" i="33"/>
  <c r="J108" i="33"/>
  <c r="K108" i="33"/>
  <c r="L108" i="33"/>
  <c r="M108" i="33"/>
  <c r="N108" i="33"/>
  <c r="O108" i="33"/>
  <c r="P108" i="33"/>
  <c r="Q108" i="33"/>
  <c r="J109" i="33"/>
  <c r="K109" i="33"/>
  <c r="L109" i="33"/>
  <c r="M109" i="33"/>
  <c r="N109" i="33"/>
  <c r="O109" i="33"/>
  <c r="P109" i="33"/>
  <c r="Q109" i="33"/>
  <c r="J110" i="33"/>
  <c r="K110" i="33"/>
  <c r="L110" i="33"/>
  <c r="M110" i="33"/>
  <c r="N110" i="33"/>
  <c r="O110" i="33"/>
  <c r="P110" i="33"/>
  <c r="Q110" i="33"/>
  <c r="J111" i="33"/>
  <c r="K111" i="33"/>
  <c r="L111" i="33"/>
  <c r="M111" i="33"/>
  <c r="N111" i="33"/>
  <c r="O111" i="33"/>
  <c r="P111" i="33"/>
  <c r="Q111" i="33"/>
  <c r="J112" i="33"/>
  <c r="K112" i="33"/>
  <c r="L112" i="33"/>
  <c r="M112" i="33"/>
  <c r="N112" i="33"/>
  <c r="O112" i="33"/>
  <c r="P112" i="33"/>
  <c r="Q112" i="33"/>
  <c r="J113" i="33"/>
  <c r="K113" i="33"/>
  <c r="L113" i="33"/>
  <c r="M113" i="33"/>
  <c r="N113" i="33"/>
  <c r="O113" i="33"/>
  <c r="P113" i="33"/>
  <c r="Q113" i="33"/>
  <c r="J114" i="33"/>
  <c r="K114" i="33"/>
  <c r="L114" i="33"/>
  <c r="M114" i="33"/>
  <c r="N114" i="33"/>
  <c r="O114" i="33"/>
  <c r="P114" i="33"/>
  <c r="Q114" i="33"/>
  <c r="J115" i="33"/>
  <c r="K115" i="33"/>
  <c r="L115" i="33"/>
  <c r="M115" i="33"/>
  <c r="N115" i="33"/>
  <c r="O115" i="33"/>
  <c r="P115" i="33"/>
  <c r="Q115" i="33"/>
  <c r="J116" i="33"/>
  <c r="K116" i="33"/>
  <c r="L116" i="33"/>
  <c r="M116" i="33"/>
  <c r="N116" i="33"/>
  <c r="O116" i="33"/>
  <c r="P116" i="33"/>
  <c r="Q116" i="33"/>
  <c r="J117" i="33"/>
  <c r="K117" i="33"/>
  <c r="L117" i="33"/>
  <c r="M117" i="33"/>
  <c r="N117" i="33"/>
  <c r="O117" i="33"/>
  <c r="P117" i="33"/>
  <c r="Q117" i="33"/>
  <c r="J118" i="33"/>
  <c r="K118" i="33"/>
  <c r="L118" i="33"/>
  <c r="M118" i="33"/>
  <c r="N118" i="33"/>
  <c r="O118" i="33"/>
  <c r="P118" i="33"/>
  <c r="Q118" i="33"/>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93" i="4"/>
  <c r="C77" i="4"/>
  <c r="C78" i="4"/>
  <c r="C79" i="4"/>
  <c r="C80" i="4"/>
  <c r="C81" i="4"/>
  <c r="C82" i="4"/>
  <c r="C83" i="4"/>
  <c r="C84" i="4"/>
  <c r="C85" i="4"/>
  <c r="C76" i="4"/>
  <c r="C66" i="4"/>
  <c r="C67" i="4"/>
  <c r="C68" i="4"/>
  <c r="C69" i="4"/>
  <c r="C70" i="4"/>
  <c r="C71" i="4"/>
  <c r="C72" i="4"/>
  <c r="C73" i="4"/>
  <c r="C74" i="4"/>
  <c r="C65" i="4"/>
  <c r="C40" i="4"/>
  <c r="C41" i="4"/>
  <c r="C42" i="4"/>
  <c r="C43" i="4"/>
  <c r="C44" i="4"/>
  <c r="C45" i="4"/>
  <c r="C46" i="4"/>
  <c r="C47" i="4"/>
  <c r="C48" i="4"/>
  <c r="C49" i="4"/>
  <c r="C50" i="4"/>
  <c r="C51" i="4"/>
  <c r="C52" i="4"/>
  <c r="C53" i="4"/>
  <c r="C54" i="4"/>
  <c r="C55" i="4"/>
  <c r="C56" i="4"/>
  <c r="C57" i="4"/>
  <c r="C58" i="4"/>
  <c r="C59" i="4"/>
  <c r="C60" i="4"/>
  <c r="C61" i="4"/>
  <c r="C62" i="4"/>
  <c r="C63" i="4"/>
  <c r="C39" i="4"/>
  <c r="C20" i="4"/>
  <c r="C21" i="4"/>
  <c r="C22" i="4"/>
  <c r="C23" i="4"/>
  <c r="C24" i="4"/>
  <c r="C25" i="4"/>
  <c r="C26" i="4"/>
  <c r="C27" i="4"/>
  <c r="C28" i="4"/>
  <c r="C29" i="4"/>
  <c r="C30" i="4"/>
  <c r="C31" i="4"/>
  <c r="C32" i="4"/>
  <c r="C33" i="4"/>
  <c r="C34" i="4"/>
  <c r="C35" i="4"/>
  <c r="C36" i="4"/>
  <c r="C37" i="4"/>
  <c r="C19" i="4"/>
  <c r="C18" i="4"/>
  <c r="C87" i="15"/>
  <c r="C88" i="15"/>
  <c r="C89" i="15"/>
  <c r="C158" i="33" s="1"/>
  <c r="C90" i="15"/>
  <c r="C159" i="33" s="1"/>
  <c r="C91" i="15"/>
  <c r="C160" i="33" s="1"/>
  <c r="C92" i="15"/>
  <c r="C161" i="33" s="1"/>
  <c r="C93" i="15"/>
  <c r="C162" i="33" s="1"/>
  <c r="C94" i="15"/>
  <c r="C163" i="33" s="1"/>
  <c r="C95" i="15"/>
  <c r="C164" i="33" s="1"/>
  <c r="C86" i="15"/>
  <c r="C76" i="15"/>
  <c r="C77" i="15"/>
  <c r="C78" i="15"/>
  <c r="C148" i="33" s="1"/>
  <c r="C79" i="15"/>
  <c r="C149" i="33" s="1"/>
  <c r="C80" i="15"/>
  <c r="C150" i="33" s="1"/>
  <c r="C81" i="15"/>
  <c r="C151" i="33" s="1"/>
  <c r="C82" i="15"/>
  <c r="C152" i="33" s="1"/>
  <c r="C83" i="15"/>
  <c r="C153" i="33" s="1"/>
  <c r="C84" i="15"/>
  <c r="C154" i="33" s="1"/>
  <c r="C75" i="15"/>
  <c r="C145" i="33" s="1"/>
  <c r="C50" i="15"/>
  <c r="C51" i="15"/>
  <c r="C52" i="15"/>
  <c r="C53" i="15"/>
  <c r="C54" i="15"/>
  <c r="C55" i="15"/>
  <c r="C56" i="15"/>
  <c r="C127" i="33" s="1"/>
  <c r="C57" i="15"/>
  <c r="C128" i="33" s="1"/>
  <c r="C58" i="15"/>
  <c r="C129" i="33" s="1"/>
  <c r="C59" i="15"/>
  <c r="C130" i="33" s="1"/>
  <c r="C60" i="15"/>
  <c r="C131" i="33" s="1"/>
  <c r="C61" i="15"/>
  <c r="C132" i="33" s="1"/>
  <c r="C62" i="15"/>
  <c r="C133" i="33" s="1"/>
  <c r="C63" i="15"/>
  <c r="C134" i="33" s="1"/>
  <c r="C64" i="15"/>
  <c r="C135" i="33" s="1"/>
  <c r="C65" i="15"/>
  <c r="C136" i="33" s="1"/>
  <c r="C66" i="15"/>
  <c r="C137" i="33" s="1"/>
  <c r="C67" i="15"/>
  <c r="C138" i="33" s="1"/>
  <c r="C68" i="15"/>
  <c r="C139" i="33" s="1"/>
  <c r="C69" i="15"/>
  <c r="C140" i="33" s="1"/>
  <c r="C70" i="15"/>
  <c r="C141" i="33" s="1"/>
  <c r="C71" i="15"/>
  <c r="C142" i="33" s="1"/>
  <c r="C72" i="15"/>
  <c r="C143" i="33" s="1"/>
  <c r="C73" i="15"/>
  <c r="C144" i="33" s="1"/>
  <c r="C49" i="15"/>
  <c r="C29" i="15"/>
  <c r="C101" i="33" s="1"/>
  <c r="C30" i="15"/>
  <c r="C102" i="33" s="1"/>
  <c r="C31" i="15"/>
  <c r="C103" i="33" s="1"/>
  <c r="C32" i="15"/>
  <c r="C104" i="33" s="1"/>
  <c r="C33" i="15"/>
  <c r="C105" i="33" s="1"/>
  <c r="C34" i="15"/>
  <c r="C106" i="33" s="1"/>
  <c r="C35" i="15"/>
  <c r="C107" i="33" s="1"/>
  <c r="C36" i="15"/>
  <c r="C108" i="33" s="1"/>
  <c r="C37" i="15"/>
  <c r="C109" i="33" s="1"/>
  <c r="C38" i="15"/>
  <c r="C110" i="33" s="1"/>
  <c r="C39" i="15"/>
  <c r="C111" i="33" s="1"/>
  <c r="C40" i="15"/>
  <c r="C112" i="33" s="1"/>
  <c r="C41" i="15"/>
  <c r="C113" i="33" s="1"/>
  <c r="C42" i="15"/>
  <c r="C114" i="33" s="1"/>
  <c r="C43" i="15"/>
  <c r="C115" i="33" s="1"/>
  <c r="C44" i="15"/>
  <c r="C116" i="33" s="1"/>
  <c r="C45" i="15"/>
  <c r="C117" i="33" s="1"/>
  <c r="C46" i="15"/>
  <c r="C118" i="33" s="1"/>
  <c r="C47" i="15"/>
  <c r="C119" i="33" s="1"/>
  <c r="C28" i="15"/>
  <c r="X33" i="15"/>
  <c r="Y33" i="15"/>
  <c r="Z33" i="15"/>
  <c r="AA33" i="15"/>
  <c r="AB33" i="15"/>
  <c r="AC33" i="15"/>
  <c r="AD33" i="15"/>
  <c r="AF33" i="15"/>
  <c r="AG33" i="15"/>
  <c r="AH33" i="15"/>
  <c r="AI33" i="15"/>
  <c r="AJ33" i="15"/>
  <c r="AK33" i="15"/>
  <c r="AL33" i="15"/>
  <c r="AV33" i="15"/>
  <c r="AW33" i="15"/>
  <c r="AX33" i="15"/>
  <c r="AY33" i="15"/>
  <c r="AZ33" i="15"/>
  <c r="BA33" i="15"/>
  <c r="BB33" i="15"/>
  <c r="X34" i="15"/>
  <c r="Y34" i="15"/>
  <c r="Z34" i="15"/>
  <c r="AA34" i="15"/>
  <c r="AB34" i="15"/>
  <c r="AC34" i="15"/>
  <c r="AD34" i="15"/>
  <c r="AF34" i="15"/>
  <c r="AG34" i="15"/>
  <c r="AH34" i="15"/>
  <c r="AI34" i="15"/>
  <c r="AJ34" i="15"/>
  <c r="AK34" i="15"/>
  <c r="AL34" i="15"/>
  <c r="AV34" i="15"/>
  <c r="AW34" i="15"/>
  <c r="AX34" i="15"/>
  <c r="AY34" i="15"/>
  <c r="AZ34" i="15"/>
  <c r="BA34" i="15"/>
  <c r="BB34" i="15"/>
  <c r="X35" i="15"/>
  <c r="Y35" i="15"/>
  <c r="Z35" i="15"/>
  <c r="AA35" i="15"/>
  <c r="AB35" i="15"/>
  <c r="AC35" i="15"/>
  <c r="AD35" i="15"/>
  <c r="AF35" i="15"/>
  <c r="AG35" i="15"/>
  <c r="AH35" i="15"/>
  <c r="AI35" i="15"/>
  <c r="AJ35" i="15"/>
  <c r="AK35" i="15"/>
  <c r="AL35" i="15"/>
  <c r="AV35" i="15"/>
  <c r="AW35" i="15"/>
  <c r="AX35" i="15"/>
  <c r="AY35" i="15"/>
  <c r="AZ35" i="15"/>
  <c r="BA35" i="15"/>
  <c r="BB35" i="15"/>
  <c r="X36" i="15"/>
  <c r="Y36" i="15"/>
  <c r="Z36" i="15"/>
  <c r="AA36" i="15"/>
  <c r="AB36" i="15"/>
  <c r="AC36" i="15"/>
  <c r="AD36" i="15"/>
  <c r="AF36" i="15"/>
  <c r="AG36" i="15"/>
  <c r="AH36" i="15"/>
  <c r="AI36" i="15"/>
  <c r="AJ36" i="15"/>
  <c r="AK36" i="15"/>
  <c r="AL36" i="15"/>
  <c r="AV36" i="15"/>
  <c r="AW36" i="15"/>
  <c r="AX36" i="15"/>
  <c r="AY36" i="15"/>
  <c r="AZ36" i="15"/>
  <c r="BA36" i="15"/>
  <c r="BB36" i="15"/>
  <c r="X37" i="15"/>
  <c r="Y37" i="15"/>
  <c r="Z37" i="15"/>
  <c r="AA37" i="15"/>
  <c r="AB37" i="15"/>
  <c r="AC37" i="15"/>
  <c r="AD37" i="15"/>
  <c r="AF37" i="15"/>
  <c r="AG37" i="15"/>
  <c r="AH37" i="15"/>
  <c r="AI37" i="15"/>
  <c r="AJ37" i="15"/>
  <c r="AK37" i="15"/>
  <c r="AL37" i="15"/>
  <c r="AV37" i="15"/>
  <c r="AW37" i="15"/>
  <c r="AX37" i="15"/>
  <c r="AY37" i="15"/>
  <c r="AZ37" i="15"/>
  <c r="BA37" i="15"/>
  <c r="BB37" i="15"/>
  <c r="X38" i="15"/>
  <c r="Y38" i="15"/>
  <c r="Z38" i="15"/>
  <c r="AA38" i="15"/>
  <c r="AB38" i="15"/>
  <c r="AC38" i="15"/>
  <c r="AD38" i="15"/>
  <c r="AF38" i="15"/>
  <c r="AG38" i="15"/>
  <c r="AH38" i="15"/>
  <c r="AI38" i="15"/>
  <c r="AJ38" i="15"/>
  <c r="AK38" i="15"/>
  <c r="AL38" i="15"/>
  <c r="AV38" i="15"/>
  <c r="AW38" i="15"/>
  <c r="AX38" i="15"/>
  <c r="AY38" i="15"/>
  <c r="AZ38" i="15"/>
  <c r="BA38" i="15"/>
  <c r="BB38" i="15"/>
  <c r="X39" i="15"/>
  <c r="Y39" i="15"/>
  <c r="Z39" i="15"/>
  <c r="AA39" i="15"/>
  <c r="AB39" i="15"/>
  <c r="AC39" i="15"/>
  <c r="AD39" i="15"/>
  <c r="AF39" i="15"/>
  <c r="AG39" i="15"/>
  <c r="AH39" i="15"/>
  <c r="AI39" i="15"/>
  <c r="AJ39" i="15"/>
  <c r="AK39" i="15"/>
  <c r="AL39" i="15"/>
  <c r="AV39" i="15"/>
  <c r="AW39" i="15"/>
  <c r="AX39" i="15"/>
  <c r="AY39" i="15"/>
  <c r="AZ39" i="15"/>
  <c r="BA39" i="15"/>
  <c r="BB39" i="15"/>
  <c r="X40" i="15"/>
  <c r="Y40" i="15"/>
  <c r="Z40" i="15"/>
  <c r="AA40" i="15"/>
  <c r="AB40" i="15"/>
  <c r="AC40" i="15"/>
  <c r="AD40" i="15"/>
  <c r="AF40" i="15"/>
  <c r="AG40" i="15"/>
  <c r="AH40" i="15"/>
  <c r="AI40" i="15"/>
  <c r="AJ40" i="15"/>
  <c r="AK40" i="15"/>
  <c r="AL40" i="15"/>
  <c r="AV40" i="15"/>
  <c r="AW40" i="15"/>
  <c r="AX40" i="15"/>
  <c r="AY40" i="15"/>
  <c r="AZ40" i="15"/>
  <c r="BA40" i="15"/>
  <c r="BB40" i="15"/>
  <c r="X41" i="15"/>
  <c r="Y41" i="15"/>
  <c r="Z41" i="15"/>
  <c r="AA41" i="15"/>
  <c r="AB41" i="15"/>
  <c r="AC41" i="15"/>
  <c r="AD41" i="15"/>
  <c r="AF41" i="15"/>
  <c r="AG41" i="15"/>
  <c r="AH41" i="15"/>
  <c r="AI41" i="15"/>
  <c r="AJ41" i="15"/>
  <c r="AK41" i="15"/>
  <c r="AL41" i="15"/>
  <c r="AV41" i="15"/>
  <c r="AW41" i="15"/>
  <c r="AX41" i="15"/>
  <c r="AY41" i="15"/>
  <c r="AZ41" i="15"/>
  <c r="BA41" i="15"/>
  <c r="BB41" i="15"/>
  <c r="X42" i="15"/>
  <c r="Y42" i="15"/>
  <c r="Z42" i="15"/>
  <c r="AA42" i="15"/>
  <c r="AB42" i="15"/>
  <c r="AC42" i="15"/>
  <c r="AD42" i="15"/>
  <c r="AF42" i="15"/>
  <c r="AG42" i="15"/>
  <c r="AH42" i="15"/>
  <c r="AI42" i="15"/>
  <c r="AJ42" i="15"/>
  <c r="AK42" i="15"/>
  <c r="AL42" i="15"/>
  <c r="AV42" i="15"/>
  <c r="AW42" i="15"/>
  <c r="AX42" i="15"/>
  <c r="AY42" i="15"/>
  <c r="AZ42" i="15"/>
  <c r="BA42" i="15"/>
  <c r="BB42" i="15"/>
  <c r="X43" i="15"/>
  <c r="Y43" i="15"/>
  <c r="Z43" i="15"/>
  <c r="AA43" i="15"/>
  <c r="AB43" i="15"/>
  <c r="AC43" i="15"/>
  <c r="AD43" i="15"/>
  <c r="AF43" i="15"/>
  <c r="AG43" i="15"/>
  <c r="AH43" i="15"/>
  <c r="AI43" i="15"/>
  <c r="AJ43" i="15"/>
  <c r="AK43" i="15"/>
  <c r="AL43" i="15"/>
  <c r="AV43" i="15"/>
  <c r="AW43" i="15"/>
  <c r="AX43" i="15"/>
  <c r="AY43" i="15"/>
  <c r="AZ43" i="15"/>
  <c r="BA43" i="15"/>
  <c r="BB43" i="15"/>
  <c r="X44" i="15"/>
  <c r="Y44" i="15"/>
  <c r="Z44" i="15"/>
  <c r="AA44" i="15"/>
  <c r="AB44" i="15"/>
  <c r="AC44" i="15"/>
  <c r="AD44" i="15"/>
  <c r="AF44" i="15"/>
  <c r="AG44" i="15"/>
  <c r="AH44" i="15"/>
  <c r="AI44" i="15"/>
  <c r="AJ44" i="15"/>
  <c r="AK44" i="15"/>
  <c r="AL44" i="15"/>
  <c r="AV44" i="15"/>
  <c r="AW44" i="15"/>
  <c r="AX44" i="15"/>
  <c r="AY44" i="15"/>
  <c r="AZ44" i="15"/>
  <c r="BA44" i="15"/>
  <c r="BB44" i="15"/>
  <c r="X45" i="15"/>
  <c r="Y45" i="15"/>
  <c r="Z45" i="15"/>
  <c r="AA45" i="15"/>
  <c r="AB45" i="15"/>
  <c r="AC45" i="15"/>
  <c r="AD45" i="15"/>
  <c r="AF45" i="15"/>
  <c r="AG45" i="15"/>
  <c r="AH45" i="15"/>
  <c r="AI45" i="15"/>
  <c r="AJ45" i="15"/>
  <c r="AK45" i="15"/>
  <c r="AL45" i="15"/>
  <c r="AV45" i="15"/>
  <c r="AW45" i="15"/>
  <c r="AX45" i="15"/>
  <c r="AY45" i="15"/>
  <c r="AZ45" i="15"/>
  <c r="BA45" i="15"/>
  <c r="BB45" i="15"/>
  <c r="X46" i="15"/>
  <c r="Y46" i="15"/>
  <c r="Z46" i="15"/>
  <c r="AA46" i="15"/>
  <c r="AB46" i="15"/>
  <c r="AC46" i="15"/>
  <c r="AD46" i="15"/>
  <c r="AF46" i="15"/>
  <c r="AG46" i="15"/>
  <c r="AH46" i="15"/>
  <c r="AI46" i="15"/>
  <c r="AJ46" i="15"/>
  <c r="AK46" i="15"/>
  <c r="AL46" i="15"/>
  <c r="AV46" i="15"/>
  <c r="AW46" i="15"/>
  <c r="AX46" i="15"/>
  <c r="AY46" i="15"/>
  <c r="AZ46" i="15"/>
  <c r="BA46" i="15"/>
  <c r="BB46" i="15"/>
  <c r="X47" i="15"/>
  <c r="Y47" i="15"/>
  <c r="Z47" i="15"/>
  <c r="AA47" i="15"/>
  <c r="AB47" i="15"/>
  <c r="AC47" i="15"/>
  <c r="AD47" i="15"/>
  <c r="AF47" i="15"/>
  <c r="AG47" i="15"/>
  <c r="AH47" i="15"/>
  <c r="AI47" i="15"/>
  <c r="AJ47" i="15"/>
  <c r="AK47" i="15"/>
  <c r="AL47" i="15"/>
  <c r="AV47" i="15"/>
  <c r="AW47" i="15"/>
  <c r="AX47" i="15"/>
  <c r="AY47" i="15"/>
  <c r="AZ47" i="15"/>
  <c r="BA47" i="15"/>
  <c r="BB47" i="15"/>
  <c r="X49" i="15"/>
  <c r="Y49" i="15"/>
  <c r="Z49" i="15"/>
  <c r="AA49" i="15"/>
  <c r="AB49" i="15"/>
  <c r="AC49" i="15"/>
  <c r="AD49" i="15"/>
  <c r="AF49" i="15"/>
  <c r="AG49" i="15"/>
  <c r="AH49" i="15"/>
  <c r="AI49" i="15"/>
  <c r="AJ49" i="15"/>
  <c r="AK49" i="15"/>
  <c r="AL49" i="15"/>
  <c r="AV49" i="15"/>
  <c r="AW49" i="15"/>
  <c r="AX49" i="15"/>
  <c r="AY49" i="15"/>
  <c r="AZ49" i="15"/>
  <c r="BA49" i="15"/>
  <c r="BB49" i="15"/>
  <c r="X50" i="15"/>
  <c r="Y50" i="15"/>
  <c r="Z50" i="15"/>
  <c r="AA50" i="15"/>
  <c r="AB50" i="15"/>
  <c r="AC50" i="15"/>
  <c r="AD50" i="15"/>
  <c r="AF50" i="15"/>
  <c r="AG50" i="15"/>
  <c r="AH50" i="15"/>
  <c r="AI50" i="15"/>
  <c r="AJ50" i="15"/>
  <c r="AK50" i="15"/>
  <c r="AL50" i="15"/>
  <c r="AV50" i="15"/>
  <c r="AW50" i="15"/>
  <c r="AX50" i="15"/>
  <c r="AY50" i="15"/>
  <c r="AZ50" i="15"/>
  <c r="BA50" i="15"/>
  <c r="BB50" i="15"/>
  <c r="X51" i="15"/>
  <c r="Y51" i="15"/>
  <c r="Z51" i="15"/>
  <c r="AA51" i="15"/>
  <c r="AB51" i="15"/>
  <c r="AC51" i="15"/>
  <c r="AD51" i="15"/>
  <c r="AF51" i="15"/>
  <c r="AG51" i="15"/>
  <c r="AH51" i="15"/>
  <c r="AI51" i="15"/>
  <c r="AJ51" i="15"/>
  <c r="AK51" i="15"/>
  <c r="AL51" i="15"/>
  <c r="AV51" i="15"/>
  <c r="AW51" i="15"/>
  <c r="AX51" i="15"/>
  <c r="AY51" i="15"/>
  <c r="AZ51" i="15"/>
  <c r="BA51" i="15"/>
  <c r="BB51" i="15"/>
  <c r="X52" i="15"/>
  <c r="Y52" i="15"/>
  <c r="Z52" i="15"/>
  <c r="AA52" i="15"/>
  <c r="AB52" i="15"/>
  <c r="AC52" i="15"/>
  <c r="AD52" i="15"/>
  <c r="AF52" i="15"/>
  <c r="AG52" i="15"/>
  <c r="AH52" i="15"/>
  <c r="AI52" i="15"/>
  <c r="AJ52" i="15"/>
  <c r="AK52" i="15"/>
  <c r="AL52" i="15"/>
  <c r="AV52" i="15"/>
  <c r="AW52" i="15"/>
  <c r="AX52" i="15"/>
  <c r="AY52" i="15"/>
  <c r="AZ52" i="15"/>
  <c r="BA52" i="15"/>
  <c r="BB52" i="15"/>
  <c r="X53" i="15"/>
  <c r="Y53" i="15"/>
  <c r="Z53" i="15"/>
  <c r="AA53" i="15"/>
  <c r="AB53" i="15"/>
  <c r="AC53" i="15"/>
  <c r="AD53" i="15"/>
  <c r="AF53" i="15"/>
  <c r="AG53" i="15"/>
  <c r="AH53" i="15"/>
  <c r="AI53" i="15"/>
  <c r="AJ53" i="15"/>
  <c r="AK53" i="15"/>
  <c r="AL53" i="15"/>
  <c r="AV53" i="15"/>
  <c r="AW53" i="15"/>
  <c r="AX53" i="15"/>
  <c r="AY53" i="15"/>
  <c r="AZ53" i="15"/>
  <c r="BA53" i="15"/>
  <c r="BB53" i="15"/>
  <c r="X54" i="15"/>
  <c r="Y54" i="15"/>
  <c r="Z54" i="15"/>
  <c r="AA54" i="15"/>
  <c r="AB54" i="15"/>
  <c r="AC54" i="15"/>
  <c r="AD54" i="15"/>
  <c r="AF54" i="15"/>
  <c r="AG54" i="15"/>
  <c r="AH54" i="15"/>
  <c r="AI54" i="15"/>
  <c r="AJ54" i="15"/>
  <c r="AK54" i="15"/>
  <c r="AL54" i="15"/>
  <c r="AV54" i="15"/>
  <c r="AW54" i="15"/>
  <c r="AX54" i="15"/>
  <c r="AY54" i="15"/>
  <c r="AZ54" i="15"/>
  <c r="BA54" i="15"/>
  <c r="BB54" i="15"/>
  <c r="X55" i="15"/>
  <c r="Y55" i="15"/>
  <c r="Z55" i="15"/>
  <c r="AA55" i="15"/>
  <c r="AB55" i="15"/>
  <c r="AC55" i="15"/>
  <c r="AD55" i="15"/>
  <c r="AF55" i="15"/>
  <c r="AG55" i="15"/>
  <c r="AH55" i="15"/>
  <c r="AI55" i="15"/>
  <c r="AJ55" i="15"/>
  <c r="AK55" i="15"/>
  <c r="AL55" i="15"/>
  <c r="AV55" i="15"/>
  <c r="AW55" i="15"/>
  <c r="AX55" i="15"/>
  <c r="AY55" i="15"/>
  <c r="AZ55" i="15"/>
  <c r="BA55" i="15"/>
  <c r="BB55" i="15"/>
  <c r="X56" i="15"/>
  <c r="Y56" i="15"/>
  <c r="Z56" i="15"/>
  <c r="AA56" i="15"/>
  <c r="AB56" i="15"/>
  <c r="AC56" i="15"/>
  <c r="AD56" i="15"/>
  <c r="AF56" i="15"/>
  <c r="AG56" i="15"/>
  <c r="AH56" i="15"/>
  <c r="AI56" i="15"/>
  <c r="AJ56" i="15"/>
  <c r="AK56" i="15"/>
  <c r="AL56" i="15"/>
  <c r="AV56" i="15"/>
  <c r="AW56" i="15"/>
  <c r="AX56" i="15"/>
  <c r="AY56" i="15"/>
  <c r="AZ56" i="15"/>
  <c r="BA56" i="15"/>
  <c r="BB56" i="15"/>
  <c r="X57" i="15"/>
  <c r="Y57" i="15"/>
  <c r="Z57" i="15"/>
  <c r="AA57" i="15"/>
  <c r="AB57" i="15"/>
  <c r="AC57" i="15"/>
  <c r="AD57" i="15"/>
  <c r="AF57" i="15"/>
  <c r="AG57" i="15"/>
  <c r="AH57" i="15"/>
  <c r="AI57" i="15"/>
  <c r="AJ57" i="15"/>
  <c r="AK57" i="15"/>
  <c r="AL57" i="15"/>
  <c r="AV57" i="15"/>
  <c r="AW57" i="15"/>
  <c r="AX57" i="15"/>
  <c r="AY57" i="15"/>
  <c r="AZ57" i="15"/>
  <c r="BA57" i="15"/>
  <c r="BB57" i="15"/>
  <c r="X58" i="15"/>
  <c r="Y58" i="15"/>
  <c r="Z58" i="15"/>
  <c r="AA58" i="15"/>
  <c r="AB58" i="15"/>
  <c r="AC58" i="15"/>
  <c r="AD58" i="15"/>
  <c r="AF58" i="15"/>
  <c r="AG58" i="15"/>
  <c r="AH58" i="15"/>
  <c r="AI58" i="15"/>
  <c r="AJ58" i="15"/>
  <c r="AK58" i="15"/>
  <c r="AL58" i="15"/>
  <c r="AV58" i="15"/>
  <c r="AW58" i="15"/>
  <c r="AX58" i="15"/>
  <c r="AY58" i="15"/>
  <c r="AZ58" i="15"/>
  <c r="BA58" i="15"/>
  <c r="BB58" i="15"/>
  <c r="X59" i="15"/>
  <c r="Y59" i="15"/>
  <c r="Z59" i="15"/>
  <c r="AA59" i="15"/>
  <c r="AB59" i="15"/>
  <c r="AC59" i="15"/>
  <c r="AD59" i="15"/>
  <c r="AF59" i="15"/>
  <c r="AG59" i="15"/>
  <c r="AH59" i="15"/>
  <c r="AI59" i="15"/>
  <c r="AJ59" i="15"/>
  <c r="AK59" i="15"/>
  <c r="AL59" i="15"/>
  <c r="AV59" i="15"/>
  <c r="AW59" i="15"/>
  <c r="AX59" i="15"/>
  <c r="AY59" i="15"/>
  <c r="AZ59" i="15"/>
  <c r="BA59" i="15"/>
  <c r="BB59" i="15"/>
  <c r="X60" i="15"/>
  <c r="Y60" i="15"/>
  <c r="Z60" i="15"/>
  <c r="AA60" i="15"/>
  <c r="AB60" i="15"/>
  <c r="AC60" i="15"/>
  <c r="AD60" i="15"/>
  <c r="AF60" i="15"/>
  <c r="AG60" i="15"/>
  <c r="AH60" i="15"/>
  <c r="AI60" i="15"/>
  <c r="AJ60" i="15"/>
  <c r="AK60" i="15"/>
  <c r="AL60" i="15"/>
  <c r="AV60" i="15"/>
  <c r="AW60" i="15"/>
  <c r="AX60" i="15"/>
  <c r="AY60" i="15"/>
  <c r="AZ60" i="15"/>
  <c r="BA60" i="15"/>
  <c r="BB60" i="15"/>
  <c r="X61" i="15"/>
  <c r="Y61" i="15"/>
  <c r="Z61" i="15"/>
  <c r="AA61" i="15"/>
  <c r="AB61" i="15"/>
  <c r="AC61" i="15"/>
  <c r="AD61" i="15"/>
  <c r="AF61" i="15"/>
  <c r="AG61" i="15"/>
  <c r="AH61" i="15"/>
  <c r="AI61" i="15"/>
  <c r="AJ61" i="15"/>
  <c r="AK61" i="15"/>
  <c r="AL61" i="15"/>
  <c r="AV61" i="15"/>
  <c r="AW61" i="15"/>
  <c r="AX61" i="15"/>
  <c r="AY61" i="15"/>
  <c r="AZ61" i="15"/>
  <c r="BA61" i="15"/>
  <c r="BB61" i="15"/>
  <c r="X62" i="15"/>
  <c r="Y62" i="15"/>
  <c r="Z62" i="15"/>
  <c r="AA62" i="15"/>
  <c r="AB62" i="15"/>
  <c r="AC62" i="15"/>
  <c r="AD62" i="15"/>
  <c r="AF62" i="15"/>
  <c r="AG62" i="15"/>
  <c r="AH62" i="15"/>
  <c r="AI62" i="15"/>
  <c r="AJ62" i="15"/>
  <c r="AK62" i="15"/>
  <c r="AL62" i="15"/>
  <c r="AV62" i="15"/>
  <c r="AW62" i="15"/>
  <c r="AX62" i="15"/>
  <c r="AY62" i="15"/>
  <c r="AZ62" i="15"/>
  <c r="BA62" i="15"/>
  <c r="BB62" i="15"/>
  <c r="X63" i="15"/>
  <c r="Y63" i="15"/>
  <c r="Z63" i="15"/>
  <c r="AA63" i="15"/>
  <c r="AB63" i="15"/>
  <c r="AC63" i="15"/>
  <c r="AD63" i="15"/>
  <c r="AF63" i="15"/>
  <c r="AG63" i="15"/>
  <c r="AH63" i="15"/>
  <c r="AI63" i="15"/>
  <c r="AJ63" i="15"/>
  <c r="AK63" i="15"/>
  <c r="AL63" i="15"/>
  <c r="AV63" i="15"/>
  <c r="AW63" i="15"/>
  <c r="AX63" i="15"/>
  <c r="AY63" i="15"/>
  <c r="AZ63" i="15"/>
  <c r="BA63" i="15"/>
  <c r="BB63" i="15"/>
  <c r="X64" i="15"/>
  <c r="Y64" i="15"/>
  <c r="Z64" i="15"/>
  <c r="AA64" i="15"/>
  <c r="AB64" i="15"/>
  <c r="AC64" i="15"/>
  <c r="AD64" i="15"/>
  <c r="AF64" i="15"/>
  <c r="AG64" i="15"/>
  <c r="AH64" i="15"/>
  <c r="AI64" i="15"/>
  <c r="AJ64" i="15"/>
  <c r="AK64" i="15"/>
  <c r="AL64" i="15"/>
  <c r="AV64" i="15"/>
  <c r="AW64" i="15"/>
  <c r="AX64" i="15"/>
  <c r="AY64" i="15"/>
  <c r="AZ64" i="15"/>
  <c r="BA64" i="15"/>
  <c r="BB64" i="15"/>
  <c r="X65" i="15"/>
  <c r="Y65" i="15"/>
  <c r="Z65" i="15"/>
  <c r="AA65" i="15"/>
  <c r="AB65" i="15"/>
  <c r="AC65" i="15"/>
  <c r="AD65" i="15"/>
  <c r="AF65" i="15"/>
  <c r="AG65" i="15"/>
  <c r="AH65" i="15"/>
  <c r="AI65" i="15"/>
  <c r="AJ65" i="15"/>
  <c r="AK65" i="15"/>
  <c r="AL65" i="15"/>
  <c r="AV65" i="15"/>
  <c r="AW65" i="15"/>
  <c r="AX65" i="15"/>
  <c r="AY65" i="15"/>
  <c r="AZ65" i="15"/>
  <c r="BA65" i="15"/>
  <c r="BB65" i="15"/>
  <c r="X66" i="15"/>
  <c r="Y66" i="15"/>
  <c r="Z66" i="15"/>
  <c r="AA66" i="15"/>
  <c r="AB66" i="15"/>
  <c r="AC66" i="15"/>
  <c r="AD66" i="15"/>
  <c r="AF66" i="15"/>
  <c r="AG66" i="15"/>
  <c r="AH66" i="15"/>
  <c r="AI66" i="15"/>
  <c r="AJ66" i="15"/>
  <c r="AK66" i="15"/>
  <c r="AL66" i="15"/>
  <c r="AV66" i="15"/>
  <c r="AW66" i="15"/>
  <c r="AX66" i="15"/>
  <c r="AY66" i="15"/>
  <c r="AZ66" i="15"/>
  <c r="BA66" i="15"/>
  <c r="BB66" i="15"/>
  <c r="X67" i="15"/>
  <c r="Y67" i="15"/>
  <c r="Z67" i="15"/>
  <c r="AA67" i="15"/>
  <c r="AB67" i="15"/>
  <c r="AC67" i="15"/>
  <c r="AD67" i="15"/>
  <c r="AF67" i="15"/>
  <c r="AG67" i="15"/>
  <c r="AH67" i="15"/>
  <c r="AI67" i="15"/>
  <c r="AJ67" i="15"/>
  <c r="AK67" i="15"/>
  <c r="AL67" i="15"/>
  <c r="AV67" i="15"/>
  <c r="AW67" i="15"/>
  <c r="AX67" i="15"/>
  <c r="AY67" i="15"/>
  <c r="AZ67" i="15"/>
  <c r="BA67" i="15"/>
  <c r="BB67" i="15"/>
  <c r="X68" i="15"/>
  <c r="Y68" i="15"/>
  <c r="Z68" i="15"/>
  <c r="AA68" i="15"/>
  <c r="AB68" i="15"/>
  <c r="AC68" i="15"/>
  <c r="AD68" i="15"/>
  <c r="AF68" i="15"/>
  <c r="AG68" i="15"/>
  <c r="AH68" i="15"/>
  <c r="AI68" i="15"/>
  <c r="AJ68" i="15"/>
  <c r="AK68" i="15"/>
  <c r="AL68" i="15"/>
  <c r="AV68" i="15"/>
  <c r="AW68" i="15"/>
  <c r="AX68" i="15"/>
  <c r="AY68" i="15"/>
  <c r="AZ68" i="15"/>
  <c r="BA68" i="15"/>
  <c r="BB68" i="15"/>
  <c r="X69" i="15"/>
  <c r="Y69" i="15"/>
  <c r="Z69" i="15"/>
  <c r="AA69" i="15"/>
  <c r="AB69" i="15"/>
  <c r="AC69" i="15"/>
  <c r="AD69" i="15"/>
  <c r="AF69" i="15"/>
  <c r="AG69" i="15"/>
  <c r="AH69" i="15"/>
  <c r="AI69" i="15"/>
  <c r="AJ69" i="15"/>
  <c r="AK69" i="15"/>
  <c r="AL69" i="15"/>
  <c r="AV69" i="15"/>
  <c r="AW69" i="15"/>
  <c r="AX69" i="15"/>
  <c r="AY69" i="15"/>
  <c r="AZ69" i="15"/>
  <c r="BA69" i="15"/>
  <c r="BB69" i="15"/>
  <c r="X70" i="15"/>
  <c r="Y70" i="15"/>
  <c r="Z70" i="15"/>
  <c r="AA70" i="15"/>
  <c r="AB70" i="15"/>
  <c r="AC70" i="15"/>
  <c r="AD70" i="15"/>
  <c r="AF70" i="15"/>
  <c r="AG70" i="15"/>
  <c r="AH70" i="15"/>
  <c r="AI70" i="15"/>
  <c r="AJ70" i="15"/>
  <c r="AK70" i="15"/>
  <c r="AL70" i="15"/>
  <c r="AV70" i="15"/>
  <c r="AW70" i="15"/>
  <c r="AX70" i="15"/>
  <c r="AY70" i="15"/>
  <c r="AZ70" i="15"/>
  <c r="BA70" i="15"/>
  <c r="BB70" i="15"/>
  <c r="X71" i="15"/>
  <c r="Y71" i="15"/>
  <c r="Z71" i="15"/>
  <c r="AA71" i="15"/>
  <c r="AB71" i="15"/>
  <c r="AC71" i="15"/>
  <c r="AD71" i="15"/>
  <c r="AF71" i="15"/>
  <c r="AG71" i="15"/>
  <c r="AH71" i="15"/>
  <c r="AI71" i="15"/>
  <c r="AJ71" i="15"/>
  <c r="AK71" i="15"/>
  <c r="AL71" i="15"/>
  <c r="AV71" i="15"/>
  <c r="AW71" i="15"/>
  <c r="AX71" i="15"/>
  <c r="AY71" i="15"/>
  <c r="AZ71" i="15"/>
  <c r="BA71" i="15"/>
  <c r="BB71" i="15"/>
  <c r="X72" i="15"/>
  <c r="Y72" i="15"/>
  <c r="Z72" i="15"/>
  <c r="AA72" i="15"/>
  <c r="AB72" i="15"/>
  <c r="AC72" i="15"/>
  <c r="AD72" i="15"/>
  <c r="AF72" i="15"/>
  <c r="AG72" i="15"/>
  <c r="AH72" i="15"/>
  <c r="AI72" i="15"/>
  <c r="AJ72" i="15"/>
  <c r="AK72" i="15"/>
  <c r="AL72" i="15"/>
  <c r="AV72" i="15"/>
  <c r="AW72" i="15"/>
  <c r="AX72" i="15"/>
  <c r="AY72" i="15"/>
  <c r="AZ72" i="15"/>
  <c r="BA72" i="15"/>
  <c r="BB72" i="15"/>
  <c r="X73" i="15"/>
  <c r="Y73" i="15"/>
  <c r="Z73" i="15"/>
  <c r="AA73" i="15"/>
  <c r="AB73" i="15"/>
  <c r="AC73" i="15"/>
  <c r="AD73" i="15"/>
  <c r="AF73" i="15"/>
  <c r="AG73" i="15"/>
  <c r="AH73" i="15"/>
  <c r="AI73" i="15"/>
  <c r="AJ73" i="15"/>
  <c r="AK73" i="15"/>
  <c r="AL73" i="15"/>
  <c r="AV73" i="15"/>
  <c r="AW73" i="15"/>
  <c r="AX73" i="15"/>
  <c r="AY73" i="15"/>
  <c r="AZ73" i="15"/>
  <c r="BA73" i="15"/>
  <c r="BB73" i="15"/>
  <c r="X75" i="15"/>
  <c r="Y75" i="15"/>
  <c r="Z75" i="15"/>
  <c r="AA75" i="15"/>
  <c r="AB75" i="15"/>
  <c r="AC75" i="15"/>
  <c r="AD75" i="15"/>
  <c r="AF75" i="15"/>
  <c r="AG75" i="15"/>
  <c r="AH75" i="15"/>
  <c r="AI75" i="15"/>
  <c r="AJ75" i="15"/>
  <c r="AK75" i="15"/>
  <c r="AL75" i="15"/>
  <c r="AV75" i="15"/>
  <c r="AW75" i="15"/>
  <c r="AX75" i="15"/>
  <c r="AY75" i="15"/>
  <c r="AZ75" i="15"/>
  <c r="BA75" i="15"/>
  <c r="BB75" i="15"/>
  <c r="X76" i="15"/>
  <c r="Y76" i="15"/>
  <c r="Z76" i="15"/>
  <c r="AA76" i="15"/>
  <c r="AB76" i="15"/>
  <c r="AC76" i="15"/>
  <c r="AD76" i="15"/>
  <c r="AF76" i="15"/>
  <c r="AG76" i="15"/>
  <c r="AH76" i="15"/>
  <c r="AI76" i="15"/>
  <c r="AJ76" i="15"/>
  <c r="AK76" i="15"/>
  <c r="AL76" i="15"/>
  <c r="AV76" i="15"/>
  <c r="AW76" i="15"/>
  <c r="AX76" i="15"/>
  <c r="AY76" i="15"/>
  <c r="AZ76" i="15"/>
  <c r="BA76" i="15"/>
  <c r="BB76" i="15"/>
  <c r="X77" i="15"/>
  <c r="Y77" i="15"/>
  <c r="Z77" i="15"/>
  <c r="AA77" i="15"/>
  <c r="AB77" i="15"/>
  <c r="AC77" i="15"/>
  <c r="AD77" i="15"/>
  <c r="AF77" i="15"/>
  <c r="AG77" i="15"/>
  <c r="AH77" i="15"/>
  <c r="AI77" i="15"/>
  <c r="AJ77" i="15"/>
  <c r="AK77" i="15"/>
  <c r="AL77" i="15"/>
  <c r="AV77" i="15"/>
  <c r="AW77" i="15"/>
  <c r="AX77" i="15"/>
  <c r="AY77" i="15"/>
  <c r="AZ77" i="15"/>
  <c r="BA77" i="15"/>
  <c r="BB77" i="15"/>
  <c r="X78" i="15"/>
  <c r="Y78" i="15"/>
  <c r="Z78" i="15"/>
  <c r="AA78" i="15"/>
  <c r="AB78" i="15"/>
  <c r="AC78" i="15"/>
  <c r="AD78" i="15"/>
  <c r="AF78" i="15"/>
  <c r="AG78" i="15"/>
  <c r="AH78" i="15"/>
  <c r="AI78" i="15"/>
  <c r="AJ78" i="15"/>
  <c r="AK78" i="15"/>
  <c r="AL78" i="15"/>
  <c r="AV78" i="15"/>
  <c r="AW78" i="15"/>
  <c r="AX78" i="15"/>
  <c r="AY78" i="15"/>
  <c r="AZ78" i="15"/>
  <c r="BA78" i="15"/>
  <c r="BB78" i="15"/>
  <c r="X79" i="15"/>
  <c r="Y79" i="15"/>
  <c r="Z79" i="15"/>
  <c r="AA79" i="15"/>
  <c r="AB79" i="15"/>
  <c r="AC79" i="15"/>
  <c r="AD79" i="15"/>
  <c r="AF79" i="15"/>
  <c r="AG79" i="15"/>
  <c r="AH79" i="15"/>
  <c r="AI79" i="15"/>
  <c r="AJ79" i="15"/>
  <c r="AK79" i="15"/>
  <c r="AL79" i="15"/>
  <c r="AV79" i="15"/>
  <c r="AW79" i="15"/>
  <c r="AX79" i="15"/>
  <c r="AY79" i="15"/>
  <c r="AZ79" i="15"/>
  <c r="BA79" i="15"/>
  <c r="BB79" i="15"/>
  <c r="X80" i="15"/>
  <c r="Y80" i="15"/>
  <c r="Z80" i="15"/>
  <c r="AA80" i="15"/>
  <c r="AB80" i="15"/>
  <c r="AC80" i="15"/>
  <c r="AD80" i="15"/>
  <c r="AF80" i="15"/>
  <c r="AG80" i="15"/>
  <c r="AH80" i="15"/>
  <c r="AI80" i="15"/>
  <c r="AJ80" i="15"/>
  <c r="AK80" i="15"/>
  <c r="AL80" i="15"/>
  <c r="AV80" i="15"/>
  <c r="AW80" i="15"/>
  <c r="AX80" i="15"/>
  <c r="AY80" i="15"/>
  <c r="AZ80" i="15"/>
  <c r="BA80" i="15"/>
  <c r="BB80" i="15"/>
  <c r="X81" i="15"/>
  <c r="Y81" i="15"/>
  <c r="Z81" i="15"/>
  <c r="AA81" i="15"/>
  <c r="AB81" i="15"/>
  <c r="AC81" i="15"/>
  <c r="AD81" i="15"/>
  <c r="AF81" i="15"/>
  <c r="AG81" i="15"/>
  <c r="AH81" i="15"/>
  <c r="AI81" i="15"/>
  <c r="AJ81" i="15"/>
  <c r="AK81" i="15"/>
  <c r="AL81" i="15"/>
  <c r="AV81" i="15"/>
  <c r="AW81" i="15"/>
  <c r="AX81" i="15"/>
  <c r="AY81" i="15"/>
  <c r="AZ81" i="15"/>
  <c r="BA81" i="15"/>
  <c r="BB81" i="15"/>
  <c r="X82" i="15"/>
  <c r="Y82" i="15"/>
  <c r="Z82" i="15"/>
  <c r="AA82" i="15"/>
  <c r="AB82" i="15"/>
  <c r="AC82" i="15"/>
  <c r="AD82" i="15"/>
  <c r="AF82" i="15"/>
  <c r="AG82" i="15"/>
  <c r="AH82" i="15"/>
  <c r="AI82" i="15"/>
  <c r="AJ82" i="15"/>
  <c r="AK82" i="15"/>
  <c r="AL82" i="15"/>
  <c r="AV82" i="15"/>
  <c r="AW82" i="15"/>
  <c r="AX82" i="15"/>
  <c r="AY82" i="15"/>
  <c r="AZ82" i="15"/>
  <c r="BA82" i="15"/>
  <c r="BB82" i="15"/>
  <c r="X83" i="15"/>
  <c r="Y83" i="15"/>
  <c r="Z83" i="15"/>
  <c r="AA83" i="15"/>
  <c r="AB83" i="15"/>
  <c r="AC83" i="15"/>
  <c r="AD83" i="15"/>
  <c r="AF83" i="15"/>
  <c r="AG83" i="15"/>
  <c r="AH83" i="15"/>
  <c r="AI83" i="15"/>
  <c r="AJ83" i="15"/>
  <c r="AK83" i="15"/>
  <c r="AL83" i="15"/>
  <c r="AV83" i="15"/>
  <c r="AW83" i="15"/>
  <c r="AX83" i="15"/>
  <c r="AY83" i="15"/>
  <c r="AZ83" i="15"/>
  <c r="BA83" i="15"/>
  <c r="BB83" i="15"/>
  <c r="X84" i="15"/>
  <c r="Y84" i="15"/>
  <c r="Z84" i="15"/>
  <c r="AA84" i="15"/>
  <c r="AB84" i="15"/>
  <c r="AC84" i="15"/>
  <c r="AD84" i="15"/>
  <c r="AF84" i="15"/>
  <c r="AG84" i="15"/>
  <c r="AH84" i="15"/>
  <c r="AI84" i="15"/>
  <c r="AJ84" i="15"/>
  <c r="AK84" i="15"/>
  <c r="AL84" i="15"/>
  <c r="AV84" i="15"/>
  <c r="AW84" i="15"/>
  <c r="AX84" i="15"/>
  <c r="AY84" i="15"/>
  <c r="AZ84" i="15"/>
  <c r="BA84" i="15"/>
  <c r="BB84" i="15"/>
  <c r="X86" i="15"/>
  <c r="Y86" i="15"/>
  <c r="Z86" i="15"/>
  <c r="AA86" i="15"/>
  <c r="AB86" i="15"/>
  <c r="AC86" i="15"/>
  <c r="AD86" i="15"/>
  <c r="AF86" i="15"/>
  <c r="AG86" i="15"/>
  <c r="AH86" i="15"/>
  <c r="AI86" i="15"/>
  <c r="AJ86" i="15"/>
  <c r="AK86" i="15"/>
  <c r="AL86" i="15"/>
  <c r="AV86" i="15"/>
  <c r="AW86" i="15"/>
  <c r="AX86" i="15"/>
  <c r="AY86" i="15"/>
  <c r="AZ86" i="15"/>
  <c r="BA86" i="15"/>
  <c r="BB86" i="15"/>
  <c r="X87" i="15"/>
  <c r="Y87" i="15"/>
  <c r="Z87" i="15"/>
  <c r="AA87" i="15"/>
  <c r="AB87" i="15"/>
  <c r="AC87" i="15"/>
  <c r="AD87" i="15"/>
  <c r="AF87" i="15"/>
  <c r="AG87" i="15"/>
  <c r="AH87" i="15"/>
  <c r="AI87" i="15"/>
  <c r="AJ87" i="15"/>
  <c r="AK87" i="15"/>
  <c r="AL87" i="15"/>
  <c r="AV87" i="15"/>
  <c r="AW87" i="15"/>
  <c r="AX87" i="15"/>
  <c r="AY87" i="15"/>
  <c r="AZ87" i="15"/>
  <c r="BA87" i="15"/>
  <c r="BB87" i="15"/>
  <c r="X88" i="15"/>
  <c r="Y88" i="15"/>
  <c r="Z88" i="15"/>
  <c r="AA88" i="15"/>
  <c r="AB88" i="15"/>
  <c r="AC88" i="15"/>
  <c r="AD88" i="15"/>
  <c r="AF88" i="15"/>
  <c r="AG88" i="15"/>
  <c r="AH88" i="15"/>
  <c r="AI88" i="15"/>
  <c r="AJ88" i="15"/>
  <c r="AK88" i="15"/>
  <c r="AL88" i="15"/>
  <c r="AV88" i="15"/>
  <c r="AW88" i="15"/>
  <c r="AX88" i="15"/>
  <c r="AY88" i="15"/>
  <c r="AZ88" i="15"/>
  <c r="BA88" i="15"/>
  <c r="BB88" i="15"/>
  <c r="X89" i="15"/>
  <c r="Y89" i="15"/>
  <c r="Z89" i="15"/>
  <c r="AA89" i="15"/>
  <c r="AB89" i="15"/>
  <c r="AC89" i="15"/>
  <c r="AD89" i="15"/>
  <c r="AF89" i="15"/>
  <c r="AG89" i="15"/>
  <c r="AH89" i="15"/>
  <c r="AI89" i="15"/>
  <c r="AJ89" i="15"/>
  <c r="AK89" i="15"/>
  <c r="AL89" i="15"/>
  <c r="AV89" i="15"/>
  <c r="AW89" i="15"/>
  <c r="AX89" i="15"/>
  <c r="AY89" i="15"/>
  <c r="AZ89" i="15"/>
  <c r="BA89" i="15"/>
  <c r="BB89" i="15"/>
  <c r="X90" i="15"/>
  <c r="Y90" i="15"/>
  <c r="Z90" i="15"/>
  <c r="AA90" i="15"/>
  <c r="AB90" i="15"/>
  <c r="AC90" i="15"/>
  <c r="AD90" i="15"/>
  <c r="AF90" i="15"/>
  <c r="AG90" i="15"/>
  <c r="AH90" i="15"/>
  <c r="AI90" i="15"/>
  <c r="AJ90" i="15"/>
  <c r="AK90" i="15"/>
  <c r="AL90" i="15"/>
  <c r="AV90" i="15"/>
  <c r="AW90" i="15"/>
  <c r="AX90" i="15"/>
  <c r="AY90" i="15"/>
  <c r="AZ90" i="15"/>
  <c r="BA90" i="15"/>
  <c r="BB90" i="15"/>
  <c r="X91" i="15"/>
  <c r="Y91" i="15"/>
  <c r="Z91" i="15"/>
  <c r="AA91" i="15"/>
  <c r="AB91" i="15"/>
  <c r="AC91" i="15"/>
  <c r="AD91" i="15"/>
  <c r="AF91" i="15"/>
  <c r="AG91" i="15"/>
  <c r="AH91" i="15"/>
  <c r="AI91" i="15"/>
  <c r="AJ91" i="15"/>
  <c r="AK91" i="15"/>
  <c r="AL91" i="15"/>
  <c r="AV91" i="15"/>
  <c r="AW91" i="15"/>
  <c r="AX91" i="15"/>
  <c r="AY91" i="15"/>
  <c r="AZ91" i="15"/>
  <c r="BA91" i="15"/>
  <c r="BB91" i="15"/>
  <c r="X92" i="15"/>
  <c r="Y92" i="15"/>
  <c r="Z92" i="15"/>
  <c r="AA92" i="15"/>
  <c r="AB92" i="15"/>
  <c r="AC92" i="15"/>
  <c r="AD92" i="15"/>
  <c r="AF92" i="15"/>
  <c r="AG92" i="15"/>
  <c r="AH92" i="15"/>
  <c r="AI92" i="15"/>
  <c r="AJ92" i="15"/>
  <c r="AK92" i="15"/>
  <c r="AL92" i="15"/>
  <c r="AV92" i="15"/>
  <c r="AW92" i="15"/>
  <c r="AX92" i="15"/>
  <c r="AY92" i="15"/>
  <c r="AZ92" i="15"/>
  <c r="BA92" i="15"/>
  <c r="BB92" i="15"/>
  <c r="X93" i="15"/>
  <c r="Y93" i="15"/>
  <c r="Z93" i="15"/>
  <c r="AA93" i="15"/>
  <c r="AB93" i="15"/>
  <c r="AC93" i="15"/>
  <c r="AD93" i="15"/>
  <c r="AF93" i="15"/>
  <c r="AG93" i="15"/>
  <c r="AH93" i="15"/>
  <c r="AI93" i="15"/>
  <c r="AJ93" i="15"/>
  <c r="AK93" i="15"/>
  <c r="AL93" i="15"/>
  <c r="AV93" i="15"/>
  <c r="AW93" i="15"/>
  <c r="AX93" i="15"/>
  <c r="AY93" i="15"/>
  <c r="AZ93" i="15"/>
  <c r="BA93" i="15"/>
  <c r="BB93" i="15"/>
  <c r="X94" i="15"/>
  <c r="Y94" i="15"/>
  <c r="Z94" i="15"/>
  <c r="AA94" i="15"/>
  <c r="AB94" i="15"/>
  <c r="AC94" i="15"/>
  <c r="AD94" i="15"/>
  <c r="AF94" i="15"/>
  <c r="AG94" i="15"/>
  <c r="AH94" i="15"/>
  <c r="AI94" i="15"/>
  <c r="AJ94" i="15"/>
  <c r="AK94" i="15"/>
  <c r="AL94" i="15"/>
  <c r="AV94" i="15"/>
  <c r="AW94" i="15"/>
  <c r="AX94" i="15"/>
  <c r="AY94" i="15"/>
  <c r="AZ94" i="15"/>
  <c r="BA94" i="15"/>
  <c r="BB94" i="15"/>
  <c r="X95" i="15"/>
  <c r="Y95" i="15"/>
  <c r="Z95" i="15"/>
  <c r="AA95" i="15"/>
  <c r="AB95" i="15"/>
  <c r="AC95" i="15"/>
  <c r="AD95" i="15"/>
  <c r="AF95" i="15"/>
  <c r="AG95" i="15"/>
  <c r="AH95" i="15"/>
  <c r="AI95" i="15"/>
  <c r="AJ95" i="15"/>
  <c r="AK95" i="15"/>
  <c r="AL95" i="15"/>
  <c r="AV95" i="15"/>
  <c r="AW95" i="15"/>
  <c r="AX95" i="15"/>
  <c r="AY95" i="15"/>
  <c r="AZ95" i="15"/>
  <c r="BA95" i="15"/>
  <c r="BB95" i="15"/>
  <c r="AN33" i="15" l="1"/>
  <c r="AO93" i="15"/>
  <c r="AQ91" i="15"/>
  <c r="AN90" i="15"/>
  <c r="AP88" i="15"/>
  <c r="AR86" i="15"/>
  <c r="AS80" i="15"/>
  <c r="AO76" i="15"/>
  <c r="AQ73" i="15"/>
  <c r="AR68" i="15"/>
  <c r="AP45" i="15"/>
  <c r="AS38" i="15"/>
  <c r="AP37" i="15"/>
  <c r="AR35" i="15"/>
  <c r="AQ94" i="15"/>
  <c r="AN93" i="15"/>
  <c r="AS92" i="15"/>
  <c r="AP91" i="15"/>
  <c r="AR89" i="15"/>
  <c r="AO88" i="15"/>
  <c r="AT87" i="15"/>
  <c r="AQ86" i="15"/>
  <c r="AN84" i="15"/>
  <c r="AS83" i="15"/>
  <c r="AP82" i="15"/>
  <c r="AR80" i="15"/>
  <c r="AO79" i="15"/>
  <c r="AT78" i="15"/>
  <c r="AQ77" i="15"/>
  <c r="AN76" i="15"/>
  <c r="AS75" i="15"/>
  <c r="AP73" i="15"/>
  <c r="AR71" i="15"/>
  <c r="AO70" i="15"/>
  <c r="AT69" i="15"/>
  <c r="AQ68" i="15"/>
  <c r="AN67" i="15"/>
  <c r="AS66" i="15"/>
  <c r="AP65" i="15"/>
  <c r="AR63" i="15"/>
  <c r="AN59" i="15"/>
  <c r="AN51" i="15"/>
  <c r="AR46" i="15"/>
  <c r="AO45" i="15"/>
  <c r="AT44" i="15"/>
  <c r="AQ43" i="15"/>
  <c r="AN42" i="15"/>
  <c r="AS41" i="15"/>
  <c r="AP40" i="15"/>
  <c r="AR38" i="15"/>
  <c r="AO37" i="15"/>
  <c r="AT36" i="15"/>
  <c r="AQ35" i="15"/>
  <c r="AN34" i="15"/>
  <c r="AT33" i="15"/>
  <c r="AR94" i="15"/>
  <c r="AP94" i="15"/>
  <c r="AR92" i="15"/>
  <c r="AO91" i="15"/>
  <c r="AT90" i="15"/>
  <c r="AQ89" i="15"/>
  <c r="AN88" i="15"/>
  <c r="AS87" i="15"/>
  <c r="AP86" i="15"/>
  <c r="AR83" i="15"/>
  <c r="AO82" i="15"/>
  <c r="AT81" i="15"/>
  <c r="AQ80" i="15"/>
  <c r="AN79" i="15"/>
  <c r="AS78" i="15"/>
  <c r="AP77" i="15"/>
  <c r="AR75" i="15"/>
  <c r="AO73" i="15"/>
  <c r="AT72" i="15"/>
  <c r="AQ71" i="15"/>
  <c r="AN70" i="15"/>
  <c r="AS69" i="15"/>
  <c r="AP68" i="15"/>
  <c r="AR66" i="15"/>
  <c r="AO65" i="15"/>
  <c r="AT64" i="15"/>
  <c r="AQ63" i="15"/>
  <c r="AN62" i="15"/>
  <c r="AN54" i="15"/>
  <c r="AT47" i="15"/>
  <c r="AQ46" i="15"/>
  <c r="AN45" i="15"/>
  <c r="AS44" i="15"/>
  <c r="AP43" i="15"/>
  <c r="AR41" i="15"/>
  <c r="AO40" i="15"/>
  <c r="AT39" i="15"/>
  <c r="AQ38" i="15"/>
  <c r="AN37" i="15"/>
  <c r="AS36" i="15"/>
  <c r="AP35" i="15"/>
  <c r="AS33" i="15"/>
  <c r="AS89" i="15"/>
  <c r="AN81" i="15"/>
  <c r="AR77" i="15"/>
  <c r="AT75" i="15"/>
  <c r="AP70" i="15"/>
  <c r="AT66" i="15"/>
  <c r="AN64" i="15"/>
  <c r="AN56" i="15"/>
  <c r="AT95" i="15"/>
  <c r="AS95" i="15"/>
  <c r="AR95" i="15"/>
  <c r="AO94" i="15"/>
  <c r="AT93" i="15"/>
  <c r="AQ92" i="15"/>
  <c r="AN91" i="15"/>
  <c r="AS90" i="15"/>
  <c r="AP89" i="15"/>
  <c r="AR87" i="15"/>
  <c r="AO86" i="15"/>
  <c r="AT84" i="15"/>
  <c r="AQ83" i="15"/>
  <c r="AN82" i="15"/>
  <c r="AS81" i="15"/>
  <c r="AP80" i="15"/>
  <c r="AR78" i="15"/>
  <c r="AO77" i="15"/>
  <c r="AT76" i="15"/>
  <c r="AQ75" i="15"/>
  <c r="AN73" i="15"/>
  <c r="AS72" i="15"/>
  <c r="AP71" i="15"/>
  <c r="AR69" i="15"/>
  <c r="AO68" i="15"/>
  <c r="AT67" i="15"/>
  <c r="AQ66" i="15"/>
  <c r="AN65" i="15"/>
  <c r="AS64" i="15"/>
  <c r="AP63" i="15"/>
  <c r="AN57" i="15"/>
  <c r="AN49" i="15"/>
  <c r="AS47" i="15"/>
  <c r="AP46" i="15"/>
  <c r="AR44" i="15"/>
  <c r="AO43" i="15"/>
  <c r="AT42" i="15"/>
  <c r="AQ41" i="15"/>
  <c r="AN40" i="15"/>
  <c r="AS39" i="15"/>
  <c r="AP38" i="15"/>
  <c r="AR36" i="15"/>
  <c r="AO35" i="15"/>
  <c r="AT34" i="15"/>
  <c r="AR33" i="15"/>
  <c r="AQ95" i="15"/>
  <c r="AN94" i="15"/>
  <c r="AS93" i="15"/>
  <c r="AP92" i="15"/>
  <c r="AR90" i="15"/>
  <c r="AO89" i="15"/>
  <c r="AT88" i="15"/>
  <c r="AQ87" i="15"/>
  <c r="AN86" i="15"/>
  <c r="AS84" i="15"/>
  <c r="AP83" i="15"/>
  <c r="AR81" i="15"/>
  <c r="AO80" i="15"/>
  <c r="AT79" i="15"/>
  <c r="AQ78" i="15"/>
  <c r="AN77" i="15"/>
  <c r="AS76" i="15"/>
  <c r="AP75" i="15"/>
  <c r="AR72" i="15"/>
  <c r="AO71" i="15"/>
  <c r="AT70" i="15"/>
  <c r="AQ69" i="15"/>
  <c r="AN68" i="15"/>
  <c r="AS67" i="15"/>
  <c r="AP66" i="15"/>
  <c r="AR64" i="15"/>
  <c r="AO63" i="15"/>
  <c r="AN60" i="15"/>
  <c r="AN52" i="15"/>
  <c r="AR47" i="15"/>
  <c r="AO46" i="15"/>
  <c r="AT45" i="15"/>
  <c r="AQ44" i="15"/>
  <c r="AN43" i="15"/>
  <c r="AS42" i="15"/>
  <c r="AP41" i="15"/>
  <c r="AR39" i="15"/>
  <c r="AO38" i="15"/>
  <c r="AT37" i="15"/>
  <c r="AQ36" i="15"/>
  <c r="AN35" i="15"/>
  <c r="AS34" i="15"/>
  <c r="AQ33" i="15"/>
  <c r="AO84" i="15"/>
  <c r="AQ82" i="15"/>
  <c r="AS71" i="15"/>
  <c r="AS63" i="15"/>
  <c r="AN47" i="15"/>
  <c r="AR43" i="15"/>
  <c r="AT41" i="15"/>
  <c r="AN39" i="15"/>
  <c r="AP95" i="15"/>
  <c r="AR93" i="15"/>
  <c r="AO92" i="15"/>
  <c r="AT91" i="15"/>
  <c r="AQ90" i="15"/>
  <c r="AN89" i="15"/>
  <c r="AS88" i="15"/>
  <c r="AP87" i="15"/>
  <c r="AR84" i="15"/>
  <c r="AO83" i="15"/>
  <c r="AT82" i="15"/>
  <c r="AQ81" i="15"/>
  <c r="AN80" i="15"/>
  <c r="AS79" i="15"/>
  <c r="AP78" i="15"/>
  <c r="AR76" i="15"/>
  <c r="AO75" i="15"/>
  <c r="AT73" i="15"/>
  <c r="AQ72" i="15"/>
  <c r="AN71" i="15"/>
  <c r="AS70" i="15"/>
  <c r="AP69" i="15"/>
  <c r="AR67" i="15"/>
  <c r="AO66" i="15"/>
  <c r="AT65" i="15"/>
  <c r="AQ64" i="15"/>
  <c r="AN63" i="15"/>
  <c r="AN55" i="15"/>
  <c r="AQ47" i="15"/>
  <c r="AN46" i="15"/>
  <c r="AS45" i="15"/>
  <c r="AP44" i="15"/>
  <c r="AR42" i="15"/>
  <c r="AO41" i="15"/>
  <c r="AT40" i="15"/>
  <c r="AQ39" i="15"/>
  <c r="AN38" i="15"/>
  <c r="AS37" i="15"/>
  <c r="AP36" i="15"/>
  <c r="AR34" i="15"/>
  <c r="AP33" i="15"/>
  <c r="AT83" i="15"/>
  <c r="AS46" i="15"/>
  <c r="AO42" i="15"/>
  <c r="AQ40" i="15"/>
  <c r="AT94" i="15"/>
  <c r="AQ93" i="15"/>
  <c r="AN92" i="15"/>
  <c r="AS91" i="15"/>
  <c r="AP90" i="15"/>
  <c r="AR88" i="15"/>
  <c r="AO87" i="15"/>
  <c r="AT86" i="15"/>
  <c r="AQ84" i="15"/>
  <c r="AN83" i="15"/>
  <c r="AS82" i="15"/>
  <c r="AP81" i="15"/>
  <c r="AR79" i="15"/>
  <c r="AO78" i="15"/>
  <c r="AT77" i="15"/>
  <c r="AQ76" i="15"/>
  <c r="AN75" i="15"/>
  <c r="AS73" i="15"/>
  <c r="AP72" i="15"/>
  <c r="AR70" i="15"/>
  <c r="AO69" i="15"/>
  <c r="AT68" i="15"/>
  <c r="AQ67" i="15"/>
  <c r="AN66" i="15"/>
  <c r="AS65" i="15"/>
  <c r="AP64" i="15"/>
  <c r="AO61" i="15"/>
  <c r="AN58" i="15"/>
  <c r="AO53" i="15"/>
  <c r="AN50" i="15"/>
  <c r="AP47" i="15"/>
  <c r="AR45" i="15"/>
  <c r="AO44" i="15"/>
  <c r="AT43" i="15"/>
  <c r="AQ42" i="15"/>
  <c r="AN41" i="15"/>
  <c r="AS40" i="15"/>
  <c r="AP39" i="15"/>
  <c r="AR37" i="15"/>
  <c r="AO36" i="15"/>
  <c r="AT35" i="15"/>
  <c r="AQ34" i="15"/>
  <c r="AO33" i="15"/>
  <c r="AT92" i="15"/>
  <c r="AP79" i="15"/>
  <c r="AN72" i="15"/>
  <c r="AO67" i="15"/>
  <c r="AQ65" i="15"/>
  <c r="AO34" i="15"/>
  <c r="AO95" i="15"/>
  <c r="AN95" i="15"/>
  <c r="AS94" i="15"/>
  <c r="AP93" i="15"/>
  <c r="AR91" i="15"/>
  <c r="AO90" i="15"/>
  <c r="AT89" i="15"/>
  <c r="AQ88" i="15"/>
  <c r="AN87" i="15"/>
  <c r="AS86" i="15"/>
  <c r="AP84" i="15"/>
  <c r="AR82" i="15"/>
  <c r="AO81" i="15"/>
  <c r="AT80" i="15"/>
  <c r="AQ79" i="15"/>
  <c r="AN78" i="15"/>
  <c r="AS77" i="15"/>
  <c r="AP76" i="15"/>
  <c r="AR73" i="15"/>
  <c r="AO72" i="15"/>
  <c r="AT71" i="15"/>
  <c r="AQ70" i="15"/>
  <c r="AN69" i="15"/>
  <c r="AS68" i="15"/>
  <c r="AP67" i="15"/>
  <c r="AR65" i="15"/>
  <c r="AO64" i="15"/>
  <c r="AT63" i="15"/>
  <c r="AN61" i="15"/>
  <c r="AN53" i="15"/>
  <c r="AO47" i="15"/>
  <c r="AT46" i="15"/>
  <c r="AQ45" i="15"/>
  <c r="AN44" i="15"/>
  <c r="AS43" i="15"/>
  <c r="AP42" i="15"/>
  <c r="AR40" i="15"/>
  <c r="AO39" i="15"/>
  <c r="AT38" i="15"/>
  <c r="AQ37" i="15"/>
  <c r="AN36" i="15"/>
  <c r="AS35" i="15"/>
  <c r="AP34" i="15"/>
  <c r="AQ59" i="15"/>
  <c r="AP56" i="15"/>
  <c r="AR62" i="15"/>
  <c r="AR54" i="15"/>
  <c r="AO62" i="15"/>
  <c r="AO54" i="15"/>
  <c r="AP53" i="15"/>
  <c r="AS62" i="15"/>
  <c r="AP61" i="15"/>
  <c r="AR59" i="15"/>
  <c r="AR51" i="15"/>
  <c r="AQ51" i="15"/>
  <c r="AO58" i="15"/>
  <c r="AO60" i="15"/>
  <c r="AO52" i="15"/>
  <c r="AS54" i="15"/>
  <c r="AO50" i="15"/>
  <c r="AT57" i="15"/>
  <c r="AQ56" i="15"/>
  <c r="AT49" i="15"/>
  <c r="AS49" i="15"/>
  <c r="AR61" i="15"/>
  <c r="AT59" i="15"/>
  <c r="AQ58" i="15"/>
  <c r="AS56" i="15"/>
  <c r="AP55" i="15"/>
  <c r="AR53" i="15"/>
  <c r="AT51" i="15"/>
  <c r="AQ50" i="15"/>
  <c r="AT62" i="15"/>
  <c r="AQ61" i="15"/>
  <c r="AS59" i="15"/>
  <c r="AP58" i="15"/>
  <c r="AR56" i="15"/>
  <c r="AO55" i="15"/>
  <c r="AT54" i="15"/>
  <c r="AQ53" i="15"/>
  <c r="AS51" i="15"/>
  <c r="AP50" i="15"/>
  <c r="AT52" i="15"/>
  <c r="AQ62" i="15"/>
  <c r="AS60" i="15"/>
  <c r="AP59" i="15"/>
  <c r="AR57" i="15"/>
  <c r="AO56" i="15"/>
  <c r="AT55" i="15"/>
  <c r="AQ54" i="15"/>
  <c r="AS52" i="15"/>
  <c r="AP51" i="15"/>
  <c r="AR49" i="15"/>
  <c r="AT60" i="15"/>
  <c r="AP62" i="15"/>
  <c r="AR60" i="15"/>
  <c r="AO59" i="15"/>
  <c r="AT58" i="15"/>
  <c r="AQ57" i="15"/>
  <c r="AS55" i="15"/>
  <c r="AP54" i="15"/>
  <c r="AR52" i="15"/>
  <c r="AO51" i="15"/>
  <c r="AT50" i="15"/>
  <c r="AQ49" i="15"/>
  <c r="AS57" i="15"/>
  <c r="AT61" i="15"/>
  <c r="AQ60" i="15"/>
  <c r="AS58" i="15"/>
  <c r="AP57" i="15"/>
  <c r="AR55" i="15"/>
  <c r="AT53" i="15"/>
  <c r="AQ52" i="15"/>
  <c r="AS50" i="15"/>
  <c r="AP49" i="15"/>
  <c r="AS61" i="15"/>
  <c r="AP60" i="15"/>
  <c r="AR58" i="15"/>
  <c r="AO57" i="15"/>
  <c r="AT56" i="15"/>
  <c r="AQ55" i="15"/>
  <c r="AS53" i="15"/>
  <c r="AP52" i="15"/>
  <c r="AR50" i="15"/>
  <c r="AO49" i="15"/>
  <c r="B430" i="21"/>
  <c r="H255" i="22"/>
  <c r="E255" i="22"/>
  <c r="B330" i="21" l="1"/>
  <c r="B327" i="21"/>
  <c r="B324" i="21"/>
  <c r="B321" i="21"/>
  <c r="B436" i="21"/>
  <c r="B435" i="21"/>
  <c r="B433" i="21"/>
  <c r="B431" i="21"/>
  <c r="B429" i="21"/>
  <c r="B427" i="21"/>
  <c r="B425" i="21"/>
  <c r="B423" i="21"/>
  <c r="B422" i="21"/>
  <c r="B421" i="21"/>
  <c r="B420" i="21"/>
  <c r="B419" i="21"/>
  <c r="B418" i="21"/>
  <c r="B417" i="21"/>
  <c r="B416" i="21"/>
  <c r="B415" i="21"/>
  <c r="B414" i="21"/>
  <c r="B412" i="21"/>
  <c r="B410" i="21"/>
  <c r="B408" i="21"/>
  <c r="B406" i="21"/>
  <c r="B404" i="21"/>
  <c r="B403" i="21"/>
  <c r="B402" i="21"/>
  <c r="B401" i="21"/>
  <c r="B400" i="21"/>
  <c r="B399" i="21"/>
  <c r="B398" i="21"/>
  <c r="B397" i="21"/>
  <c r="B396" i="21"/>
  <c r="B395" i="21"/>
  <c r="B394" i="21"/>
  <c r="B392" i="21"/>
  <c r="B391" i="21"/>
  <c r="B384" i="21"/>
  <c r="B383" i="21"/>
  <c r="B381" i="21"/>
  <c r="B379" i="21"/>
  <c r="B378" i="21"/>
  <c r="B377" i="21"/>
  <c r="B375" i="21"/>
  <c r="B373" i="21"/>
  <c r="B371" i="21"/>
  <c r="B369" i="21"/>
  <c r="B368" i="21"/>
  <c r="B367" i="21"/>
  <c r="B366" i="21"/>
  <c r="B365" i="21"/>
  <c r="B364" i="21"/>
  <c r="B363" i="21"/>
  <c r="B362" i="21"/>
  <c r="B361" i="21"/>
  <c r="B360" i="21"/>
  <c r="B358" i="21"/>
  <c r="B356" i="21"/>
  <c r="B354" i="21"/>
  <c r="B352" i="21"/>
  <c r="B350" i="21"/>
  <c r="B349" i="21"/>
  <c r="B348" i="21"/>
  <c r="B347" i="21"/>
  <c r="B346" i="21"/>
  <c r="B345" i="21"/>
  <c r="B344" i="21"/>
  <c r="B343" i="21"/>
  <c r="B342" i="21"/>
  <c r="B341" i="21"/>
  <c r="B340" i="21"/>
  <c r="B338" i="21"/>
  <c r="B337" i="21"/>
  <c r="B217" i="21"/>
  <c r="B216" i="21"/>
  <c r="B214" i="21"/>
  <c r="B212" i="21"/>
  <c r="B211" i="21"/>
  <c r="B210" i="21"/>
  <c r="B208" i="21"/>
  <c r="B206" i="21"/>
  <c r="B204" i="21"/>
  <c r="B202" i="21"/>
  <c r="B201" i="21"/>
  <c r="B200" i="21"/>
  <c r="B199" i="21"/>
  <c r="B197" i="21"/>
  <c r="B196" i="21"/>
  <c r="B195" i="21"/>
  <c r="B194" i="21"/>
  <c r="B193" i="21"/>
  <c r="B191" i="21"/>
  <c r="B189" i="21"/>
  <c r="B187" i="21"/>
  <c r="B185" i="21"/>
  <c r="B183" i="21"/>
  <c r="B182" i="21"/>
  <c r="B181" i="21"/>
  <c r="B180" i="21"/>
  <c r="B178" i="21"/>
  <c r="B177" i="21"/>
  <c r="B176" i="21"/>
  <c r="B175" i="21"/>
  <c r="B174" i="21"/>
  <c r="B173" i="21"/>
  <c r="B171" i="21"/>
  <c r="B170" i="21"/>
  <c r="BB443" i="15" l="1"/>
  <c r="BA443" i="15"/>
  <c r="AZ443" i="15"/>
  <c r="AY443" i="15"/>
  <c r="AX443" i="15"/>
  <c r="AW443" i="15"/>
  <c r="AV443" i="15"/>
  <c r="BB442" i="15"/>
  <c r="BA442" i="15"/>
  <c r="AZ442" i="15"/>
  <c r="AY442" i="15"/>
  <c r="AX442" i="15"/>
  <c r="AW442" i="15"/>
  <c r="AV442" i="15"/>
  <c r="BB441" i="15"/>
  <c r="BA441" i="15"/>
  <c r="AZ441" i="15"/>
  <c r="AY441" i="15"/>
  <c r="AX441" i="15"/>
  <c r="AW441" i="15"/>
  <c r="AV441" i="15"/>
  <c r="BB440" i="15"/>
  <c r="BA440" i="15"/>
  <c r="AZ440" i="15"/>
  <c r="AY440" i="15"/>
  <c r="AX440" i="15"/>
  <c r="AW440" i="15"/>
  <c r="AV440" i="15"/>
  <c r="BB439" i="15"/>
  <c r="BA439" i="15"/>
  <c r="AZ439" i="15"/>
  <c r="AY439" i="15"/>
  <c r="AX439" i="15"/>
  <c r="AW439" i="15"/>
  <c r="AV439" i="15"/>
  <c r="BB438" i="15"/>
  <c r="BA438" i="15"/>
  <c r="AZ438" i="15"/>
  <c r="AY438" i="15"/>
  <c r="AX438" i="15"/>
  <c r="AW438" i="15"/>
  <c r="AV438" i="15"/>
  <c r="BB437" i="15"/>
  <c r="BA437" i="15"/>
  <c r="AZ437" i="15"/>
  <c r="AY437" i="15"/>
  <c r="AX437" i="15"/>
  <c r="AW437" i="15"/>
  <c r="AV437" i="15"/>
  <c r="BB436" i="15"/>
  <c r="BA436" i="15"/>
  <c r="AZ436" i="15"/>
  <c r="AY436" i="15"/>
  <c r="AX436" i="15"/>
  <c r="AW436" i="15"/>
  <c r="AV436" i="15"/>
  <c r="BB435" i="15"/>
  <c r="BA435" i="15"/>
  <c r="AZ435" i="15"/>
  <c r="AY435" i="15"/>
  <c r="AX435" i="15"/>
  <c r="AW435" i="15"/>
  <c r="AV435" i="15"/>
  <c r="BB434" i="15"/>
  <c r="BA434" i="15"/>
  <c r="AZ434" i="15"/>
  <c r="AY434" i="15"/>
  <c r="AX434" i="15"/>
  <c r="AW434" i="15"/>
  <c r="AV434" i="15"/>
  <c r="BB427" i="15"/>
  <c r="BA427" i="15"/>
  <c r="AZ427" i="15"/>
  <c r="AY427" i="15"/>
  <c r="AX427" i="15"/>
  <c r="AW427" i="15"/>
  <c r="AV427" i="15"/>
  <c r="BB426" i="15"/>
  <c r="BA426" i="15"/>
  <c r="AZ426" i="15"/>
  <c r="AY426" i="15"/>
  <c r="AX426" i="15"/>
  <c r="AW426" i="15"/>
  <c r="AV426" i="15"/>
  <c r="BB425" i="15"/>
  <c r="BA425" i="15"/>
  <c r="AZ425" i="15"/>
  <c r="AY425" i="15"/>
  <c r="AX425" i="15"/>
  <c r="AW425" i="15"/>
  <c r="AV425" i="15"/>
  <c r="BB424" i="15"/>
  <c r="BA424" i="15"/>
  <c r="AZ424" i="15"/>
  <c r="AY424" i="15"/>
  <c r="AX424" i="15"/>
  <c r="AW424" i="15"/>
  <c r="AV424" i="15"/>
  <c r="BB423" i="15"/>
  <c r="BA423" i="15"/>
  <c r="AZ423" i="15"/>
  <c r="AY423" i="15"/>
  <c r="AX423" i="15"/>
  <c r="AW423" i="15"/>
  <c r="AV423" i="15"/>
  <c r="BB422" i="15"/>
  <c r="BA422" i="15"/>
  <c r="AZ422" i="15"/>
  <c r="AY422" i="15"/>
  <c r="AX422" i="15"/>
  <c r="AW422" i="15"/>
  <c r="AV422" i="15"/>
  <c r="BB421" i="15"/>
  <c r="BA421" i="15"/>
  <c r="AZ421" i="15"/>
  <c r="AY421" i="15"/>
  <c r="AX421" i="15"/>
  <c r="AW421" i="15"/>
  <c r="AV421" i="15"/>
  <c r="BB420" i="15"/>
  <c r="BA420" i="15"/>
  <c r="AZ420" i="15"/>
  <c r="AY420" i="15"/>
  <c r="AX420" i="15"/>
  <c r="AW420" i="15"/>
  <c r="AV420" i="15"/>
  <c r="BB419" i="15"/>
  <c r="BA419" i="15"/>
  <c r="AZ419" i="15"/>
  <c r="AY419" i="15"/>
  <c r="AX419" i="15"/>
  <c r="AW419" i="15"/>
  <c r="AV419" i="15"/>
  <c r="BB418" i="15"/>
  <c r="BA418" i="15"/>
  <c r="AZ418" i="15"/>
  <c r="AY418" i="15"/>
  <c r="AX418" i="15"/>
  <c r="AW418" i="15"/>
  <c r="AV418" i="15"/>
  <c r="BB417" i="15"/>
  <c r="BA417" i="15"/>
  <c r="AZ417" i="15"/>
  <c r="AY417" i="15"/>
  <c r="AX417" i="15"/>
  <c r="AW417" i="15"/>
  <c r="AV417" i="15"/>
  <c r="BB416" i="15"/>
  <c r="BA416" i="15"/>
  <c r="AZ416" i="15"/>
  <c r="AY416" i="15"/>
  <c r="AX416" i="15"/>
  <c r="AW416" i="15"/>
  <c r="AV416" i="15"/>
  <c r="BB415" i="15"/>
  <c r="BA415" i="15"/>
  <c r="AZ415" i="15"/>
  <c r="AY415" i="15"/>
  <c r="AX415" i="15"/>
  <c r="AW415" i="15"/>
  <c r="AV415" i="15"/>
  <c r="BB414" i="15"/>
  <c r="BA414" i="15"/>
  <c r="AZ414" i="15"/>
  <c r="AY414" i="15"/>
  <c r="AX414" i="15"/>
  <c r="AW414" i="15"/>
  <c r="AV414" i="15"/>
  <c r="BB413" i="15"/>
  <c r="BA413" i="15"/>
  <c r="AZ413" i="15"/>
  <c r="AY413" i="15"/>
  <c r="AX413" i="15"/>
  <c r="AW413" i="15"/>
  <c r="AV413" i="15"/>
  <c r="BB412" i="15"/>
  <c r="BA412" i="15"/>
  <c r="AZ412" i="15"/>
  <c r="AY412" i="15"/>
  <c r="AX412" i="15"/>
  <c r="AW412" i="15"/>
  <c r="AV412" i="15"/>
  <c r="BB411" i="15"/>
  <c r="BA411" i="15"/>
  <c r="AZ411" i="15"/>
  <c r="AY411" i="15"/>
  <c r="AX411" i="15"/>
  <c r="AW411" i="15"/>
  <c r="AV411" i="15"/>
  <c r="BB410" i="15"/>
  <c r="BA410" i="15"/>
  <c r="AZ410" i="15"/>
  <c r="AY410" i="15"/>
  <c r="AX410" i="15"/>
  <c r="AW410" i="15"/>
  <c r="AV410" i="15"/>
  <c r="BB409" i="15"/>
  <c r="BA409" i="15"/>
  <c r="AZ409" i="15"/>
  <c r="AY409" i="15"/>
  <c r="AX409" i="15"/>
  <c r="AW409" i="15"/>
  <c r="AV409" i="15"/>
  <c r="BB408" i="15"/>
  <c r="BA408" i="15"/>
  <c r="AZ408" i="15"/>
  <c r="AY408" i="15"/>
  <c r="AX408" i="15"/>
  <c r="AW408" i="15"/>
  <c r="AV408" i="15"/>
  <c r="BB401" i="15"/>
  <c r="BA401" i="15"/>
  <c r="AZ401" i="15"/>
  <c r="AY401" i="15"/>
  <c r="AX401" i="15"/>
  <c r="AW401" i="15"/>
  <c r="AV401" i="15"/>
  <c r="BB400" i="15"/>
  <c r="BA400" i="15"/>
  <c r="AZ400" i="15"/>
  <c r="AY400" i="15"/>
  <c r="AX400" i="15"/>
  <c r="AW400" i="15"/>
  <c r="AV400" i="15"/>
  <c r="BB399" i="15"/>
  <c r="BA399" i="15"/>
  <c r="AZ399" i="15"/>
  <c r="AY399" i="15"/>
  <c r="AX399" i="15"/>
  <c r="AW399" i="15"/>
  <c r="AV399" i="15"/>
  <c r="BB398" i="15"/>
  <c r="BA398" i="15"/>
  <c r="AZ398" i="15"/>
  <c r="AY398" i="15"/>
  <c r="AX398" i="15"/>
  <c r="AW398" i="15"/>
  <c r="AV398" i="15"/>
  <c r="BB397" i="15"/>
  <c r="BA397" i="15"/>
  <c r="AZ397" i="15"/>
  <c r="AY397" i="15"/>
  <c r="AX397" i="15"/>
  <c r="AW397" i="15"/>
  <c r="AV397" i="15"/>
  <c r="BB396" i="15"/>
  <c r="BA396" i="15"/>
  <c r="AZ396" i="15"/>
  <c r="AY396" i="15"/>
  <c r="AX396" i="15"/>
  <c r="AW396" i="15"/>
  <c r="AV396" i="15"/>
  <c r="BB395" i="15"/>
  <c r="BA395" i="15"/>
  <c r="AZ395" i="15"/>
  <c r="AY395" i="15"/>
  <c r="AX395" i="15"/>
  <c r="AW395" i="15"/>
  <c r="AV395" i="15"/>
  <c r="BB394" i="15"/>
  <c r="BA394" i="15"/>
  <c r="AZ394" i="15"/>
  <c r="AY394" i="15"/>
  <c r="AX394" i="15"/>
  <c r="AW394" i="15"/>
  <c r="AV394" i="15"/>
  <c r="BB393" i="15"/>
  <c r="BA393" i="15"/>
  <c r="AZ393" i="15"/>
  <c r="AY393" i="15"/>
  <c r="AX393" i="15"/>
  <c r="AW393" i="15"/>
  <c r="AV393" i="15"/>
  <c r="BB392" i="15"/>
  <c r="BA392" i="15"/>
  <c r="AZ392" i="15"/>
  <c r="AY392" i="15"/>
  <c r="AX392" i="15"/>
  <c r="AW392" i="15"/>
  <c r="AV392" i="15"/>
  <c r="BB391" i="15"/>
  <c r="BA391" i="15"/>
  <c r="AZ391" i="15"/>
  <c r="AY391" i="15"/>
  <c r="AX391" i="15"/>
  <c r="AW391" i="15"/>
  <c r="AV391" i="15"/>
  <c r="BB390" i="15"/>
  <c r="BA390" i="15"/>
  <c r="AZ390" i="15"/>
  <c r="AY390" i="15"/>
  <c r="AX390" i="15"/>
  <c r="AW390" i="15"/>
  <c r="AV390" i="15"/>
  <c r="BB389" i="15"/>
  <c r="BA389" i="15"/>
  <c r="AZ389" i="15"/>
  <c r="AY389" i="15"/>
  <c r="AX389" i="15"/>
  <c r="AW389" i="15"/>
  <c r="AV389" i="15"/>
  <c r="BB388" i="15"/>
  <c r="BA388" i="15"/>
  <c r="AZ388" i="15"/>
  <c r="AY388" i="15"/>
  <c r="AX388" i="15"/>
  <c r="AW388" i="15"/>
  <c r="AV388" i="15"/>
  <c r="BB387" i="15"/>
  <c r="BA387" i="15"/>
  <c r="AZ387" i="15"/>
  <c r="AY387" i="15"/>
  <c r="AX387" i="15"/>
  <c r="AW387" i="15"/>
  <c r="AV387" i="15"/>
  <c r="BB386" i="15"/>
  <c r="BA386" i="15"/>
  <c r="AZ386" i="15"/>
  <c r="AY386" i="15"/>
  <c r="AX386" i="15"/>
  <c r="AW386" i="15"/>
  <c r="AV386" i="15"/>
  <c r="BB385" i="15"/>
  <c r="BA385" i="15"/>
  <c r="AZ385" i="15"/>
  <c r="AY385" i="15"/>
  <c r="AX385" i="15"/>
  <c r="AW385" i="15"/>
  <c r="AV385" i="15"/>
  <c r="BB384" i="15"/>
  <c r="BA384" i="15"/>
  <c r="AZ384" i="15"/>
  <c r="AY384" i="15"/>
  <c r="AX384" i="15"/>
  <c r="AW384" i="15"/>
  <c r="AV384" i="15"/>
  <c r="BB383" i="15"/>
  <c r="BA383" i="15"/>
  <c r="AZ383" i="15"/>
  <c r="AY383" i="15"/>
  <c r="AX383" i="15"/>
  <c r="AW383" i="15"/>
  <c r="AV383" i="15"/>
  <c r="BB382" i="15"/>
  <c r="BA382" i="15"/>
  <c r="AZ382" i="15"/>
  <c r="AY382" i="15"/>
  <c r="AX382" i="15"/>
  <c r="AW382" i="15"/>
  <c r="AV382" i="15"/>
  <c r="BB375" i="15"/>
  <c r="BA375" i="15"/>
  <c r="AZ375" i="15"/>
  <c r="AY375" i="15"/>
  <c r="AX375" i="15"/>
  <c r="AW375" i="15"/>
  <c r="AV375" i="15"/>
  <c r="BB374" i="15"/>
  <c r="BA374" i="15"/>
  <c r="AZ374" i="15"/>
  <c r="AY374" i="15"/>
  <c r="AX374" i="15"/>
  <c r="AW374" i="15"/>
  <c r="AV374" i="15"/>
  <c r="BB373" i="15"/>
  <c r="BA373" i="15"/>
  <c r="AZ373" i="15"/>
  <c r="AY373" i="15"/>
  <c r="AX373" i="15"/>
  <c r="AW373" i="15"/>
  <c r="AV373" i="15"/>
  <c r="BB372" i="15"/>
  <c r="BA372" i="15"/>
  <c r="AZ372" i="15"/>
  <c r="AY372" i="15"/>
  <c r="AX372" i="15"/>
  <c r="AW372" i="15"/>
  <c r="AV372" i="15"/>
  <c r="BB371" i="15"/>
  <c r="BA371" i="15"/>
  <c r="AZ371" i="15"/>
  <c r="AY371" i="15"/>
  <c r="AX371" i="15"/>
  <c r="AW371" i="15"/>
  <c r="AV371" i="15"/>
  <c r="BB370" i="15"/>
  <c r="BA370" i="15"/>
  <c r="AZ370" i="15"/>
  <c r="AY370" i="15"/>
  <c r="AX370" i="15"/>
  <c r="AW370" i="15"/>
  <c r="AV370" i="15"/>
  <c r="BB369" i="15"/>
  <c r="BA369" i="15"/>
  <c r="AZ369" i="15"/>
  <c r="AY369" i="15"/>
  <c r="AX369" i="15"/>
  <c r="AW369" i="15"/>
  <c r="AV369" i="15"/>
  <c r="BB368" i="15"/>
  <c r="BA368" i="15"/>
  <c r="AZ368" i="15"/>
  <c r="AY368" i="15"/>
  <c r="AX368" i="15"/>
  <c r="AW368" i="15"/>
  <c r="AV368" i="15"/>
  <c r="BB367" i="15"/>
  <c r="BA367" i="15"/>
  <c r="AZ367" i="15"/>
  <c r="AY367" i="15"/>
  <c r="AX367" i="15"/>
  <c r="AW367" i="15"/>
  <c r="AV367" i="15"/>
  <c r="BB366" i="15"/>
  <c r="BA366" i="15"/>
  <c r="AZ366" i="15"/>
  <c r="AY366" i="15"/>
  <c r="AX366" i="15"/>
  <c r="AW366" i="15"/>
  <c r="AV366" i="15"/>
  <c r="BB365" i="15"/>
  <c r="BA365" i="15"/>
  <c r="AZ365" i="15"/>
  <c r="AY365" i="15"/>
  <c r="AX365" i="15"/>
  <c r="AW365" i="15"/>
  <c r="AV365" i="15"/>
  <c r="BB364" i="15"/>
  <c r="BA364" i="15"/>
  <c r="AZ364" i="15"/>
  <c r="AY364" i="15"/>
  <c r="AX364" i="15"/>
  <c r="AW364" i="15"/>
  <c r="AV364" i="15"/>
  <c r="BB363" i="15"/>
  <c r="BA363" i="15"/>
  <c r="AZ363" i="15"/>
  <c r="AY363" i="15"/>
  <c r="AX363" i="15"/>
  <c r="AW363" i="15"/>
  <c r="AV363" i="15"/>
  <c r="BB362" i="15"/>
  <c r="BA362" i="15"/>
  <c r="AZ362" i="15"/>
  <c r="AY362" i="15"/>
  <c r="AX362" i="15"/>
  <c r="AW362" i="15"/>
  <c r="AV362" i="15"/>
  <c r="BB361" i="15"/>
  <c r="BA361" i="15"/>
  <c r="AZ361" i="15"/>
  <c r="AY361" i="15"/>
  <c r="AX361" i="15"/>
  <c r="AW361" i="15"/>
  <c r="AV361" i="15"/>
  <c r="BB360" i="15"/>
  <c r="BA360" i="15"/>
  <c r="AZ360" i="15"/>
  <c r="AY360" i="15"/>
  <c r="AX360" i="15"/>
  <c r="AW360" i="15"/>
  <c r="AV360" i="15"/>
  <c r="BB359" i="15"/>
  <c r="BA359" i="15"/>
  <c r="AZ359" i="15"/>
  <c r="AY359" i="15"/>
  <c r="AX359" i="15"/>
  <c r="AW359" i="15"/>
  <c r="AV359" i="15"/>
  <c r="BB358" i="15"/>
  <c r="BA358" i="15"/>
  <c r="AZ358" i="15"/>
  <c r="AY358" i="15"/>
  <c r="AX358" i="15"/>
  <c r="AW358" i="15"/>
  <c r="AV358" i="15"/>
  <c r="BB357" i="15"/>
  <c r="BA357" i="15"/>
  <c r="AZ357" i="15"/>
  <c r="AY357" i="15"/>
  <c r="AX357" i="15"/>
  <c r="AW357" i="15"/>
  <c r="AV357" i="15"/>
  <c r="BB356" i="15"/>
  <c r="BA356" i="15"/>
  <c r="AZ356" i="15"/>
  <c r="AY356" i="15"/>
  <c r="AX356" i="15"/>
  <c r="AW356" i="15"/>
  <c r="AV356" i="15"/>
  <c r="BB355" i="15"/>
  <c r="BA355" i="15"/>
  <c r="AZ355" i="15"/>
  <c r="AY355" i="15"/>
  <c r="AX355" i="15"/>
  <c r="AW355" i="15"/>
  <c r="AV355" i="15"/>
  <c r="BB354" i="15"/>
  <c r="BA354" i="15"/>
  <c r="AZ354" i="15"/>
  <c r="AY354" i="15"/>
  <c r="AX354" i="15"/>
  <c r="AW354" i="15"/>
  <c r="AV354" i="15"/>
  <c r="BB353" i="15"/>
  <c r="BA353" i="15"/>
  <c r="AZ353" i="15"/>
  <c r="AY353" i="15"/>
  <c r="AX353" i="15"/>
  <c r="AW353" i="15"/>
  <c r="AV353" i="15"/>
  <c r="BB352" i="15"/>
  <c r="BA352" i="15"/>
  <c r="AZ352" i="15"/>
  <c r="AY352" i="15"/>
  <c r="AX352" i="15"/>
  <c r="AW352" i="15"/>
  <c r="AV352" i="15"/>
  <c r="BB351" i="15"/>
  <c r="BA351" i="15"/>
  <c r="AZ351" i="15"/>
  <c r="AY351" i="15"/>
  <c r="AX351" i="15"/>
  <c r="AW351" i="15"/>
  <c r="AV351" i="15"/>
  <c r="BB350" i="15"/>
  <c r="BA350" i="15"/>
  <c r="AZ350" i="15"/>
  <c r="AY350" i="15"/>
  <c r="AX350" i="15"/>
  <c r="AW350" i="15"/>
  <c r="AV350" i="15"/>
  <c r="AL443" i="15"/>
  <c r="AK443" i="15"/>
  <c r="AJ443" i="15"/>
  <c r="AI443" i="15"/>
  <c r="AH443" i="15"/>
  <c r="AG443" i="15"/>
  <c r="AF443" i="15"/>
  <c r="AL442" i="15"/>
  <c r="AK442" i="15"/>
  <c r="AJ442" i="15"/>
  <c r="AI442" i="15"/>
  <c r="AH442" i="15"/>
  <c r="AG442" i="15"/>
  <c r="AF442" i="15"/>
  <c r="AL441" i="15"/>
  <c r="AK441" i="15"/>
  <c r="AJ441" i="15"/>
  <c r="AI441" i="15"/>
  <c r="AH441" i="15"/>
  <c r="AG441" i="15"/>
  <c r="AF441" i="15"/>
  <c r="AL440" i="15"/>
  <c r="AK440" i="15"/>
  <c r="AJ440" i="15"/>
  <c r="AI440" i="15"/>
  <c r="AH440" i="15"/>
  <c r="AG440" i="15"/>
  <c r="AF440" i="15"/>
  <c r="AL439" i="15"/>
  <c r="AK439" i="15"/>
  <c r="AJ439" i="15"/>
  <c r="AI439" i="15"/>
  <c r="AH439" i="15"/>
  <c r="AG439" i="15"/>
  <c r="AF439" i="15"/>
  <c r="AL438" i="15"/>
  <c r="AK438" i="15"/>
  <c r="AJ438" i="15"/>
  <c r="AI438" i="15"/>
  <c r="AH438" i="15"/>
  <c r="AG438" i="15"/>
  <c r="AF438" i="15"/>
  <c r="AL437" i="15"/>
  <c r="AK437" i="15"/>
  <c r="AJ437" i="15"/>
  <c r="AI437" i="15"/>
  <c r="AH437" i="15"/>
  <c r="AG437" i="15"/>
  <c r="AF437" i="15"/>
  <c r="AL436" i="15"/>
  <c r="AK436" i="15"/>
  <c r="AJ436" i="15"/>
  <c r="AI436" i="15"/>
  <c r="AH436" i="15"/>
  <c r="AG436" i="15"/>
  <c r="AF436" i="15"/>
  <c r="AL435" i="15"/>
  <c r="AK435" i="15"/>
  <c r="AJ435" i="15"/>
  <c r="AI435" i="15"/>
  <c r="AH435" i="15"/>
  <c r="AG435" i="15"/>
  <c r="AF435" i="15"/>
  <c r="AL434" i="15"/>
  <c r="AK434" i="15"/>
  <c r="AJ434" i="15"/>
  <c r="AI434" i="15"/>
  <c r="AH434" i="15"/>
  <c r="AG434" i="15"/>
  <c r="AF434" i="15"/>
  <c r="AL427" i="15"/>
  <c r="AK427" i="15"/>
  <c r="AJ427" i="15"/>
  <c r="AI427" i="15"/>
  <c r="AH427" i="15"/>
  <c r="AG427" i="15"/>
  <c r="AF427" i="15"/>
  <c r="AL426" i="15"/>
  <c r="AK426" i="15"/>
  <c r="AJ426" i="15"/>
  <c r="AI426" i="15"/>
  <c r="AH426" i="15"/>
  <c r="AG426" i="15"/>
  <c r="AF426" i="15"/>
  <c r="AL425" i="15"/>
  <c r="AK425" i="15"/>
  <c r="AJ425" i="15"/>
  <c r="AI425" i="15"/>
  <c r="AH425" i="15"/>
  <c r="AG425" i="15"/>
  <c r="AF425" i="15"/>
  <c r="AL424" i="15"/>
  <c r="AK424" i="15"/>
  <c r="AJ424" i="15"/>
  <c r="AI424" i="15"/>
  <c r="AH424" i="15"/>
  <c r="AG424" i="15"/>
  <c r="AF424" i="15"/>
  <c r="AL423" i="15"/>
  <c r="AK423" i="15"/>
  <c r="AJ423" i="15"/>
  <c r="AI423" i="15"/>
  <c r="AH423" i="15"/>
  <c r="AG423" i="15"/>
  <c r="AF423" i="15"/>
  <c r="AL422" i="15"/>
  <c r="AK422" i="15"/>
  <c r="AJ422" i="15"/>
  <c r="AI422" i="15"/>
  <c r="AH422" i="15"/>
  <c r="AG422" i="15"/>
  <c r="AF422" i="15"/>
  <c r="AL421" i="15"/>
  <c r="AK421" i="15"/>
  <c r="AJ421" i="15"/>
  <c r="AI421" i="15"/>
  <c r="AH421" i="15"/>
  <c r="AG421" i="15"/>
  <c r="AF421" i="15"/>
  <c r="AL420" i="15"/>
  <c r="AK420" i="15"/>
  <c r="AJ420" i="15"/>
  <c r="AI420" i="15"/>
  <c r="AH420" i="15"/>
  <c r="AG420" i="15"/>
  <c r="AF420" i="15"/>
  <c r="AL419" i="15"/>
  <c r="AK419" i="15"/>
  <c r="AJ419" i="15"/>
  <c r="AI419" i="15"/>
  <c r="AH419" i="15"/>
  <c r="AG419" i="15"/>
  <c r="AF419" i="15"/>
  <c r="AL418" i="15"/>
  <c r="AK418" i="15"/>
  <c r="AJ418" i="15"/>
  <c r="AI418" i="15"/>
  <c r="AH418" i="15"/>
  <c r="AG418" i="15"/>
  <c r="AF418" i="15"/>
  <c r="AL417" i="15"/>
  <c r="AK417" i="15"/>
  <c r="AJ417" i="15"/>
  <c r="AI417" i="15"/>
  <c r="AH417" i="15"/>
  <c r="AG417" i="15"/>
  <c r="AF417" i="15"/>
  <c r="AL416" i="15"/>
  <c r="AK416" i="15"/>
  <c r="AJ416" i="15"/>
  <c r="AI416" i="15"/>
  <c r="AH416" i="15"/>
  <c r="AG416" i="15"/>
  <c r="AF416" i="15"/>
  <c r="AL415" i="15"/>
  <c r="AK415" i="15"/>
  <c r="AJ415" i="15"/>
  <c r="AI415" i="15"/>
  <c r="AH415" i="15"/>
  <c r="AG415" i="15"/>
  <c r="AF415" i="15"/>
  <c r="AL414" i="15"/>
  <c r="AK414" i="15"/>
  <c r="AJ414" i="15"/>
  <c r="AI414" i="15"/>
  <c r="AH414" i="15"/>
  <c r="AG414" i="15"/>
  <c r="AF414" i="15"/>
  <c r="AL413" i="15"/>
  <c r="AK413" i="15"/>
  <c r="AJ413" i="15"/>
  <c r="AI413" i="15"/>
  <c r="AH413" i="15"/>
  <c r="AG413" i="15"/>
  <c r="AF413" i="15"/>
  <c r="AL412" i="15"/>
  <c r="AK412" i="15"/>
  <c r="AJ412" i="15"/>
  <c r="AI412" i="15"/>
  <c r="AH412" i="15"/>
  <c r="AG412" i="15"/>
  <c r="AF412" i="15"/>
  <c r="AL411" i="15"/>
  <c r="AK411" i="15"/>
  <c r="AJ411" i="15"/>
  <c r="AI411" i="15"/>
  <c r="AH411" i="15"/>
  <c r="AG411" i="15"/>
  <c r="AF411" i="15"/>
  <c r="AL410" i="15"/>
  <c r="AK410" i="15"/>
  <c r="AJ410" i="15"/>
  <c r="AI410" i="15"/>
  <c r="AH410" i="15"/>
  <c r="AG410" i="15"/>
  <c r="AF410" i="15"/>
  <c r="AL409" i="15"/>
  <c r="AK409" i="15"/>
  <c r="AJ409" i="15"/>
  <c r="AI409" i="15"/>
  <c r="AH409" i="15"/>
  <c r="AG409" i="15"/>
  <c r="AF409" i="15"/>
  <c r="AL408" i="15"/>
  <c r="AK408" i="15"/>
  <c r="AJ408" i="15"/>
  <c r="AI408" i="15"/>
  <c r="AH408" i="15"/>
  <c r="AG408" i="15"/>
  <c r="AF408" i="15"/>
  <c r="AL401" i="15"/>
  <c r="AK401" i="15"/>
  <c r="AJ401" i="15"/>
  <c r="AI401" i="15"/>
  <c r="AH401" i="15"/>
  <c r="AG401" i="15"/>
  <c r="AF401" i="15"/>
  <c r="AL400" i="15"/>
  <c r="AK400" i="15"/>
  <c r="AJ400" i="15"/>
  <c r="AI400" i="15"/>
  <c r="AH400" i="15"/>
  <c r="AG400" i="15"/>
  <c r="AF400" i="15"/>
  <c r="AL399" i="15"/>
  <c r="AK399" i="15"/>
  <c r="AJ399" i="15"/>
  <c r="AI399" i="15"/>
  <c r="AH399" i="15"/>
  <c r="AG399" i="15"/>
  <c r="AF399" i="15"/>
  <c r="AL398" i="15"/>
  <c r="AK398" i="15"/>
  <c r="AJ398" i="15"/>
  <c r="AI398" i="15"/>
  <c r="AH398" i="15"/>
  <c r="AG398" i="15"/>
  <c r="AF398" i="15"/>
  <c r="AL397" i="15"/>
  <c r="AK397" i="15"/>
  <c r="AJ397" i="15"/>
  <c r="AI397" i="15"/>
  <c r="AH397" i="15"/>
  <c r="AG397" i="15"/>
  <c r="AF397" i="15"/>
  <c r="AL396" i="15"/>
  <c r="AK396" i="15"/>
  <c r="AJ396" i="15"/>
  <c r="AI396" i="15"/>
  <c r="AH396" i="15"/>
  <c r="AG396" i="15"/>
  <c r="AF396" i="15"/>
  <c r="AL395" i="15"/>
  <c r="AK395" i="15"/>
  <c r="AJ395" i="15"/>
  <c r="AI395" i="15"/>
  <c r="AH395" i="15"/>
  <c r="AG395" i="15"/>
  <c r="AF395" i="15"/>
  <c r="AL394" i="15"/>
  <c r="AK394" i="15"/>
  <c r="AJ394" i="15"/>
  <c r="AI394" i="15"/>
  <c r="AH394" i="15"/>
  <c r="AG394" i="15"/>
  <c r="AF394" i="15"/>
  <c r="AL393" i="15"/>
  <c r="AK393" i="15"/>
  <c r="AJ393" i="15"/>
  <c r="AI393" i="15"/>
  <c r="AH393" i="15"/>
  <c r="AG393" i="15"/>
  <c r="AF393" i="15"/>
  <c r="AL392" i="15"/>
  <c r="AK392" i="15"/>
  <c r="AJ392" i="15"/>
  <c r="AI392" i="15"/>
  <c r="AH392" i="15"/>
  <c r="AG392" i="15"/>
  <c r="AF392" i="15"/>
  <c r="AL391" i="15"/>
  <c r="AK391" i="15"/>
  <c r="AJ391" i="15"/>
  <c r="AI391" i="15"/>
  <c r="AH391" i="15"/>
  <c r="AG391" i="15"/>
  <c r="AF391" i="15"/>
  <c r="AL390" i="15"/>
  <c r="AK390" i="15"/>
  <c r="AJ390" i="15"/>
  <c r="AI390" i="15"/>
  <c r="AH390" i="15"/>
  <c r="AG390" i="15"/>
  <c r="AF390" i="15"/>
  <c r="AL389" i="15"/>
  <c r="AK389" i="15"/>
  <c r="AJ389" i="15"/>
  <c r="AI389" i="15"/>
  <c r="AH389" i="15"/>
  <c r="AG389" i="15"/>
  <c r="AF389" i="15"/>
  <c r="AL388" i="15"/>
  <c r="AK388" i="15"/>
  <c r="AJ388" i="15"/>
  <c r="AI388" i="15"/>
  <c r="AH388" i="15"/>
  <c r="AG388" i="15"/>
  <c r="AF388" i="15"/>
  <c r="AL387" i="15"/>
  <c r="AK387" i="15"/>
  <c r="AJ387" i="15"/>
  <c r="AI387" i="15"/>
  <c r="AH387" i="15"/>
  <c r="AG387" i="15"/>
  <c r="AF387" i="15"/>
  <c r="AL386" i="15"/>
  <c r="AK386" i="15"/>
  <c r="AJ386" i="15"/>
  <c r="AI386" i="15"/>
  <c r="AH386" i="15"/>
  <c r="AG386" i="15"/>
  <c r="AF386" i="15"/>
  <c r="AL385" i="15"/>
  <c r="AK385" i="15"/>
  <c r="AJ385" i="15"/>
  <c r="AI385" i="15"/>
  <c r="AH385" i="15"/>
  <c r="AG385" i="15"/>
  <c r="AF385" i="15"/>
  <c r="AL384" i="15"/>
  <c r="AK384" i="15"/>
  <c r="AJ384" i="15"/>
  <c r="AI384" i="15"/>
  <c r="AH384" i="15"/>
  <c r="AG384" i="15"/>
  <c r="AF384" i="15"/>
  <c r="AL383" i="15"/>
  <c r="AK383" i="15"/>
  <c r="AJ383" i="15"/>
  <c r="AI383" i="15"/>
  <c r="AH383" i="15"/>
  <c r="AG383" i="15"/>
  <c r="AF383" i="15"/>
  <c r="AL382" i="15"/>
  <c r="AK382" i="15"/>
  <c r="AJ382" i="15"/>
  <c r="AI382" i="15"/>
  <c r="AH382" i="15"/>
  <c r="AG382" i="15"/>
  <c r="AF382" i="15"/>
  <c r="AF351" i="15"/>
  <c r="AG351" i="15"/>
  <c r="AH351" i="15"/>
  <c r="AI351" i="15"/>
  <c r="AJ351" i="15"/>
  <c r="AK351" i="15"/>
  <c r="AL351" i="15"/>
  <c r="AF352" i="15"/>
  <c r="AG352" i="15"/>
  <c r="AH352" i="15"/>
  <c r="AI352" i="15"/>
  <c r="AJ352" i="15"/>
  <c r="AK352" i="15"/>
  <c r="AL352" i="15"/>
  <c r="AF353" i="15"/>
  <c r="AG353" i="15"/>
  <c r="AH353" i="15"/>
  <c r="AI353" i="15"/>
  <c r="AJ353" i="15"/>
  <c r="AK353" i="15"/>
  <c r="AL353" i="15"/>
  <c r="AF354" i="15"/>
  <c r="AG354" i="15"/>
  <c r="AH354" i="15"/>
  <c r="AI354" i="15"/>
  <c r="AJ354" i="15"/>
  <c r="AK354" i="15"/>
  <c r="AL354" i="15"/>
  <c r="AF355" i="15"/>
  <c r="AG355" i="15"/>
  <c r="AH355" i="15"/>
  <c r="AI355" i="15"/>
  <c r="AJ355" i="15"/>
  <c r="AK355" i="15"/>
  <c r="AL355" i="15"/>
  <c r="AF356" i="15"/>
  <c r="AG356" i="15"/>
  <c r="AH356" i="15"/>
  <c r="AI356" i="15"/>
  <c r="AJ356" i="15"/>
  <c r="AK356" i="15"/>
  <c r="AL356" i="15"/>
  <c r="AF357" i="15"/>
  <c r="AG357" i="15"/>
  <c r="AH357" i="15"/>
  <c r="AI357" i="15"/>
  <c r="AJ357" i="15"/>
  <c r="AK357" i="15"/>
  <c r="AL357" i="15"/>
  <c r="AF358" i="15"/>
  <c r="AG358" i="15"/>
  <c r="AH358" i="15"/>
  <c r="AI358" i="15"/>
  <c r="AJ358" i="15"/>
  <c r="AK358" i="15"/>
  <c r="AL358" i="15"/>
  <c r="AF359" i="15"/>
  <c r="AG359" i="15"/>
  <c r="AH359" i="15"/>
  <c r="AI359" i="15"/>
  <c r="AJ359" i="15"/>
  <c r="AK359" i="15"/>
  <c r="AL359" i="15"/>
  <c r="AF360" i="15"/>
  <c r="AG360" i="15"/>
  <c r="AH360" i="15"/>
  <c r="AI360" i="15"/>
  <c r="AJ360" i="15"/>
  <c r="AK360" i="15"/>
  <c r="AL360" i="15"/>
  <c r="AF361" i="15"/>
  <c r="AG361" i="15"/>
  <c r="AH361" i="15"/>
  <c r="AI361" i="15"/>
  <c r="AJ361" i="15"/>
  <c r="AK361" i="15"/>
  <c r="AL361" i="15"/>
  <c r="AF362" i="15"/>
  <c r="AG362" i="15"/>
  <c r="AH362" i="15"/>
  <c r="AI362" i="15"/>
  <c r="AJ362" i="15"/>
  <c r="AK362" i="15"/>
  <c r="AL362" i="15"/>
  <c r="AF363" i="15"/>
  <c r="AG363" i="15"/>
  <c r="AH363" i="15"/>
  <c r="AI363" i="15"/>
  <c r="AJ363" i="15"/>
  <c r="AK363" i="15"/>
  <c r="AL363" i="15"/>
  <c r="AF364" i="15"/>
  <c r="AG364" i="15"/>
  <c r="AH364" i="15"/>
  <c r="AI364" i="15"/>
  <c r="AJ364" i="15"/>
  <c r="AK364" i="15"/>
  <c r="AL364" i="15"/>
  <c r="AF365" i="15"/>
  <c r="AG365" i="15"/>
  <c r="AH365" i="15"/>
  <c r="AI365" i="15"/>
  <c r="AJ365" i="15"/>
  <c r="AK365" i="15"/>
  <c r="AL365" i="15"/>
  <c r="AF366" i="15"/>
  <c r="AG366" i="15"/>
  <c r="AH366" i="15"/>
  <c r="AI366" i="15"/>
  <c r="AJ366" i="15"/>
  <c r="AK366" i="15"/>
  <c r="AL366" i="15"/>
  <c r="AF367" i="15"/>
  <c r="AG367" i="15"/>
  <c r="AH367" i="15"/>
  <c r="AI367" i="15"/>
  <c r="AJ367" i="15"/>
  <c r="AK367" i="15"/>
  <c r="AL367" i="15"/>
  <c r="AF368" i="15"/>
  <c r="AG368" i="15"/>
  <c r="AH368" i="15"/>
  <c r="AI368" i="15"/>
  <c r="AJ368" i="15"/>
  <c r="AK368" i="15"/>
  <c r="AL368" i="15"/>
  <c r="AF369" i="15"/>
  <c r="AG369" i="15"/>
  <c r="AH369" i="15"/>
  <c r="AI369" i="15"/>
  <c r="AJ369" i="15"/>
  <c r="AK369" i="15"/>
  <c r="AL369" i="15"/>
  <c r="AF370" i="15"/>
  <c r="AG370" i="15"/>
  <c r="AH370" i="15"/>
  <c r="AI370" i="15"/>
  <c r="AJ370" i="15"/>
  <c r="AK370" i="15"/>
  <c r="AL370" i="15"/>
  <c r="AF371" i="15"/>
  <c r="AG371" i="15"/>
  <c r="AH371" i="15"/>
  <c r="AI371" i="15"/>
  <c r="AJ371" i="15"/>
  <c r="AK371" i="15"/>
  <c r="AL371" i="15"/>
  <c r="AF372" i="15"/>
  <c r="AG372" i="15"/>
  <c r="AH372" i="15"/>
  <c r="AI372" i="15"/>
  <c r="AJ372" i="15"/>
  <c r="AK372" i="15"/>
  <c r="AL372" i="15"/>
  <c r="AF373" i="15"/>
  <c r="AG373" i="15"/>
  <c r="AH373" i="15"/>
  <c r="AI373" i="15"/>
  <c r="AJ373" i="15"/>
  <c r="AK373" i="15"/>
  <c r="AL373" i="15"/>
  <c r="AF374" i="15"/>
  <c r="AG374" i="15"/>
  <c r="AH374" i="15"/>
  <c r="AI374" i="15"/>
  <c r="AJ374" i="15"/>
  <c r="AK374" i="15"/>
  <c r="AL374" i="15"/>
  <c r="AF375" i="15"/>
  <c r="AG375" i="15"/>
  <c r="AH375" i="15"/>
  <c r="AI375" i="15"/>
  <c r="AJ375" i="15"/>
  <c r="AK375" i="15"/>
  <c r="AL375" i="15"/>
  <c r="AL350" i="15"/>
  <c r="AK350" i="15"/>
  <c r="AJ350" i="15"/>
  <c r="AI350" i="15"/>
  <c r="AH350" i="15"/>
  <c r="AG350" i="15"/>
  <c r="AF350" i="15"/>
  <c r="BB32" i="15"/>
  <c r="BA32" i="15"/>
  <c r="AZ32" i="15"/>
  <c r="AY32" i="15"/>
  <c r="AX32" i="15"/>
  <c r="AW32" i="15"/>
  <c r="AV32" i="15"/>
  <c r="BB31" i="15"/>
  <c r="BA31" i="15"/>
  <c r="AZ31" i="15"/>
  <c r="AY31" i="15"/>
  <c r="AX31" i="15"/>
  <c r="AW31" i="15"/>
  <c r="AV31" i="15"/>
  <c r="BB30" i="15"/>
  <c r="BA30" i="15"/>
  <c r="AZ30" i="15"/>
  <c r="AY30" i="15"/>
  <c r="AX30" i="15"/>
  <c r="AW30" i="15"/>
  <c r="AV30" i="15"/>
  <c r="BB29" i="15"/>
  <c r="BA29" i="15"/>
  <c r="AZ29" i="15"/>
  <c r="AY29" i="15"/>
  <c r="AX29" i="15"/>
  <c r="AW29" i="15"/>
  <c r="AV29" i="15"/>
  <c r="BB28" i="15"/>
  <c r="BA28" i="15"/>
  <c r="AZ28" i="15"/>
  <c r="AY28" i="15"/>
  <c r="AX28" i="15"/>
  <c r="AW28" i="15"/>
  <c r="AV28" i="15"/>
  <c r="AL32" i="15"/>
  <c r="AK32" i="15"/>
  <c r="AJ32" i="15"/>
  <c r="AI32" i="15"/>
  <c r="AH32" i="15"/>
  <c r="AG32" i="15"/>
  <c r="AF32" i="15"/>
  <c r="AL31" i="15"/>
  <c r="AK31" i="15"/>
  <c r="AJ31" i="15"/>
  <c r="AI31" i="15"/>
  <c r="AH31" i="15"/>
  <c r="AG31" i="15"/>
  <c r="AF31" i="15"/>
  <c r="AL30" i="15"/>
  <c r="AK30" i="15"/>
  <c r="AJ30" i="15"/>
  <c r="AI30" i="15"/>
  <c r="AH30" i="15"/>
  <c r="AG30" i="15"/>
  <c r="AF30" i="15"/>
  <c r="AL29" i="15"/>
  <c r="AK29" i="15"/>
  <c r="AJ29" i="15"/>
  <c r="AI29" i="15"/>
  <c r="AH29" i="15"/>
  <c r="AG29" i="15"/>
  <c r="AF29" i="15"/>
  <c r="AL28" i="15"/>
  <c r="AK28" i="15"/>
  <c r="AJ28" i="15"/>
  <c r="AI28" i="15"/>
  <c r="AH28" i="15"/>
  <c r="AG28" i="15"/>
  <c r="AF28" i="15"/>
  <c r="AL342" i="15"/>
  <c r="AK342" i="15"/>
  <c r="AJ342" i="15"/>
  <c r="AI342" i="15"/>
  <c r="AH342" i="15"/>
  <c r="AG342" i="15"/>
  <c r="AL341" i="15"/>
  <c r="AK341" i="15"/>
  <c r="AJ341" i="15"/>
  <c r="AI341" i="15"/>
  <c r="AH341" i="15"/>
  <c r="AG341" i="15"/>
  <c r="AL340" i="15"/>
  <c r="AK340" i="15"/>
  <c r="AJ340" i="15"/>
  <c r="AI340" i="15"/>
  <c r="AH340" i="15"/>
  <c r="AG340" i="15"/>
  <c r="AL339" i="15"/>
  <c r="AK339" i="15"/>
  <c r="AJ339" i="15"/>
  <c r="AI339" i="15"/>
  <c r="AH339" i="15"/>
  <c r="AG339" i="15"/>
  <c r="AL338" i="15"/>
  <c r="AK338" i="15"/>
  <c r="AJ338" i="15"/>
  <c r="AI338" i="15"/>
  <c r="AH338" i="15"/>
  <c r="AG338" i="15"/>
  <c r="AL337" i="15"/>
  <c r="AK337" i="15"/>
  <c r="AJ337" i="15"/>
  <c r="AI337" i="15"/>
  <c r="AH337" i="15"/>
  <c r="AG337" i="15"/>
  <c r="AL336" i="15"/>
  <c r="AK336" i="15"/>
  <c r="AJ336" i="15"/>
  <c r="AI336" i="15"/>
  <c r="AH336" i="15"/>
  <c r="AG336" i="15"/>
  <c r="AL335" i="15"/>
  <c r="AK335" i="15"/>
  <c r="AJ335" i="15"/>
  <c r="AI335" i="15"/>
  <c r="AH335" i="15"/>
  <c r="AG335" i="15"/>
  <c r="AL334" i="15"/>
  <c r="AK334" i="15"/>
  <c r="AJ334" i="15"/>
  <c r="AI334" i="15"/>
  <c r="AH334" i="15"/>
  <c r="AG334" i="15"/>
  <c r="AL333" i="15"/>
  <c r="AK333" i="15"/>
  <c r="AJ333" i="15"/>
  <c r="AI333" i="15"/>
  <c r="AH333" i="15"/>
  <c r="AG333" i="15"/>
  <c r="AL332" i="15"/>
  <c r="AK332" i="15"/>
  <c r="AJ332" i="15"/>
  <c r="AI332" i="15"/>
  <c r="AH332" i="15"/>
  <c r="AG332" i="15"/>
  <c r="AL331" i="15"/>
  <c r="AK331" i="15"/>
  <c r="AJ331" i="15"/>
  <c r="AI331" i="15"/>
  <c r="AH331" i="15"/>
  <c r="AG331" i="15"/>
  <c r="AL330" i="15"/>
  <c r="AK330" i="15"/>
  <c r="AJ330" i="15"/>
  <c r="AI330" i="15"/>
  <c r="AH330" i="15"/>
  <c r="AG330" i="15"/>
  <c r="AL329" i="15"/>
  <c r="AK329" i="15"/>
  <c r="AJ329" i="15"/>
  <c r="AI329" i="15"/>
  <c r="AH329" i="15"/>
  <c r="AG329" i="15"/>
  <c r="AL328" i="15"/>
  <c r="AK328" i="15"/>
  <c r="AJ328" i="15"/>
  <c r="AI328" i="15"/>
  <c r="AH328" i="15"/>
  <c r="AG328" i="15"/>
  <c r="AL327" i="15"/>
  <c r="AK327" i="15"/>
  <c r="AJ327" i="15"/>
  <c r="AI327" i="15"/>
  <c r="AH327" i="15"/>
  <c r="AG327" i="15"/>
  <c r="AL326" i="15"/>
  <c r="AK326" i="15"/>
  <c r="AJ326" i="15"/>
  <c r="AI326" i="15"/>
  <c r="AH326" i="15"/>
  <c r="AG326" i="15"/>
  <c r="AL325" i="15"/>
  <c r="AK325" i="15"/>
  <c r="AJ325" i="15"/>
  <c r="AI325" i="15"/>
  <c r="AH325" i="15"/>
  <c r="AG325" i="15"/>
  <c r="AL324" i="15"/>
  <c r="AK324" i="15"/>
  <c r="AJ324" i="15"/>
  <c r="AI324" i="15"/>
  <c r="AH324" i="15"/>
  <c r="AG324" i="15"/>
  <c r="AL323" i="15"/>
  <c r="AK323" i="15"/>
  <c r="AJ323" i="15"/>
  <c r="AI323" i="15"/>
  <c r="AH323" i="15"/>
  <c r="AG323" i="15"/>
  <c r="AL321" i="15"/>
  <c r="AK321" i="15"/>
  <c r="AJ321" i="15"/>
  <c r="AI321" i="15"/>
  <c r="AH321" i="15"/>
  <c r="AG321" i="15"/>
  <c r="AL320" i="15"/>
  <c r="AK320" i="15"/>
  <c r="AJ320" i="15"/>
  <c r="AI320" i="15"/>
  <c r="AH320" i="15"/>
  <c r="AG320" i="15"/>
  <c r="AL319" i="15"/>
  <c r="AK319" i="15"/>
  <c r="AJ319" i="15"/>
  <c r="AI319" i="15"/>
  <c r="AH319" i="15"/>
  <c r="AG319" i="15"/>
  <c r="AL318" i="15"/>
  <c r="AK318" i="15"/>
  <c r="AJ318" i="15"/>
  <c r="AI318" i="15"/>
  <c r="AH318" i="15"/>
  <c r="AG318" i="15"/>
  <c r="AL317" i="15"/>
  <c r="AK317" i="15"/>
  <c r="AJ317" i="15"/>
  <c r="AI317" i="15"/>
  <c r="AH317" i="15"/>
  <c r="AG317" i="15"/>
  <c r="AL316" i="15"/>
  <c r="AK316" i="15"/>
  <c r="AJ316" i="15"/>
  <c r="AI316" i="15"/>
  <c r="AH316" i="15"/>
  <c r="AG316" i="15"/>
  <c r="AL315" i="15"/>
  <c r="AK315" i="15"/>
  <c r="AJ315" i="15"/>
  <c r="AI315" i="15"/>
  <c r="AH315" i="15"/>
  <c r="AG315" i="15"/>
  <c r="AL314" i="15"/>
  <c r="AK314" i="15"/>
  <c r="AJ314" i="15"/>
  <c r="AI314" i="15"/>
  <c r="AH314" i="15"/>
  <c r="AG314" i="15"/>
  <c r="AL313" i="15"/>
  <c r="AK313" i="15"/>
  <c r="AJ313" i="15"/>
  <c r="AI313" i="15"/>
  <c r="AH313" i="15"/>
  <c r="AG313" i="15"/>
  <c r="AL312" i="15"/>
  <c r="AK312" i="15"/>
  <c r="AJ312" i="15"/>
  <c r="AI312" i="15"/>
  <c r="AH312" i="15"/>
  <c r="AG312" i="15"/>
  <c r="AL311" i="15"/>
  <c r="AK311" i="15"/>
  <c r="AJ311" i="15"/>
  <c r="AI311" i="15"/>
  <c r="AH311" i="15"/>
  <c r="AG311" i="15"/>
  <c r="AL310" i="15"/>
  <c r="AK310" i="15"/>
  <c r="AJ310" i="15"/>
  <c r="AI310" i="15"/>
  <c r="AH310" i="15"/>
  <c r="AG310" i="15"/>
  <c r="AL309" i="15"/>
  <c r="AK309" i="15"/>
  <c r="AJ309" i="15"/>
  <c r="AI309" i="15"/>
  <c r="AH309" i="15"/>
  <c r="AG309" i="15"/>
  <c r="AL308" i="15"/>
  <c r="AK308" i="15"/>
  <c r="AJ308" i="15"/>
  <c r="AI308" i="15"/>
  <c r="AH308" i="15"/>
  <c r="AG308" i="15"/>
  <c r="AL307" i="15"/>
  <c r="AK307" i="15"/>
  <c r="AJ307" i="15"/>
  <c r="AI307" i="15"/>
  <c r="AH307" i="15"/>
  <c r="AG307" i="15"/>
  <c r="AL306" i="15"/>
  <c r="AK306" i="15"/>
  <c r="AJ306" i="15"/>
  <c r="AI306" i="15"/>
  <c r="AH306" i="15"/>
  <c r="AG306" i="15"/>
  <c r="AL305" i="15"/>
  <c r="AK305" i="15"/>
  <c r="AJ305" i="15"/>
  <c r="AI305" i="15"/>
  <c r="AH305" i="15"/>
  <c r="AG305" i="15"/>
  <c r="AL304" i="15"/>
  <c r="AK304" i="15"/>
  <c r="AJ304" i="15"/>
  <c r="AI304" i="15"/>
  <c r="AH304" i="15"/>
  <c r="AG304" i="15"/>
  <c r="AL303" i="15"/>
  <c r="AK303" i="15"/>
  <c r="AJ303" i="15"/>
  <c r="AI303" i="15"/>
  <c r="AH303" i="15"/>
  <c r="AG303" i="15"/>
  <c r="AL302" i="15"/>
  <c r="AK302" i="15"/>
  <c r="AJ302" i="15"/>
  <c r="AI302" i="15"/>
  <c r="AH302" i="15"/>
  <c r="AG302" i="15"/>
  <c r="AL300" i="15"/>
  <c r="AK300" i="15"/>
  <c r="AJ300" i="15"/>
  <c r="AI300" i="15"/>
  <c r="AH300" i="15"/>
  <c r="AG300" i="15"/>
  <c r="AL299" i="15"/>
  <c r="AK299" i="15"/>
  <c r="AJ299" i="15"/>
  <c r="AI299" i="15"/>
  <c r="AH299" i="15"/>
  <c r="AG299" i="15"/>
  <c r="AL298" i="15"/>
  <c r="AK298" i="15"/>
  <c r="AJ298" i="15"/>
  <c r="AI298" i="15"/>
  <c r="AH298" i="15"/>
  <c r="AG298" i="15"/>
  <c r="AL297" i="15"/>
  <c r="AK297" i="15"/>
  <c r="AJ297" i="15"/>
  <c r="AI297" i="15"/>
  <c r="AH297" i="15"/>
  <c r="AG297" i="15"/>
  <c r="AL296" i="15"/>
  <c r="AK296" i="15"/>
  <c r="AJ296" i="15"/>
  <c r="AI296" i="15"/>
  <c r="AH296" i="15"/>
  <c r="AG296" i="15"/>
  <c r="AL295" i="15"/>
  <c r="AK295" i="15"/>
  <c r="AJ295" i="15"/>
  <c r="AI295" i="15"/>
  <c r="AH295" i="15"/>
  <c r="AG295" i="15"/>
  <c r="AL294" i="15"/>
  <c r="AK294" i="15"/>
  <c r="AJ294" i="15"/>
  <c r="AI294" i="15"/>
  <c r="AH294" i="15"/>
  <c r="AG294" i="15"/>
  <c r="AL293" i="15"/>
  <c r="AK293" i="15"/>
  <c r="AJ293" i="15"/>
  <c r="AI293" i="15"/>
  <c r="AH293" i="15"/>
  <c r="AG293" i="15"/>
  <c r="AL292" i="15"/>
  <c r="AK292" i="15"/>
  <c r="AJ292" i="15"/>
  <c r="AI292" i="15"/>
  <c r="AH292" i="15"/>
  <c r="AG292" i="15"/>
  <c r="AL291" i="15"/>
  <c r="AK291" i="15"/>
  <c r="AJ291" i="15"/>
  <c r="AI291" i="15"/>
  <c r="AH291" i="15"/>
  <c r="AG291" i="15"/>
  <c r="AL290" i="15"/>
  <c r="AK290" i="15"/>
  <c r="AJ290" i="15"/>
  <c r="AI290" i="15"/>
  <c r="AH290" i="15"/>
  <c r="AG290" i="15"/>
  <c r="AL289" i="15"/>
  <c r="AK289" i="15"/>
  <c r="AJ289" i="15"/>
  <c r="AI289" i="15"/>
  <c r="AH289" i="15"/>
  <c r="AG289" i="15"/>
  <c r="AL288" i="15"/>
  <c r="AK288" i="15"/>
  <c r="AJ288" i="15"/>
  <c r="AI288" i="15"/>
  <c r="AH288" i="15"/>
  <c r="AG288" i="15"/>
  <c r="AL287" i="15"/>
  <c r="AK287" i="15"/>
  <c r="AJ287" i="15"/>
  <c r="AI287" i="15"/>
  <c r="AH287" i="15"/>
  <c r="AG287" i="15"/>
  <c r="AL286" i="15"/>
  <c r="AK286" i="15"/>
  <c r="AJ286" i="15"/>
  <c r="AI286" i="15"/>
  <c r="AH286" i="15"/>
  <c r="AG286" i="15"/>
  <c r="AL285" i="15"/>
  <c r="AK285" i="15"/>
  <c r="AJ285" i="15"/>
  <c r="AI285" i="15"/>
  <c r="AH285" i="15"/>
  <c r="AG285" i="15"/>
  <c r="AL284" i="15"/>
  <c r="AK284" i="15"/>
  <c r="AJ284" i="15"/>
  <c r="AI284" i="15"/>
  <c r="AH284" i="15"/>
  <c r="AG284" i="15"/>
  <c r="AL283" i="15"/>
  <c r="AK283" i="15"/>
  <c r="AJ283" i="15"/>
  <c r="AI283" i="15"/>
  <c r="AH283" i="15"/>
  <c r="AG283" i="15"/>
  <c r="AL282" i="15"/>
  <c r="AK282" i="15"/>
  <c r="AJ282" i="15"/>
  <c r="AI282" i="15"/>
  <c r="AH282" i="15"/>
  <c r="AG282" i="15"/>
  <c r="AL281" i="15"/>
  <c r="AK281" i="15"/>
  <c r="AJ281" i="15"/>
  <c r="AI281" i="15"/>
  <c r="AH281" i="15"/>
  <c r="AG281" i="15"/>
  <c r="AL280" i="15"/>
  <c r="AK280" i="15"/>
  <c r="AJ280" i="15"/>
  <c r="AI280" i="15"/>
  <c r="AH280" i="15"/>
  <c r="AG280" i="15"/>
  <c r="AL279" i="15"/>
  <c r="AK279" i="15"/>
  <c r="AJ279" i="15"/>
  <c r="AI279" i="15"/>
  <c r="AH279" i="15"/>
  <c r="AG279" i="15"/>
  <c r="AL278" i="15"/>
  <c r="AK278" i="15"/>
  <c r="AJ278" i="15"/>
  <c r="AI278" i="15"/>
  <c r="AH278" i="15"/>
  <c r="AG278" i="15"/>
  <c r="AL277" i="15"/>
  <c r="AK277" i="15"/>
  <c r="AJ277" i="15"/>
  <c r="AI277" i="15"/>
  <c r="AH277" i="15"/>
  <c r="AG277" i="15"/>
  <c r="AL276" i="15"/>
  <c r="AK276" i="15"/>
  <c r="AJ276" i="15"/>
  <c r="AI276" i="15"/>
  <c r="AH276" i="15"/>
  <c r="AG276" i="15"/>
  <c r="AL275" i="15"/>
  <c r="AK275" i="15"/>
  <c r="AJ275" i="15"/>
  <c r="AI275" i="15"/>
  <c r="AH275" i="15"/>
  <c r="AG275" i="15"/>
  <c r="AL274" i="15"/>
  <c r="AK274" i="15"/>
  <c r="AJ274" i="15"/>
  <c r="AI274" i="15"/>
  <c r="AH274" i="15"/>
  <c r="AG274" i="15"/>
  <c r="AL273" i="15"/>
  <c r="AK273" i="15"/>
  <c r="AJ273" i="15"/>
  <c r="AI273" i="15"/>
  <c r="AH273" i="15"/>
  <c r="AG273" i="15"/>
  <c r="AL272" i="15"/>
  <c r="AK272" i="15"/>
  <c r="AJ272" i="15"/>
  <c r="AI272" i="15"/>
  <c r="AH272" i="15"/>
  <c r="AG272" i="15"/>
  <c r="AL271" i="15"/>
  <c r="AK271" i="15"/>
  <c r="AJ271" i="15"/>
  <c r="AI271" i="15"/>
  <c r="AH271" i="15"/>
  <c r="AG271" i="15"/>
  <c r="AL270" i="15"/>
  <c r="AK270" i="15"/>
  <c r="AJ270" i="15"/>
  <c r="AI270" i="15"/>
  <c r="AH270" i="15"/>
  <c r="AG270" i="15"/>
  <c r="AL269" i="15"/>
  <c r="AK269" i="15"/>
  <c r="AJ269" i="15"/>
  <c r="AI269" i="15"/>
  <c r="AH269" i="15"/>
  <c r="AG269" i="15"/>
  <c r="AL268" i="15"/>
  <c r="AK268" i="15"/>
  <c r="AJ268" i="15"/>
  <c r="AI268" i="15"/>
  <c r="AH268" i="15"/>
  <c r="AG268" i="15"/>
  <c r="AL267" i="15"/>
  <c r="AK267" i="15"/>
  <c r="AJ267" i="15"/>
  <c r="AI267" i="15"/>
  <c r="AH267" i="15"/>
  <c r="AG267" i="15"/>
  <c r="AL266" i="15"/>
  <c r="AK266" i="15"/>
  <c r="AJ266" i="15"/>
  <c r="AI266" i="15"/>
  <c r="AH266" i="15"/>
  <c r="AG266" i="15"/>
  <c r="AL265" i="15"/>
  <c r="AK265" i="15"/>
  <c r="AJ265" i="15"/>
  <c r="AI265" i="15"/>
  <c r="AH265" i="15"/>
  <c r="AG265" i="15"/>
  <c r="AL264" i="15"/>
  <c r="AK264" i="15"/>
  <c r="AJ264" i="15"/>
  <c r="AI264" i="15"/>
  <c r="AH264" i="15"/>
  <c r="AG264" i="15"/>
  <c r="AL263" i="15"/>
  <c r="AK263" i="15"/>
  <c r="AJ263" i="15"/>
  <c r="AI263" i="15"/>
  <c r="AH263" i="15"/>
  <c r="AG263" i="15"/>
  <c r="AL262" i="15"/>
  <c r="AK262" i="15"/>
  <c r="AJ262" i="15"/>
  <c r="AI262" i="15"/>
  <c r="AH262" i="15"/>
  <c r="AG262" i="15"/>
  <c r="AL261" i="15"/>
  <c r="AK261" i="15"/>
  <c r="AJ261" i="15"/>
  <c r="AI261" i="15"/>
  <c r="AH261" i="15"/>
  <c r="AG261" i="15"/>
  <c r="AL260" i="15"/>
  <c r="AK260" i="15"/>
  <c r="AJ260" i="15"/>
  <c r="AI260" i="15"/>
  <c r="AH260" i="15"/>
  <c r="AG260" i="15"/>
  <c r="AL259" i="15"/>
  <c r="AK259" i="15"/>
  <c r="AJ259" i="15"/>
  <c r="AI259" i="15"/>
  <c r="AH259" i="15"/>
  <c r="AG259" i="15"/>
  <c r="AL258" i="15"/>
  <c r="AK258" i="15"/>
  <c r="AJ258" i="15"/>
  <c r="AI258" i="15"/>
  <c r="AH258" i="15"/>
  <c r="AG258" i="15"/>
  <c r="AL257" i="15"/>
  <c r="AK257" i="15"/>
  <c r="AJ257" i="15"/>
  <c r="AI257" i="15"/>
  <c r="AH257" i="15"/>
  <c r="AG257" i="15"/>
  <c r="AL256" i="15"/>
  <c r="AK256" i="15"/>
  <c r="AJ256" i="15"/>
  <c r="AI256" i="15"/>
  <c r="AH256" i="15"/>
  <c r="AG256" i="15"/>
  <c r="AL254" i="15"/>
  <c r="AK254" i="15"/>
  <c r="AJ254" i="15"/>
  <c r="AI254" i="15"/>
  <c r="AH254" i="15"/>
  <c r="AG254" i="15"/>
  <c r="AL253" i="15"/>
  <c r="AK253" i="15"/>
  <c r="AJ253" i="15"/>
  <c r="AI253" i="15"/>
  <c r="AH253" i="15"/>
  <c r="AG253" i="15"/>
  <c r="AL252" i="15"/>
  <c r="AK252" i="15"/>
  <c r="AJ252" i="15"/>
  <c r="AI252" i="15"/>
  <c r="AH252" i="15"/>
  <c r="AG252" i="15"/>
  <c r="AL251" i="15"/>
  <c r="AK251" i="15"/>
  <c r="AJ251" i="15"/>
  <c r="AI251" i="15"/>
  <c r="AH251" i="15"/>
  <c r="AG251" i="15"/>
  <c r="AL250" i="15"/>
  <c r="AK250" i="15"/>
  <c r="AJ250" i="15"/>
  <c r="AI250" i="15"/>
  <c r="AH250" i="15"/>
  <c r="AG250" i="15"/>
  <c r="AL249" i="15"/>
  <c r="AK249" i="15"/>
  <c r="AJ249" i="15"/>
  <c r="AI249" i="15"/>
  <c r="AH249" i="15"/>
  <c r="AG249" i="15"/>
  <c r="AL248" i="15"/>
  <c r="AK248" i="15"/>
  <c r="AJ248" i="15"/>
  <c r="AI248" i="15"/>
  <c r="AH248" i="15"/>
  <c r="AG248" i="15"/>
  <c r="AL247" i="15"/>
  <c r="AK247" i="15"/>
  <c r="AJ247" i="15"/>
  <c r="AI247" i="15"/>
  <c r="AH247" i="15"/>
  <c r="AG247" i="15"/>
  <c r="AL246" i="15"/>
  <c r="AK246" i="15"/>
  <c r="AJ246" i="15"/>
  <c r="AI246" i="15"/>
  <c r="AH246" i="15"/>
  <c r="AG246" i="15"/>
  <c r="AL245" i="15"/>
  <c r="AK245" i="15"/>
  <c r="AJ245" i="15"/>
  <c r="AI245" i="15"/>
  <c r="AH245" i="15"/>
  <c r="AG245" i="15"/>
  <c r="AL244" i="15"/>
  <c r="AK244" i="15"/>
  <c r="AJ244" i="15"/>
  <c r="AI244" i="15"/>
  <c r="AH244" i="15"/>
  <c r="AG244" i="15"/>
  <c r="AL243" i="15"/>
  <c r="AK243" i="15"/>
  <c r="AJ243" i="15"/>
  <c r="AI243" i="15"/>
  <c r="AH243" i="15"/>
  <c r="AG243" i="15"/>
  <c r="AL242" i="15"/>
  <c r="AK242" i="15"/>
  <c r="AJ242" i="15"/>
  <c r="AI242" i="15"/>
  <c r="AH242" i="15"/>
  <c r="AG242" i="15"/>
  <c r="AL241" i="15"/>
  <c r="AK241" i="15"/>
  <c r="AJ241" i="15"/>
  <c r="AI241" i="15"/>
  <c r="AH241" i="15"/>
  <c r="AG241" i="15"/>
  <c r="AL240" i="15"/>
  <c r="AK240" i="15"/>
  <c r="AJ240" i="15"/>
  <c r="AI240" i="15"/>
  <c r="AH240" i="15"/>
  <c r="AG240" i="15"/>
  <c r="AL239" i="15"/>
  <c r="AK239" i="15"/>
  <c r="AJ239" i="15"/>
  <c r="AI239" i="15"/>
  <c r="AH239" i="15"/>
  <c r="AG239" i="15"/>
  <c r="AL238" i="15"/>
  <c r="AK238" i="15"/>
  <c r="AJ238" i="15"/>
  <c r="AI238" i="15"/>
  <c r="AH238" i="15"/>
  <c r="AG238" i="15"/>
  <c r="AL237" i="15"/>
  <c r="AK237" i="15"/>
  <c r="AJ237" i="15"/>
  <c r="AI237" i="15"/>
  <c r="AH237" i="15"/>
  <c r="AG237" i="15"/>
  <c r="AL236" i="15"/>
  <c r="AK236" i="15"/>
  <c r="AJ236" i="15"/>
  <c r="AI236" i="15"/>
  <c r="AH236" i="15"/>
  <c r="AG236" i="15"/>
  <c r="AL235" i="15"/>
  <c r="AK235" i="15"/>
  <c r="AJ235" i="15"/>
  <c r="AI235" i="15"/>
  <c r="AH235" i="15"/>
  <c r="AG235" i="15"/>
  <c r="AL234" i="15"/>
  <c r="AK234" i="15"/>
  <c r="AJ234" i="15"/>
  <c r="AI234" i="15"/>
  <c r="AH234" i="15"/>
  <c r="AG234" i="15"/>
  <c r="AL233" i="15"/>
  <c r="AK233" i="15"/>
  <c r="AJ233" i="15"/>
  <c r="AI233" i="15"/>
  <c r="AH233" i="15"/>
  <c r="AG233" i="15"/>
  <c r="AL232" i="15"/>
  <c r="AK232" i="15"/>
  <c r="AJ232" i="15"/>
  <c r="AI232" i="15"/>
  <c r="AH232" i="15"/>
  <c r="AG232" i="15"/>
  <c r="AL231" i="15"/>
  <c r="AK231" i="15"/>
  <c r="AJ231" i="15"/>
  <c r="AI231" i="15"/>
  <c r="AH231" i="15"/>
  <c r="AG231" i="15"/>
  <c r="AL230" i="15"/>
  <c r="AK230" i="15"/>
  <c r="AJ230" i="15"/>
  <c r="AI230" i="15"/>
  <c r="AH230" i="15"/>
  <c r="AG230" i="15"/>
  <c r="AL229" i="15"/>
  <c r="AK229" i="15"/>
  <c r="AJ229" i="15"/>
  <c r="AI229" i="15"/>
  <c r="AH229" i="15"/>
  <c r="AG229" i="15"/>
  <c r="AL228" i="15"/>
  <c r="AK228" i="15"/>
  <c r="AJ228" i="15"/>
  <c r="AI228" i="15"/>
  <c r="AH228" i="15"/>
  <c r="AG228" i="15"/>
  <c r="AL227" i="15"/>
  <c r="AK227" i="15"/>
  <c r="AJ227" i="15"/>
  <c r="AI227" i="15"/>
  <c r="AH227" i="15"/>
  <c r="AG227" i="15"/>
  <c r="AL226" i="15"/>
  <c r="AK226" i="15"/>
  <c r="AJ226" i="15"/>
  <c r="AI226" i="15"/>
  <c r="AH226" i="15"/>
  <c r="AG226" i="15"/>
  <c r="AL225" i="15"/>
  <c r="AK225" i="15"/>
  <c r="AJ225" i="15"/>
  <c r="AI225" i="15"/>
  <c r="AH225" i="15"/>
  <c r="AG225" i="15"/>
  <c r="AL218" i="15"/>
  <c r="AK218" i="15"/>
  <c r="AJ218" i="15"/>
  <c r="AI218" i="15"/>
  <c r="AH218" i="15"/>
  <c r="AL217" i="15"/>
  <c r="AK217" i="15"/>
  <c r="AJ217" i="15"/>
  <c r="AI217" i="15"/>
  <c r="AH217" i="15"/>
  <c r="AL216" i="15"/>
  <c r="AK216" i="15"/>
  <c r="AJ216" i="15"/>
  <c r="AI216" i="15"/>
  <c r="AH216" i="15"/>
  <c r="AL215" i="15"/>
  <c r="AK215" i="15"/>
  <c r="AJ215" i="15"/>
  <c r="AI215" i="15"/>
  <c r="AH215" i="15"/>
  <c r="AL214" i="15"/>
  <c r="AK214" i="15"/>
  <c r="AJ214" i="15"/>
  <c r="AI214" i="15"/>
  <c r="AH214" i="15"/>
  <c r="AL213" i="15"/>
  <c r="AK213" i="15"/>
  <c r="AJ213" i="15"/>
  <c r="AI213" i="15"/>
  <c r="AH213" i="15"/>
  <c r="AL212" i="15"/>
  <c r="AK212" i="15"/>
  <c r="AJ212" i="15"/>
  <c r="AI212" i="15"/>
  <c r="AH212" i="15"/>
  <c r="AL211" i="15"/>
  <c r="AK211" i="15"/>
  <c r="AJ211" i="15"/>
  <c r="AI211" i="15"/>
  <c r="AH211" i="15"/>
  <c r="AL210" i="15"/>
  <c r="AK210" i="15"/>
  <c r="AJ210" i="15"/>
  <c r="AI210" i="15"/>
  <c r="AH210" i="15"/>
  <c r="AL209" i="15"/>
  <c r="AK209" i="15"/>
  <c r="AJ209" i="15"/>
  <c r="AI209" i="15"/>
  <c r="AH209" i="15"/>
  <c r="AL208" i="15"/>
  <c r="AK208" i="15"/>
  <c r="AJ208" i="15"/>
  <c r="AI208" i="15"/>
  <c r="AH208" i="15"/>
  <c r="AL207" i="15"/>
  <c r="AK207" i="15"/>
  <c r="AJ207" i="15"/>
  <c r="AI207" i="15"/>
  <c r="AH207" i="15"/>
  <c r="AL206" i="15"/>
  <c r="AK206" i="15"/>
  <c r="AJ206" i="15"/>
  <c r="AI206" i="15"/>
  <c r="AH206" i="15"/>
  <c r="AL205" i="15"/>
  <c r="AK205" i="15"/>
  <c r="AJ205" i="15"/>
  <c r="AI205" i="15"/>
  <c r="AH205" i="15"/>
  <c r="AL204" i="15"/>
  <c r="AK204" i="15"/>
  <c r="AJ204" i="15"/>
  <c r="AI204" i="15"/>
  <c r="AH204" i="15"/>
  <c r="AL203" i="15"/>
  <c r="AK203" i="15"/>
  <c r="AJ203" i="15"/>
  <c r="AI203" i="15"/>
  <c r="AH203" i="15"/>
  <c r="AL202" i="15"/>
  <c r="AK202" i="15"/>
  <c r="AJ202" i="15"/>
  <c r="AI202" i="15"/>
  <c r="AH202" i="15"/>
  <c r="AL201" i="15"/>
  <c r="AK201" i="15"/>
  <c r="AJ201" i="15"/>
  <c r="AI201" i="15"/>
  <c r="AH201" i="15"/>
  <c r="AL200" i="15"/>
  <c r="AK200" i="15"/>
  <c r="AJ200" i="15"/>
  <c r="AI200" i="15"/>
  <c r="AH200" i="15"/>
  <c r="AL199" i="15"/>
  <c r="AK199" i="15"/>
  <c r="AJ199" i="15"/>
  <c r="AI199" i="15"/>
  <c r="AH199" i="15"/>
  <c r="AL197" i="15"/>
  <c r="AK197" i="15"/>
  <c r="AJ197" i="15"/>
  <c r="AI197" i="15"/>
  <c r="AH197" i="15"/>
  <c r="AL196" i="15"/>
  <c r="AK196" i="15"/>
  <c r="AJ196" i="15"/>
  <c r="AI196" i="15"/>
  <c r="AH196" i="15"/>
  <c r="AL195" i="15"/>
  <c r="AK195" i="15"/>
  <c r="AJ195" i="15"/>
  <c r="AI195" i="15"/>
  <c r="AH195" i="15"/>
  <c r="AL194" i="15"/>
  <c r="AK194" i="15"/>
  <c r="AJ194" i="15"/>
  <c r="AI194" i="15"/>
  <c r="AH194" i="15"/>
  <c r="AL193" i="15"/>
  <c r="AK193" i="15"/>
  <c r="AJ193" i="15"/>
  <c r="AI193" i="15"/>
  <c r="AH193" i="15"/>
  <c r="AL192" i="15"/>
  <c r="AK192" i="15"/>
  <c r="AJ192" i="15"/>
  <c r="AI192" i="15"/>
  <c r="AH192" i="15"/>
  <c r="AL191" i="15"/>
  <c r="AK191" i="15"/>
  <c r="AJ191" i="15"/>
  <c r="AI191" i="15"/>
  <c r="AH191" i="15"/>
  <c r="AL190" i="15"/>
  <c r="AK190" i="15"/>
  <c r="AJ190" i="15"/>
  <c r="AI190" i="15"/>
  <c r="AH190" i="15"/>
  <c r="AL189" i="15"/>
  <c r="AK189" i="15"/>
  <c r="AJ189" i="15"/>
  <c r="AI189" i="15"/>
  <c r="AH189" i="15"/>
  <c r="AL188" i="15"/>
  <c r="AK188" i="15"/>
  <c r="AJ188" i="15"/>
  <c r="AI188" i="15"/>
  <c r="AH188" i="15"/>
  <c r="AL187" i="15"/>
  <c r="AK187" i="15"/>
  <c r="AJ187" i="15"/>
  <c r="AI187" i="15"/>
  <c r="AH187" i="15"/>
  <c r="AL186" i="15"/>
  <c r="AK186" i="15"/>
  <c r="AJ186" i="15"/>
  <c r="AI186" i="15"/>
  <c r="AH186" i="15"/>
  <c r="AL185" i="15"/>
  <c r="AK185" i="15"/>
  <c r="AJ185" i="15"/>
  <c r="AI185" i="15"/>
  <c r="AH185" i="15"/>
  <c r="AL184" i="15"/>
  <c r="AK184" i="15"/>
  <c r="AJ184" i="15"/>
  <c r="AI184" i="15"/>
  <c r="AH184" i="15"/>
  <c r="AL183" i="15"/>
  <c r="AK183" i="15"/>
  <c r="AJ183" i="15"/>
  <c r="AI183" i="15"/>
  <c r="AH183" i="15"/>
  <c r="AL182" i="15"/>
  <c r="AK182" i="15"/>
  <c r="AJ182" i="15"/>
  <c r="AI182" i="15"/>
  <c r="AH182" i="15"/>
  <c r="AL181" i="15"/>
  <c r="AK181" i="15"/>
  <c r="AJ181" i="15"/>
  <c r="AI181" i="15"/>
  <c r="AH181" i="15"/>
  <c r="AL180" i="15"/>
  <c r="AK180" i="15"/>
  <c r="AJ180" i="15"/>
  <c r="AI180" i="15"/>
  <c r="AH180" i="15"/>
  <c r="AL179" i="15"/>
  <c r="AK179" i="15"/>
  <c r="AJ179" i="15"/>
  <c r="AI179" i="15"/>
  <c r="AH179" i="15"/>
  <c r="AL178" i="15"/>
  <c r="AK178" i="15"/>
  <c r="AJ178" i="15"/>
  <c r="AI178" i="15"/>
  <c r="AH178" i="15"/>
  <c r="AL176" i="15"/>
  <c r="AK176" i="15"/>
  <c r="AJ176" i="15"/>
  <c r="AI176" i="15"/>
  <c r="AH176" i="15"/>
  <c r="AL175" i="15"/>
  <c r="AK175" i="15"/>
  <c r="AJ175" i="15"/>
  <c r="AI175" i="15"/>
  <c r="AH175" i="15"/>
  <c r="AL174" i="15"/>
  <c r="AK174" i="15"/>
  <c r="AJ174" i="15"/>
  <c r="AI174" i="15"/>
  <c r="AH174" i="15"/>
  <c r="AL173" i="15"/>
  <c r="AK173" i="15"/>
  <c r="AJ173" i="15"/>
  <c r="AI173" i="15"/>
  <c r="AH173" i="15"/>
  <c r="AL172" i="15"/>
  <c r="AK172" i="15"/>
  <c r="AJ172" i="15"/>
  <c r="AI172" i="15"/>
  <c r="AH172" i="15"/>
  <c r="AL171" i="15"/>
  <c r="AK171" i="15"/>
  <c r="AJ171" i="15"/>
  <c r="AI171" i="15"/>
  <c r="AH171" i="15"/>
  <c r="AL170" i="15"/>
  <c r="AK170" i="15"/>
  <c r="AJ170" i="15"/>
  <c r="AI170" i="15"/>
  <c r="AH170" i="15"/>
  <c r="AL169" i="15"/>
  <c r="AK169" i="15"/>
  <c r="AJ169" i="15"/>
  <c r="AI169" i="15"/>
  <c r="AH169" i="15"/>
  <c r="AL168" i="15"/>
  <c r="AK168" i="15"/>
  <c r="AJ168" i="15"/>
  <c r="AI168" i="15"/>
  <c r="AH168" i="15"/>
  <c r="AL167" i="15"/>
  <c r="AK167" i="15"/>
  <c r="AJ167" i="15"/>
  <c r="AI167" i="15"/>
  <c r="AH167" i="15"/>
  <c r="AL166" i="15"/>
  <c r="AK166" i="15"/>
  <c r="AJ166" i="15"/>
  <c r="AI166" i="15"/>
  <c r="AH166" i="15"/>
  <c r="AL165" i="15"/>
  <c r="AK165" i="15"/>
  <c r="AJ165" i="15"/>
  <c r="AI165" i="15"/>
  <c r="AH165" i="15"/>
  <c r="AL164" i="15"/>
  <c r="AK164" i="15"/>
  <c r="AJ164" i="15"/>
  <c r="AI164" i="15"/>
  <c r="AH164" i="15"/>
  <c r="AL163" i="15"/>
  <c r="AK163" i="15"/>
  <c r="AJ163" i="15"/>
  <c r="AI163" i="15"/>
  <c r="AH163" i="15"/>
  <c r="AL162" i="15"/>
  <c r="AK162" i="15"/>
  <c r="AJ162" i="15"/>
  <c r="AI162" i="15"/>
  <c r="AH162" i="15"/>
  <c r="AL161" i="15"/>
  <c r="AK161" i="15"/>
  <c r="AJ161" i="15"/>
  <c r="AI161" i="15"/>
  <c r="AH161" i="15"/>
  <c r="AL160" i="15"/>
  <c r="AK160" i="15"/>
  <c r="AJ160" i="15"/>
  <c r="AI160" i="15"/>
  <c r="AH160" i="15"/>
  <c r="AL159" i="15"/>
  <c r="AK159" i="15"/>
  <c r="AJ159" i="15"/>
  <c r="AI159" i="15"/>
  <c r="AH159" i="15"/>
  <c r="AL158" i="15"/>
  <c r="AK158" i="15"/>
  <c r="AJ158" i="15"/>
  <c r="AI158" i="15"/>
  <c r="AH158" i="15"/>
  <c r="AL157" i="15"/>
  <c r="AK157" i="15"/>
  <c r="AJ157" i="15"/>
  <c r="AI157" i="15"/>
  <c r="AH157" i="15"/>
  <c r="AL156" i="15"/>
  <c r="AK156" i="15"/>
  <c r="AJ156" i="15"/>
  <c r="AI156" i="15"/>
  <c r="AH156" i="15"/>
  <c r="AL155" i="15"/>
  <c r="AK155" i="15"/>
  <c r="AJ155" i="15"/>
  <c r="AI155" i="15"/>
  <c r="AH155" i="15"/>
  <c r="AL154" i="15"/>
  <c r="AK154" i="15"/>
  <c r="AJ154" i="15"/>
  <c r="AI154" i="15"/>
  <c r="AH154" i="15"/>
  <c r="AL153" i="15"/>
  <c r="AK153" i="15"/>
  <c r="AJ153" i="15"/>
  <c r="AI153" i="15"/>
  <c r="AH153" i="15"/>
  <c r="AL152" i="15"/>
  <c r="AK152" i="15"/>
  <c r="AJ152" i="15"/>
  <c r="AI152" i="15"/>
  <c r="AH152" i="15"/>
  <c r="AL151" i="15"/>
  <c r="AK151" i="15"/>
  <c r="AJ151" i="15"/>
  <c r="AI151" i="15"/>
  <c r="AH151" i="15"/>
  <c r="AL150" i="15"/>
  <c r="AK150" i="15"/>
  <c r="AJ150" i="15"/>
  <c r="AI150" i="15"/>
  <c r="AH150" i="15"/>
  <c r="AL149" i="15"/>
  <c r="AK149" i="15"/>
  <c r="AJ149" i="15"/>
  <c r="AI149" i="15"/>
  <c r="AH149" i="15"/>
  <c r="AL148" i="15"/>
  <c r="AK148" i="15"/>
  <c r="AJ148" i="15"/>
  <c r="AI148" i="15"/>
  <c r="AH148" i="15"/>
  <c r="AL147" i="15"/>
  <c r="AK147" i="15"/>
  <c r="AJ147" i="15"/>
  <c r="AI147" i="15"/>
  <c r="AH147" i="15"/>
  <c r="AL146" i="15"/>
  <c r="AK146" i="15"/>
  <c r="AJ146" i="15"/>
  <c r="AI146" i="15"/>
  <c r="AH146" i="15"/>
  <c r="AL145" i="15"/>
  <c r="AK145" i="15"/>
  <c r="AJ145" i="15"/>
  <c r="AI145" i="15"/>
  <c r="AH145" i="15"/>
  <c r="AL144" i="15"/>
  <c r="AK144" i="15"/>
  <c r="AJ144" i="15"/>
  <c r="AI144" i="15"/>
  <c r="AH144" i="15"/>
  <c r="AL143" i="15"/>
  <c r="AK143" i="15"/>
  <c r="AJ143" i="15"/>
  <c r="AI143" i="15"/>
  <c r="AH143" i="15"/>
  <c r="AL142" i="15"/>
  <c r="AK142" i="15"/>
  <c r="AJ142" i="15"/>
  <c r="AI142" i="15"/>
  <c r="AH142" i="15"/>
  <c r="AL141" i="15"/>
  <c r="AK141" i="15"/>
  <c r="AJ141" i="15"/>
  <c r="AI141" i="15"/>
  <c r="AH141" i="15"/>
  <c r="AL140" i="15"/>
  <c r="AK140" i="15"/>
  <c r="AJ140" i="15"/>
  <c r="AI140" i="15"/>
  <c r="AH140" i="15"/>
  <c r="AL139" i="15"/>
  <c r="AK139" i="15"/>
  <c r="AJ139" i="15"/>
  <c r="AI139" i="15"/>
  <c r="AH139" i="15"/>
  <c r="AL138" i="15"/>
  <c r="AK138" i="15"/>
  <c r="AJ138" i="15"/>
  <c r="AI138" i="15"/>
  <c r="AH138" i="15"/>
  <c r="AL137" i="15"/>
  <c r="AK137" i="15"/>
  <c r="AJ137" i="15"/>
  <c r="AI137" i="15"/>
  <c r="AH137" i="15"/>
  <c r="AL136" i="15"/>
  <c r="AK136" i="15"/>
  <c r="AJ136" i="15"/>
  <c r="AI136" i="15"/>
  <c r="AH136" i="15"/>
  <c r="AL135" i="15"/>
  <c r="AK135" i="15"/>
  <c r="AJ135" i="15"/>
  <c r="AI135" i="15"/>
  <c r="AH135" i="15"/>
  <c r="AL134" i="15"/>
  <c r="AK134" i="15"/>
  <c r="AJ134" i="15"/>
  <c r="AI134" i="15"/>
  <c r="AH134" i="15"/>
  <c r="AL133" i="15"/>
  <c r="AK133" i="15"/>
  <c r="AJ133" i="15"/>
  <c r="AI133" i="15"/>
  <c r="AH133" i="15"/>
  <c r="AL132" i="15"/>
  <c r="AK132" i="15"/>
  <c r="AJ132" i="15"/>
  <c r="AI132" i="15"/>
  <c r="AH132" i="15"/>
  <c r="AL130" i="15"/>
  <c r="AK130" i="15"/>
  <c r="AJ130" i="15"/>
  <c r="AI130" i="15"/>
  <c r="AH130" i="15"/>
  <c r="AL129" i="15"/>
  <c r="AK129" i="15"/>
  <c r="AJ129" i="15"/>
  <c r="AI129" i="15"/>
  <c r="AH129" i="15"/>
  <c r="AL128" i="15"/>
  <c r="AK128" i="15"/>
  <c r="AJ128" i="15"/>
  <c r="AI128" i="15"/>
  <c r="AH128" i="15"/>
  <c r="AL127" i="15"/>
  <c r="AK127" i="15"/>
  <c r="AJ127" i="15"/>
  <c r="AI127" i="15"/>
  <c r="AH127" i="15"/>
  <c r="AL126" i="15"/>
  <c r="AK126" i="15"/>
  <c r="AJ126" i="15"/>
  <c r="AI126" i="15"/>
  <c r="AH126" i="15"/>
  <c r="AL125" i="15"/>
  <c r="AK125" i="15"/>
  <c r="AJ125" i="15"/>
  <c r="AI125" i="15"/>
  <c r="AH125" i="15"/>
  <c r="AL124" i="15"/>
  <c r="AK124" i="15"/>
  <c r="AJ124" i="15"/>
  <c r="AI124" i="15"/>
  <c r="AH124" i="15"/>
  <c r="AL123" i="15"/>
  <c r="AK123" i="15"/>
  <c r="AJ123" i="15"/>
  <c r="AI123" i="15"/>
  <c r="AH123" i="15"/>
  <c r="AL122" i="15"/>
  <c r="AK122" i="15"/>
  <c r="AJ122" i="15"/>
  <c r="AI122" i="15"/>
  <c r="AH122" i="15"/>
  <c r="AL121" i="15"/>
  <c r="AK121" i="15"/>
  <c r="AJ121" i="15"/>
  <c r="AI121" i="15"/>
  <c r="AH121" i="15"/>
  <c r="AL120" i="15"/>
  <c r="AK120" i="15"/>
  <c r="AJ120" i="15"/>
  <c r="AI120" i="15"/>
  <c r="AH120" i="15"/>
  <c r="AL119" i="15"/>
  <c r="AK119" i="15"/>
  <c r="AJ119" i="15"/>
  <c r="AI119" i="15"/>
  <c r="AH119" i="15"/>
  <c r="AL118" i="15"/>
  <c r="AK118" i="15"/>
  <c r="AJ118" i="15"/>
  <c r="AI118" i="15"/>
  <c r="AH118" i="15"/>
  <c r="AL117" i="15"/>
  <c r="AK117" i="15"/>
  <c r="AJ117" i="15"/>
  <c r="AI117" i="15"/>
  <c r="AH117" i="15"/>
  <c r="AL116" i="15"/>
  <c r="AK116" i="15"/>
  <c r="AJ116" i="15"/>
  <c r="AI116" i="15"/>
  <c r="AH116" i="15"/>
  <c r="AL115" i="15"/>
  <c r="AK115" i="15"/>
  <c r="AJ115" i="15"/>
  <c r="AI115" i="15"/>
  <c r="AH115" i="15"/>
  <c r="AL114" i="15"/>
  <c r="AK114" i="15"/>
  <c r="AJ114" i="15"/>
  <c r="AI114" i="15"/>
  <c r="AH114" i="15"/>
  <c r="AL113" i="15"/>
  <c r="AK113" i="15"/>
  <c r="AJ113" i="15"/>
  <c r="AI113" i="15"/>
  <c r="AH113" i="15"/>
  <c r="AL112" i="15"/>
  <c r="AK112" i="15"/>
  <c r="AJ112" i="15"/>
  <c r="AI112" i="15"/>
  <c r="AH112" i="15"/>
  <c r="AL111" i="15"/>
  <c r="AK111" i="15"/>
  <c r="AJ111" i="15"/>
  <c r="AI111" i="15"/>
  <c r="AH111" i="15"/>
  <c r="AL110" i="15"/>
  <c r="AK110" i="15"/>
  <c r="AJ110" i="15"/>
  <c r="AI110" i="15"/>
  <c r="AH110" i="15"/>
  <c r="AL109" i="15"/>
  <c r="AK109" i="15"/>
  <c r="AJ109" i="15"/>
  <c r="AI109" i="15"/>
  <c r="AH109" i="15"/>
  <c r="AL108" i="15"/>
  <c r="AK108" i="15"/>
  <c r="AJ108" i="15"/>
  <c r="AI108" i="15"/>
  <c r="AH108" i="15"/>
  <c r="AL107" i="15"/>
  <c r="AK107" i="15"/>
  <c r="AJ107" i="15"/>
  <c r="AI107" i="15"/>
  <c r="AH107" i="15"/>
  <c r="AL106" i="15"/>
  <c r="AK106" i="15"/>
  <c r="AJ106" i="15"/>
  <c r="AI106" i="15"/>
  <c r="AH106" i="15"/>
  <c r="AL105" i="15"/>
  <c r="AK105" i="15"/>
  <c r="AJ105" i="15"/>
  <c r="AI105" i="15"/>
  <c r="AH105" i="15"/>
  <c r="AL104" i="15"/>
  <c r="AK104" i="15"/>
  <c r="AJ104" i="15"/>
  <c r="AI104" i="15"/>
  <c r="AH104" i="15"/>
  <c r="AL103" i="15"/>
  <c r="AK103" i="15"/>
  <c r="AJ103" i="15"/>
  <c r="AI103" i="15"/>
  <c r="AH103" i="15"/>
  <c r="AL102" i="15"/>
  <c r="AK102" i="15"/>
  <c r="AJ102" i="15"/>
  <c r="AI102" i="15"/>
  <c r="AH102" i="15"/>
  <c r="AL101" i="15"/>
  <c r="AK101" i="15"/>
  <c r="AJ101" i="15"/>
  <c r="AI101" i="15"/>
  <c r="AH101" i="15"/>
  <c r="B737" i="33" l="1"/>
  <c r="K737" i="33"/>
  <c r="L737" i="33"/>
  <c r="M737" i="33"/>
  <c r="N737" i="33"/>
  <c r="O737" i="33"/>
  <c r="P737" i="33"/>
  <c r="Q737" i="33"/>
  <c r="R737" i="33"/>
  <c r="S737" i="33"/>
  <c r="T737" i="33"/>
  <c r="B738" i="33"/>
  <c r="K738" i="33"/>
  <c r="L738" i="33"/>
  <c r="M738" i="33"/>
  <c r="N738" i="33"/>
  <c r="O738" i="33"/>
  <c r="P738" i="33"/>
  <c r="Q738" i="33"/>
  <c r="R738" i="33"/>
  <c r="S738" i="33"/>
  <c r="T738" i="33"/>
  <c r="B739" i="33"/>
  <c r="K739" i="33"/>
  <c r="L739" i="33"/>
  <c r="M739" i="33"/>
  <c r="N739" i="33"/>
  <c r="O739" i="33"/>
  <c r="P739" i="33"/>
  <c r="Q739" i="33"/>
  <c r="R739" i="33"/>
  <c r="S739" i="33"/>
  <c r="T739" i="33"/>
  <c r="B740" i="33"/>
  <c r="K740" i="33"/>
  <c r="L740" i="33"/>
  <c r="M740" i="33"/>
  <c r="N740" i="33"/>
  <c r="O740" i="33"/>
  <c r="P740" i="33"/>
  <c r="Q740" i="33"/>
  <c r="R740" i="33"/>
  <c r="S740" i="33"/>
  <c r="T740" i="33"/>
  <c r="B741" i="33"/>
  <c r="K741" i="33"/>
  <c r="L741" i="33"/>
  <c r="M741" i="33"/>
  <c r="N741" i="33"/>
  <c r="O741" i="33"/>
  <c r="P741" i="33"/>
  <c r="Q741" i="33"/>
  <c r="R741" i="33"/>
  <c r="S741" i="33"/>
  <c r="T741" i="33"/>
  <c r="B732" i="33"/>
  <c r="K732" i="33"/>
  <c r="L732" i="33"/>
  <c r="M732" i="33"/>
  <c r="N732" i="33"/>
  <c r="O732" i="33"/>
  <c r="P732" i="33"/>
  <c r="Q732" i="33"/>
  <c r="R732" i="33"/>
  <c r="S732" i="33"/>
  <c r="T732" i="33"/>
  <c r="B733" i="33"/>
  <c r="K733" i="33"/>
  <c r="L733" i="33"/>
  <c r="M733" i="33"/>
  <c r="N733" i="33"/>
  <c r="O733" i="33"/>
  <c r="P733" i="33"/>
  <c r="Q733" i="33"/>
  <c r="R733" i="33"/>
  <c r="S733" i="33"/>
  <c r="T733" i="33"/>
  <c r="B734" i="33"/>
  <c r="K734" i="33"/>
  <c r="L734" i="33"/>
  <c r="M734" i="33"/>
  <c r="N734" i="33"/>
  <c r="O734" i="33"/>
  <c r="P734" i="33"/>
  <c r="Q734" i="33"/>
  <c r="R734" i="33"/>
  <c r="S734" i="33"/>
  <c r="T734" i="33"/>
  <c r="B735" i="33"/>
  <c r="K735" i="33"/>
  <c r="L735" i="33"/>
  <c r="M735" i="33"/>
  <c r="N735" i="33"/>
  <c r="O735" i="33"/>
  <c r="P735" i="33"/>
  <c r="Q735" i="33"/>
  <c r="R735" i="33"/>
  <c r="S735" i="33"/>
  <c r="T735" i="33"/>
  <c r="B736" i="33"/>
  <c r="K736" i="33"/>
  <c r="L736" i="33"/>
  <c r="M736" i="33"/>
  <c r="N736" i="33"/>
  <c r="O736" i="33"/>
  <c r="P736" i="33"/>
  <c r="Q736" i="33"/>
  <c r="R736" i="33"/>
  <c r="S736" i="33"/>
  <c r="T736" i="33"/>
  <c r="B720" i="33"/>
  <c r="B719" i="33"/>
  <c r="K719" i="33"/>
  <c r="L719" i="33"/>
  <c r="M719" i="33"/>
  <c r="N719" i="33"/>
  <c r="O719" i="33"/>
  <c r="P719" i="33"/>
  <c r="Q719" i="33"/>
  <c r="R719" i="33"/>
  <c r="S719" i="33"/>
  <c r="T719" i="33"/>
  <c r="B716" i="33"/>
  <c r="K716" i="33"/>
  <c r="L716" i="33"/>
  <c r="M716" i="33"/>
  <c r="N716" i="33"/>
  <c r="O716" i="33"/>
  <c r="P716" i="33"/>
  <c r="Q716" i="33"/>
  <c r="R716" i="33"/>
  <c r="S716" i="33"/>
  <c r="T716" i="33"/>
  <c r="B717" i="33"/>
  <c r="K717" i="33"/>
  <c r="L717" i="33"/>
  <c r="M717" i="33"/>
  <c r="N717" i="33"/>
  <c r="O717" i="33"/>
  <c r="P717" i="33"/>
  <c r="Q717" i="33"/>
  <c r="R717" i="33"/>
  <c r="S717" i="33"/>
  <c r="T717" i="33"/>
  <c r="B718" i="33"/>
  <c r="K718" i="33"/>
  <c r="L718" i="33"/>
  <c r="M718" i="33"/>
  <c r="N718" i="33"/>
  <c r="O718" i="33"/>
  <c r="P718" i="33"/>
  <c r="Q718" i="33"/>
  <c r="R718" i="33"/>
  <c r="S718" i="33"/>
  <c r="T718" i="33"/>
  <c r="B702" i="33"/>
  <c r="K702" i="33"/>
  <c r="L702" i="33"/>
  <c r="M702" i="33"/>
  <c r="N702" i="33"/>
  <c r="O702" i="33"/>
  <c r="P702" i="33"/>
  <c r="Q702" i="33"/>
  <c r="R702" i="33"/>
  <c r="S702" i="33"/>
  <c r="T702" i="33"/>
  <c r="B703" i="33"/>
  <c r="K703" i="33"/>
  <c r="L703" i="33"/>
  <c r="M703" i="33"/>
  <c r="N703" i="33"/>
  <c r="O703" i="33"/>
  <c r="P703" i="33"/>
  <c r="Q703" i="33"/>
  <c r="R703" i="33"/>
  <c r="S703" i="33"/>
  <c r="T703" i="33"/>
  <c r="B704" i="33"/>
  <c r="K704" i="33"/>
  <c r="L704" i="33"/>
  <c r="M704" i="33"/>
  <c r="N704" i="33"/>
  <c r="O704" i="33"/>
  <c r="P704" i="33"/>
  <c r="Q704" i="33"/>
  <c r="R704" i="33"/>
  <c r="S704" i="33"/>
  <c r="T704" i="33"/>
  <c r="B705" i="33"/>
  <c r="K705" i="33"/>
  <c r="L705" i="33"/>
  <c r="M705" i="33"/>
  <c r="N705" i="33"/>
  <c r="O705" i="33"/>
  <c r="P705" i="33"/>
  <c r="Q705" i="33"/>
  <c r="R705" i="33"/>
  <c r="S705" i="33"/>
  <c r="T705" i="33"/>
  <c r="B706" i="33"/>
  <c r="K706" i="33"/>
  <c r="L706" i="33"/>
  <c r="M706" i="33"/>
  <c r="N706" i="33"/>
  <c r="O706" i="33"/>
  <c r="P706" i="33"/>
  <c r="Q706" i="33"/>
  <c r="R706" i="33"/>
  <c r="S706" i="33"/>
  <c r="T706" i="33"/>
  <c r="B707" i="33"/>
  <c r="K707" i="33"/>
  <c r="L707" i="33"/>
  <c r="M707" i="33"/>
  <c r="N707" i="33"/>
  <c r="O707" i="33"/>
  <c r="P707" i="33"/>
  <c r="Q707" i="33"/>
  <c r="R707" i="33"/>
  <c r="S707" i="33"/>
  <c r="T707" i="33"/>
  <c r="B708" i="33"/>
  <c r="K708" i="33"/>
  <c r="L708" i="33"/>
  <c r="M708" i="33"/>
  <c r="N708" i="33"/>
  <c r="O708" i="33"/>
  <c r="P708" i="33"/>
  <c r="Q708" i="33"/>
  <c r="R708" i="33"/>
  <c r="S708" i="33"/>
  <c r="T708" i="33"/>
  <c r="B709" i="33"/>
  <c r="K709" i="33"/>
  <c r="L709" i="33"/>
  <c r="M709" i="33"/>
  <c r="N709" i="33"/>
  <c r="O709" i="33"/>
  <c r="P709" i="33"/>
  <c r="Q709" i="33"/>
  <c r="R709" i="33"/>
  <c r="S709" i="33"/>
  <c r="T709" i="33"/>
  <c r="B710" i="33"/>
  <c r="K710" i="33"/>
  <c r="L710" i="33"/>
  <c r="M710" i="33"/>
  <c r="N710" i="33"/>
  <c r="O710" i="33"/>
  <c r="P710" i="33"/>
  <c r="Q710" i="33"/>
  <c r="R710" i="33"/>
  <c r="S710" i="33"/>
  <c r="T710" i="33"/>
  <c r="B711" i="33"/>
  <c r="K711" i="33"/>
  <c r="L711" i="33"/>
  <c r="M711" i="33"/>
  <c r="N711" i="33"/>
  <c r="O711" i="33"/>
  <c r="P711" i="33"/>
  <c r="Q711" i="33"/>
  <c r="R711" i="33"/>
  <c r="S711" i="33"/>
  <c r="T711" i="33"/>
  <c r="B712" i="33"/>
  <c r="K712" i="33"/>
  <c r="L712" i="33"/>
  <c r="M712" i="33"/>
  <c r="N712" i="33"/>
  <c r="O712" i="33"/>
  <c r="P712" i="33"/>
  <c r="Q712" i="33"/>
  <c r="R712" i="33"/>
  <c r="S712" i="33"/>
  <c r="T712" i="33"/>
  <c r="B713" i="33"/>
  <c r="K713" i="33"/>
  <c r="L713" i="33"/>
  <c r="M713" i="33"/>
  <c r="N713" i="33"/>
  <c r="O713" i="33"/>
  <c r="P713" i="33"/>
  <c r="Q713" i="33"/>
  <c r="R713" i="33"/>
  <c r="S713" i="33"/>
  <c r="T713" i="33"/>
  <c r="B714" i="33"/>
  <c r="K714" i="33"/>
  <c r="L714" i="33"/>
  <c r="M714" i="33"/>
  <c r="N714" i="33"/>
  <c r="O714" i="33"/>
  <c r="P714" i="33"/>
  <c r="Q714" i="33"/>
  <c r="R714" i="33"/>
  <c r="S714" i="33"/>
  <c r="T714" i="33"/>
  <c r="B715" i="33"/>
  <c r="K715" i="33"/>
  <c r="L715" i="33"/>
  <c r="M715" i="33"/>
  <c r="N715" i="33"/>
  <c r="O715" i="33"/>
  <c r="P715" i="33"/>
  <c r="Q715" i="33"/>
  <c r="R715" i="33"/>
  <c r="S715" i="33"/>
  <c r="T715" i="33"/>
  <c r="B690" i="33"/>
  <c r="K690" i="33"/>
  <c r="L690" i="33"/>
  <c r="M690" i="33"/>
  <c r="N690" i="33"/>
  <c r="O690" i="33"/>
  <c r="P690" i="33"/>
  <c r="Q690" i="33"/>
  <c r="R690" i="33"/>
  <c r="S690" i="33"/>
  <c r="T690" i="33"/>
  <c r="B691" i="33"/>
  <c r="K691" i="33"/>
  <c r="L691" i="33"/>
  <c r="M691" i="33"/>
  <c r="N691" i="33"/>
  <c r="O691" i="33"/>
  <c r="P691" i="33"/>
  <c r="Q691" i="33"/>
  <c r="R691" i="33"/>
  <c r="S691" i="33"/>
  <c r="T691" i="33"/>
  <c r="B692" i="33"/>
  <c r="K692" i="33"/>
  <c r="L692" i="33"/>
  <c r="M692" i="33"/>
  <c r="N692" i="33"/>
  <c r="O692" i="33"/>
  <c r="P692" i="33"/>
  <c r="Q692" i="33"/>
  <c r="R692" i="33"/>
  <c r="S692" i="33"/>
  <c r="T692" i="33"/>
  <c r="B693" i="33"/>
  <c r="K693" i="33"/>
  <c r="L693" i="33"/>
  <c r="M693" i="33"/>
  <c r="N693" i="33"/>
  <c r="O693" i="33"/>
  <c r="P693" i="33"/>
  <c r="Q693" i="33"/>
  <c r="R693" i="33"/>
  <c r="S693" i="33"/>
  <c r="T693" i="33"/>
  <c r="B694" i="33"/>
  <c r="K694" i="33"/>
  <c r="L694" i="33"/>
  <c r="M694" i="33"/>
  <c r="N694" i="33"/>
  <c r="O694" i="33"/>
  <c r="P694" i="33"/>
  <c r="Q694" i="33"/>
  <c r="R694" i="33"/>
  <c r="S694" i="33"/>
  <c r="T694" i="33"/>
  <c r="B695" i="33"/>
  <c r="K695" i="33"/>
  <c r="L695" i="33"/>
  <c r="M695" i="33"/>
  <c r="N695" i="33"/>
  <c r="O695" i="33"/>
  <c r="P695" i="33"/>
  <c r="Q695" i="33"/>
  <c r="R695" i="33"/>
  <c r="S695" i="33"/>
  <c r="T695" i="33"/>
  <c r="B696" i="33"/>
  <c r="K696" i="33"/>
  <c r="L696" i="33"/>
  <c r="M696" i="33"/>
  <c r="N696" i="33"/>
  <c r="O696" i="33"/>
  <c r="P696" i="33"/>
  <c r="Q696" i="33"/>
  <c r="R696" i="33"/>
  <c r="S696" i="33"/>
  <c r="T696" i="33"/>
  <c r="B697" i="33"/>
  <c r="K697" i="33"/>
  <c r="L697" i="33"/>
  <c r="M697" i="33"/>
  <c r="N697" i="33"/>
  <c r="O697" i="33"/>
  <c r="P697" i="33"/>
  <c r="Q697" i="33"/>
  <c r="R697" i="33"/>
  <c r="S697" i="33"/>
  <c r="T697" i="33"/>
  <c r="B698" i="33"/>
  <c r="K698" i="33"/>
  <c r="L698" i="33"/>
  <c r="M698" i="33"/>
  <c r="N698" i="33"/>
  <c r="O698" i="33"/>
  <c r="P698" i="33"/>
  <c r="Q698" i="33"/>
  <c r="R698" i="33"/>
  <c r="S698" i="33"/>
  <c r="T698" i="33"/>
  <c r="B699" i="33"/>
  <c r="K699" i="33"/>
  <c r="L699" i="33"/>
  <c r="M699" i="33"/>
  <c r="N699" i="33"/>
  <c r="O699" i="33"/>
  <c r="P699" i="33"/>
  <c r="Q699" i="33"/>
  <c r="R699" i="33"/>
  <c r="S699" i="33"/>
  <c r="T699" i="33"/>
  <c r="B700" i="33"/>
  <c r="K700" i="33"/>
  <c r="L700" i="33"/>
  <c r="M700" i="33"/>
  <c r="N700" i="33"/>
  <c r="O700" i="33"/>
  <c r="P700" i="33"/>
  <c r="Q700" i="33"/>
  <c r="R700" i="33"/>
  <c r="S700" i="33"/>
  <c r="T700" i="33"/>
  <c r="B701" i="33"/>
  <c r="K701" i="33"/>
  <c r="L701" i="33"/>
  <c r="M701" i="33"/>
  <c r="N701" i="33"/>
  <c r="O701" i="33"/>
  <c r="P701" i="33"/>
  <c r="Q701" i="33"/>
  <c r="R701" i="33"/>
  <c r="S701" i="33"/>
  <c r="T701" i="33"/>
  <c r="I54" i="22"/>
  <c r="I55" i="22" s="1"/>
  <c r="I92" i="37" l="1"/>
  <c r="I17" i="37"/>
  <c r="I83" i="37" s="1"/>
  <c r="I44" i="32"/>
  <c r="H54" i="22"/>
  <c r="V52" i="33"/>
  <c r="V51" i="33"/>
  <c r="U51" i="33"/>
  <c r="I610" i="33" l="1"/>
  <c r="I80" i="32"/>
  <c r="G54" i="22"/>
  <c r="H55" i="22"/>
  <c r="L25" i="3"/>
  <c r="Y225" i="15"/>
  <c r="X226" i="15"/>
  <c r="Y226" i="15"/>
  <c r="X227" i="15"/>
  <c r="Y227" i="15"/>
  <c r="X228" i="15"/>
  <c r="Y228" i="15"/>
  <c r="X229" i="15"/>
  <c r="Y229" i="15"/>
  <c r="X230" i="15"/>
  <c r="Y230" i="15"/>
  <c r="X231" i="15"/>
  <c r="Y231" i="15"/>
  <c r="X232" i="15"/>
  <c r="Y232" i="15"/>
  <c r="X233" i="15"/>
  <c r="Y233" i="15"/>
  <c r="X234" i="15"/>
  <c r="Y234" i="15"/>
  <c r="X235" i="15"/>
  <c r="Y235" i="15"/>
  <c r="X236" i="15"/>
  <c r="Y236" i="15"/>
  <c r="X237" i="15"/>
  <c r="Y237" i="15"/>
  <c r="X238" i="15"/>
  <c r="Y238" i="15"/>
  <c r="X239" i="15"/>
  <c r="Y239" i="15"/>
  <c r="X240" i="15"/>
  <c r="Y240" i="15"/>
  <c r="X241" i="15"/>
  <c r="Y241" i="15"/>
  <c r="X242" i="15"/>
  <c r="Y242" i="15"/>
  <c r="X243" i="15"/>
  <c r="Y243" i="15"/>
  <c r="X244" i="15"/>
  <c r="Y244" i="15"/>
  <c r="Y245" i="15"/>
  <c r="X246" i="15"/>
  <c r="Y246" i="15"/>
  <c r="X247" i="15"/>
  <c r="Y247" i="15"/>
  <c r="X248" i="15"/>
  <c r="Y248" i="15"/>
  <c r="X249" i="15"/>
  <c r="Y249" i="15"/>
  <c r="X250" i="15"/>
  <c r="Y250" i="15"/>
  <c r="X251" i="15"/>
  <c r="Y251" i="15"/>
  <c r="X252" i="15"/>
  <c r="Y252" i="15"/>
  <c r="X253" i="15"/>
  <c r="Y253" i="15"/>
  <c r="X254" i="15"/>
  <c r="Y254" i="15"/>
  <c r="Y256" i="15"/>
  <c r="Y257" i="15"/>
  <c r="Y258" i="15"/>
  <c r="Y259" i="15"/>
  <c r="Y260" i="15"/>
  <c r="Y261" i="15"/>
  <c r="Y262" i="15"/>
  <c r="Y263" i="15"/>
  <c r="Y264" i="15"/>
  <c r="Y265" i="15"/>
  <c r="Y266" i="15"/>
  <c r="Y267" i="15"/>
  <c r="Y268" i="15"/>
  <c r="Y269" i="15"/>
  <c r="X270" i="15"/>
  <c r="Y270" i="15"/>
  <c r="X271" i="15"/>
  <c r="Y271" i="15"/>
  <c r="X272" i="15"/>
  <c r="Y272" i="15"/>
  <c r="X273" i="15"/>
  <c r="Y273" i="15"/>
  <c r="X274" i="15"/>
  <c r="Y274" i="15"/>
  <c r="X275" i="15"/>
  <c r="Y275" i="15"/>
  <c r="X276" i="15"/>
  <c r="Y276" i="15"/>
  <c r="X277" i="15"/>
  <c r="Y277" i="15"/>
  <c r="X278" i="15"/>
  <c r="Y278" i="15"/>
  <c r="X279" i="15"/>
  <c r="Y279" i="15"/>
  <c r="X280" i="15"/>
  <c r="Y280" i="15"/>
  <c r="Y281" i="15"/>
  <c r="X282" i="15"/>
  <c r="Y282" i="15"/>
  <c r="X283" i="15"/>
  <c r="Y283" i="15"/>
  <c r="X284" i="15"/>
  <c r="Y284" i="15"/>
  <c r="X285" i="15"/>
  <c r="Y285" i="15"/>
  <c r="X286" i="15"/>
  <c r="Y286" i="15"/>
  <c r="X287" i="15"/>
  <c r="Y287" i="15"/>
  <c r="X288" i="15"/>
  <c r="Y288" i="15"/>
  <c r="X289" i="15"/>
  <c r="Y289" i="15"/>
  <c r="X290" i="15"/>
  <c r="Y290" i="15"/>
  <c r="X291" i="15"/>
  <c r="Y291" i="15"/>
  <c r="X292" i="15"/>
  <c r="Y292" i="15"/>
  <c r="X293" i="15"/>
  <c r="Y293" i="15"/>
  <c r="X294" i="15"/>
  <c r="Y294" i="15"/>
  <c r="X295" i="15"/>
  <c r="Y295" i="15"/>
  <c r="X296" i="15"/>
  <c r="Y296" i="15"/>
  <c r="X297" i="15"/>
  <c r="Y297" i="15"/>
  <c r="X298" i="15"/>
  <c r="Y298" i="15"/>
  <c r="X299" i="15"/>
  <c r="Y299" i="15"/>
  <c r="X300" i="15"/>
  <c r="Y300" i="15"/>
  <c r="Y302" i="15"/>
  <c r="X303" i="15"/>
  <c r="Y303" i="15"/>
  <c r="X304" i="15"/>
  <c r="Y304" i="15"/>
  <c r="X305" i="15"/>
  <c r="Y305" i="15"/>
  <c r="X306" i="15"/>
  <c r="Y306" i="15"/>
  <c r="X307" i="15"/>
  <c r="Y307" i="15"/>
  <c r="X308" i="15"/>
  <c r="Y308" i="15"/>
  <c r="X309" i="15"/>
  <c r="Y309" i="15"/>
  <c r="X310" i="15"/>
  <c r="Y310" i="15"/>
  <c r="X311" i="15"/>
  <c r="Y311" i="15"/>
  <c r="X312" i="15"/>
  <c r="Y312" i="15"/>
  <c r="X313" i="15"/>
  <c r="Y313" i="15"/>
  <c r="X314" i="15"/>
  <c r="Y314" i="15"/>
  <c r="X315" i="15"/>
  <c r="Y315" i="15"/>
  <c r="X316" i="15"/>
  <c r="Y316" i="15"/>
  <c r="X317" i="15"/>
  <c r="Y317" i="15"/>
  <c r="X318" i="15"/>
  <c r="Y318" i="15"/>
  <c r="X319" i="15"/>
  <c r="Y319" i="15"/>
  <c r="X320" i="15"/>
  <c r="Y320" i="15"/>
  <c r="X321" i="15"/>
  <c r="Y321" i="15"/>
  <c r="X323" i="15"/>
  <c r="Y323" i="15"/>
  <c r="X324" i="15"/>
  <c r="Y324" i="15"/>
  <c r="X325" i="15"/>
  <c r="Y325" i="15"/>
  <c r="X326" i="15"/>
  <c r="Y326" i="15"/>
  <c r="X327" i="15"/>
  <c r="Y327" i="15"/>
  <c r="X328" i="15"/>
  <c r="Y328" i="15"/>
  <c r="X329" i="15"/>
  <c r="Y329" i="15"/>
  <c r="X330" i="15"/>
  <c r="Y330" i="15"/>
  <c r="X331" i="15"/>
  <c r="Y331" i="15"/>
  <c r="X332" i="15"/>
  <c r="Y332" i="15"/>
  <c r="X333" i="15"/>
  <c r="Y333" i="15"/>
  <c r="X334" i="15"/>
  <c r="Y334" i="15"/>
  <c r="X335" i="15"/>
  <c r="Y335" i="15"/>
  <c r="X336" i="15"/>
  <c r="Y336" i="15"/>
  <c r="X337" i="15"/>
  <c r="Y337" i="15"/>
  <c r="X338" i="15"/>
  <c r="Y338" i="15"/>
  <c r="X339" i="15"/>
  <c r="Y339" i="15"/>
  <c r="X340" i="15"/>
  <c r="Y340" i="15"/>
  <c r="X341" i="15"/>
  <c r="Y341" i="15"/>
  <c r="X342" i="15"/>
  <c r="Y342" i="15"/>
  <c r="Z101" i="15"/>
  <c r="AA101" i="15"/>
  <c r="AB101" i="15"/>
  <c r="AC101" i="15"/>
  <c r="AD101" i="15"/>
  <c r="Z102" i="15"/>
  <c r="AA102" i="15"/>
  <c r="AB102" i="15"/>
  <c r="AC102" i="15"/>
  <c r="AD102" i="15"/>
  <c r="Z103" i="15"/>
  <c r="AA103" i="15"/>
  <c r="AB103" i="15"/>
  <c r="AC103" i="15"/>
  <c r="AD103" i="15"/>
  <c r="Z104" i="15"/>
  <c r="AA104" i="15"/>
  <c r="AB104" i="15"/>
  <c r="AC104" i="15"/>
  <c r="AD104" i="15"/>
  <c r="Z105" i="15"/>
  <c r="AA105" i="15"/>
  <c r="AB105" i="15"/>
  <c r="AC105" i="15"/>
  <c r="AD105" i="15"/>
  <c r="Z106" i="15"/>
  <c r="AA106" i="15"/>
  <c r="AB106" i="15"/>
  <c r="AC106" i="15"/>
  <c r="AD106" i="15"/>
  <c r="Z107" i="15"/>
  <c r="AA107" i="15"/>
  <c r="AB107" i="15"/>
  <c r="AC107" i="15"/>
  <c r="AD107" i="15"/>
  <c r="Z108" i="15"/>
  <c r="AA108" i="15"/>
  <c r="AB108" i="15"/>
  <c r="AC108" i="15"/>
  <c r="AD108" i="15"/>
  <c r="Z109" i="15"/>
  <c r="AA109" i="15"/>
  <c r="AB109" i="15"/>
  <c r="AC109" i="15"/>
  <c r="AD109" i="15"/>
  <c r="Z110" i="15"/>
  <c r="AA110" i="15"/>
  <c r="AB110" i="15"/>
  <c r="AC110" i="15"/>
  <c r="AD110" i="15"/>
  <c r="Z111" i="15"/>
  <c r="AA111" i="15"/>
  <c r="AB111" i="15"/>
  <c r="AC111" i="15"/>
  <c r="AD111" i="15"/>
  <c r="Z112" i="15"/>
  <c r="AA112" i="15"/>
  <c r="AB112" i="15"/>
  <c r="AC112" i="15"/>
  <c r="AD112" i="15"/>
  <c r="Z113" i="15"/>
  <c r="AA113" i="15"/>
  <c r="AB113" i="15"/>
  <c r="AC113" i="15"/>
  <c r="AD113" i="15"/>
  <c r="Z114" i="15"/>
  <c r="AA114" i="15"/>
  <c r="AB114" i="15"/>
  <c r="AC114" i="15"/>
  <c r="AD114" i="15"/>
  <c r="Z115" i="15"/>
  <c r="AA115" i="15"/>
  <c r="AB115" i="15"/>
  <c r="AC115" i="15"/>
  <c r="AD115" i="15"/>
  <c r="Z116" i="15"/>
  <c r="AA116" i="15"/>
  <c r="AB116" i="15"/>
  <c r="AC116" i="15"/>
  <c r="AD116" i="15"/>
  <c r="Z117" i="15"/>
  <c r="AA117" i="15"/>
  <c r="AB117" i="15"/>
  <c r="AC117" i="15"/>
  <c r="AD117" i="15"/>
  <c r="Z118" i="15"/>
  <c r="AA118" i="15"/>
  <c r="AB118" i="15"/>
  <c r="AC118" i="15"/>
  <c r="AD118" i="15"/>
  <c r="Z119" i="15"/>
  <c r="AA119" i="15"/>
  <c r="AB119" i="15"/>
  <c r="AC119" i="15"/>
  <c r="AD119" i="15"/>
  <c r="Z120" i="15"/>
  <c r="AA120" i="15"/>
  <c r="AB120" i="15"/>
  <c r="AC120" i="15"/>
  <c r="AD120" i="15"/>
  <c r="Z121" i="15"/>
  <c r="AA121" i="15"/>
  <c r="AB121" i="15"/>
  <c r="AC121" i="15"/>
  <c r="AD121" i="15"/>
  <c r="Z122" i="15"/>
  <c r="AA122" i="15"/>
  <c r="AB122" i="15"/>
  <c r="AC122" i="15"/>
  <c r="AD122" i="15"/>
  <c r="Z123" i="15"/>
  <c r="AA123" i="15"/>
  <c r="AB123" i="15"/>
  <c r="AC123" i="15"/>
  <c r="AD123" i="15"/>
  <c r="Z124" i="15"/>
  <c r="AA124" i="15"/>
  <c r="AB124" i="15"/>
  <c r="AC124" i="15"/>
  <c r="AD124" i="15"/>
  <c r="Z125" i="15"/>
  <c r="AA125" i="15"/>
  <c r="AB125" i="15"/>
  <c r="AC125" i="15"/>
  <c r="AD125" i="15"/>
  <c r="Z126" i="15"/>
  <c r="AA126" i="15"/>
  <c r="AB126" i="15"/>
  <c r="AC126" i="15"/>
  <c r="AD126" i="15"/>
  <c r="Z127" i="15"/>
  <c r="AA127" i="15"/>
  <c r="AB127" i="15"/>
  <c r="AC127" i="15"/>
  <c r="AD127" i="15"/>
  <c r="Z128" i="15"/>
  <c r="AA128" i="15"/>
  <c r="AB128" i="15"/>
  <c r="AC128" i="15"/>
  <c r="AD128" i="15"/>
  <c r="Z129" i="15"/>
  <c r="AA129" i="15"/>
  <c r="AB129" i="15"/>
  <c r="AC129" i="15"/>
  <c r="AD129" i="15"/>
  <c r="Z130" i="15"/>
  <c r="AA130" i="15"/>
  <c r="AB130" i="15"/>
  <c r="AC130" i="15"/>
  <c r="AD130" i="15"/>
  <c r="Z132" i="15"/>
  <c r="AA132" i="15"/>
  <c r="AB132" i="15"/>
  <c r="AC132" i="15"/>
  <c r="AD132" i="15"/>
  <c r="Z133" i="15"/>
  <c r="AA133" i="15"/>
  <c r="AB133" i="15"/>
  <c r="AC133" i="15"/>
  <c r="AD133" i="15"/>
  <c r="Z134" i="15"/>
  <c r="AA134" i="15"/>
  <c r="AB134" i="15"/>
  <c r="AC134" i="15"/>
  <c r="AD134" i="15"/>
  <c r="Z135" i="15"/>
  <c r="AA135" i="15"/>
  <c r="AB135" i="15"/>
  <c r="AC135" i="15"/>
  <c r="AD135" i="15"/>
  <c r="Z136" i="15"/>
  <c r="AA136" i="15"/>
  <c r="AB136" i="15"/>
  <c r="AC136" i="15"/>
  <c r="AD136" i="15"/>
  <c r="Z137" i="15"/>
  <c r="AA137" i="15"/>
  <c r="AB137" i="15"/>
  <c r="AC137" i="15"/>
  <c r="AD137" i="15"/>
  <c r="Z138" i="15"/>
  <c r="AA138" i="15"/>
  <c r="AB138" i="15"/>
  <c r="AC138" i="15"/>
  <c r="AD138" i="15"/>
  <c r="Z139" i="15"/>
  <c r="AA139" i="15"/>
  <c r="AB139" i="15"/>
  <c r="AC139" i="15"/>
  <c r="AD139" i="15"/>
  <c r="Z140" i="15"/>
  <c r="AA140" i="15"/>
  <c r="AB140" i="15"/>
  <c r="AC140" i="15"/>
  <c r="AD140" i="15"/>
  <c r="Z141" i="15"/>
  <c r="AA141" i="15"/>
  <c r="AB141" i="15"/>
  <c r="AC141" i="15"/>
  <c r="AD141" i="15"/>
  <c r="Z142" i="15"/>
  <c r="AA142" i="15"/>
  <c r="AB142" i="15"/>
  <c r="AC142" i="15"/>
  <c r="AD142" i="15"/>
  <c r="Z143" i="15"/>
  <c r="AA143" i="15"/>
  <c r="AB143" i="15"/>
  <c r="AC143" i="15"/>
  <c r="AD143" i="15"/>
  <c r="Z144" i="15"/>
  <c r="AA144" i="15"/>
  <c r="AB144" i="15"/>
  <c r="AC144" i="15"/>
  <c r="AD144" i="15"/>
  <c r="Z145" i="15"/>
  <c r="AA145" i="15"/>
  <c r="AB145" i="15"/>
  <c r="AC145" i="15"/>
  <c r="AD145" i="15"/>
  <c r="Z146" i="15"/>
  <c r="AA146" i="15"/>
  <c r="AB146" i="15"/>
  <c r="AC146" i="15"/>
  <c r="AD146" i="15"/>
  <c r="Z147" i="15"/>
  <c r="AA147" i="15"/>
  <c r="AB147" i="15"/>
  <c r="AC147" i="15"/>
  <c r="AD147" i="15"/>
  <c r="Z148" i="15"/>
  <c r="AA148" i="15"/>
  <c r="AB148" i="15"/>
  <c r="AC148" i="15"/>
  <c r="AD148" i="15"/>
  <c r="Z149" i="15"/>
  <c r="AA149" i="15"/>
  <c r="AB149" i="15"/>
  <c r="AC149" i="15"/>
  <c r="AD149" i="15"/>
  <c r="Z150" i="15"/>
  <c r="AA150" i="15"/>
  <c r="AB150" i="15"/>
  <c r="AC150" i="15"/>
  <c r="AD150" i="15"/>
  <c r="Z151" i="15"/>
  <c r="AA151" i="15"/>
  <c r="AB151" i="15"/>
  <c r="AC151" i="15"/>
  <c r="AD151" i="15"/>
  <c r="Z152" i="15"/>
  <c r="AA152" i="15"/>
  <c r="AB152" i="15"/>
  <c r="AC152" i="15"/>
  <c r="AD152" i="15"/>
  <c r="Z153" i="15"/>
  <c r="AA153" i="15"/>
  <c r="AB153" i="15"/>
  <c r="AC153" i="15"/>
  <c r="AD153" i="15"/>
  <c r="Z154" i="15"/>
  <c r="AA154" i="15"/>
  <c r="AB154" i="15"/>
  <c r="AC154" i="15"/>
  <c r="AD154" i="15"/>
  <c r="Z155" i="15"/>
  <c r="AA155" i="15"/>
  <c r="AB155" i="15"/>
  <c r="AC155" i="15"/>
  <c r="AD155" i="15"/>
  <c r="Z156" i="15"/>
  <c r="AA156" i="15"/>
  <c r="AB156" i="15"/>
  <c r="AC156" i="15"/>
  <c r="AD156" i="15"/>
  <c r="Z157" i="15"/>
  <c r="AA157" i="15"/>
  <c r="AB157" i="15"/>
  <c r="AC157" i="15"/>
  <c r="AD157" i="15"/>
  <c r="Z158" i="15"/>
  <c r="AA158" i="15"/>
  <c r="AB158" i="15"/>
  <c r="AC158" i="15"/>
  <c r="AD158" i="15"/>
  <c r="Z159" i="15"/>
  <c r="AA159" i="15"/>
  <c r="AB159" i="15"/>
  <c r="AC159" i="15"/>
  <c r="AD159" i="15"/>
  <c r="Z160" i="15"/>
  <c r="AA160" i="15"/>
  <c r="AB160" i="15"/>
  <c r="AC160" i="15"/>
  <c r="AD160" i="15"/>
  <c r="Z161" i="15"/>
  <c r="AA161" i="15"/>
  <c r="AB161" i="15"/>
  <c r="AC161" i="15"/>
  <c r="AD161" i="15"/>
  <c r="Z162" i="15"/>
  <c r="AA162" i="15"/>
  <c r="AB162" i="15"/>
  <c r="AC162" i="15"/>
  <c r="AD162" i="15"/>
  <c r="Z163" i="15"/>
  <c r="AA163" i="15"/>
  <c r="AB163" i="15"/>
  <c r="AC163" i="15"/>
  <c r="AD163" i="15"/>
  <c r="Z164" i="15"/>
  <c r="AA164" i="15"/>
  <c r="AB164" i="15"/>
  <c r="AC164" i="15"/>
  <c r="AD164" i="15"/>
  <c r="Z165" i="15"/>
  <c r="AA165" i="15"/>
  <c r="AB165" i="15"/>
  <c r="AC165" i="15"/>
  <c r="AD165" i="15"/>
  <c r="Z166" i="15"/>
  <c r="AA166" i="15"/>
  <c r="AB166" i="15"/>
  <c r="AC166" i="15"/>
  <c r="AD166" i="15"/>
  <c r="Z167" i="15"/>
  <c r="AA167" i="15"/>
  <c r="AB167" i="15"/>
  <c r="AC167" i="15"/>
  <c r="AD167" i="15"/>
  <c r="Z168" i="15"/>
  <c r="AA168" i="15"/>
  <c r="AB168" i="15"/>
  <c r="AC168" i="15"/>
  <c r="AD168" i="15"/>
  <c r="Z169" i="15"/>
  <c r="AA169" i="15"/>
  <c r="AB169" i="15"/>
  <c r="AC169" i="15"/>
  <c r="AD169" i="15"/>
  <c r="Z170" i="15"/>
  <c r="AA170" i="15"/>
  <c r="AB170" i="15"/>
  <c r="AC170" i="15"/>
  <c r="AD170" i="15"/>
  <c r="Z171" i="15"/>
  <c r="AA171" i="15"/>
  <c r="AB171" i="15"/>
  <c r="AC171" i="15"/>
  <c r="AD171" i="15"/>
  <c r="Z172" i="15"/>
  <c r="AA172" i="15"/>
  <c r="AB172" i="15"/>
  <c r="AC172" i="15"/>
  <c r="AD172" i="15"/>
  <c r="Z173" i="15"/>
  <c r="AA173" i="15"/>
  <c r="AB173" i="15"/>
  <c r="AC173" i="15"/>
  <c r="AD173" i="15"/>
  <c r="Z174" i="15"/>
  <c r="AA174" i="15"/>
  <c r="AB174" i="15"/>
  <c r="AC174" i="15"/>
  <c r="AD174" i="15"/>
  <c r="Z175" i="15"/>
  <c r="AA175" i="15"/>
  <c r="AB175" i="15"/>
  <c r="AC175" i="15"/>
  <c r="AD175" i="15"/>
  <c r="Z176" i="15"/>
  <c r="AA176" i="15"/>
  <c r="AB176" i="15"/>
  <c r="AC176" i="15"/>
  <c r="AD176" i="15"/>
  <c r="Z178" i="15"/>
  <c r="AA178" i="15"/>
  <c r="AB178" i="15"/>
  <c r="AC178" i="15"/>
  <c r="AD178" i="15"/>
  <c r="Z179" i="15"/>
  <c r="AA179" i="15"/>
  <c r="AB179" i="15"/>
  <c r="AC179" i="15"/>
  <c r="AD179" i="15"/>
  <c r="Z180" i="15"/>
  <c r="AA180" i="15"/>
  <c r="AB180" i="15"/>
  <c r="AC180" i="15"/>
  <c r="AD180" i="15"/>
  <c r="Z181" i="15"/>
  <c r="AA181" i="15"/>
  <c r="AB181" i="15"/>
  <c r="AC181" i="15"/>
  <c r="AD181" i="15"/>
  <c r="Z182" i="15"/>
  <c r="AA182" i="15"/>
  <c r="AB182" i="15"/>
  <c r="AC182" i="15"/>
  <c r="AD182" i="15"/>
  <c r="Z183" i="15"/>
  <c r="AA183" i="15"/>
  <c r="AB183" i="15"/>
  <c r="AC183" i="15"/>
  <c r="AD183" i="15"/>
  <c r="Z184" i="15"/>
  <c r="AA184" i="15"/>
  <c r="AB184" i="15"/>
  <c r="AC184" i="15"/>
  <c r="AD184" i="15"/>
  <c r="Z185" i="15"/>
  <c r="AA185" i="15"/>
  <c r="AB185" i="15"/>
  <c r="AC185" i="15"/>
  <c r="AD185" i="15"/>
  <c r="Z186" i="15"/>
  <c r="AA186" i="15"/>
  <c r="AB186" i="15"/>
  <c r="AC186" i="15"/>
  <c r="AD186" i="15"/>
  <c r="Z187" i="15"/>
  <c r="AA187" i="15"/>
  <c r="AB187" i="15"/>
  <c r="AC187" i="15"/>
  <c r="AD187" i="15"/>
  <c r="Z188" i="15"/>
  <c r="AA188" i="15"/>
  <c r="AB188" i="15"/>
  <c r="AC188" i="15"/>
  <c r="AD188" i="15"/>
  <c r="Z189" i="15"/>
  <c r="AA189" i="15"/>
  <c r="AB189" i="15"/>
  <c r="AC189" i="15"/>
  <c r="AD189" i="15"/>
  <c r="Z190" i="15"/>
  <c r="AA190" i="15"/>
  <c r="AB190" i="15"/>
  <c r="AC190" i="15"/>
  <c r="AD190" i="15"/>
  <c r="Z191" i="15"/>
  <c r="AA191" i="15"/>
  <c r="AB191" i="15"/>
  <c r="AC191" i="15"/>
  <c r="AD191" i="15"/>
  <c r="Z192" i="15"/>
  <c r="AA192" i="15"/>
  <c r="AB192" i="15"/>
  <c r="AC192" i="15"/>
  <c r="AD192" i="15"/>
  <c r="Z193" i="15"/>
  <c r="AA193" i="15"/>
  <c r="AB193" i="15"/>
  <c r="AC193" i="15"/>
  <c r="AD193" i="15"/>
  <c r="Z194" i="15"/>
  <c r="AA194" i="15"/>
  <c r="AB194" i="15"/>
  <c r="AC194" i="15"/>
  <c r="AD194" i="15"/>
  <c r="Z195" i="15"/>
  <c r="AA195" i="15"/>
  <c r="AB195" i="15"/>
  <c r="AC195" i="15"/>
  <c r="AD195" i="15"/>
  <c r="Z196" i="15"/>
  <c r="AA196" i="15"/>
  <c r="AB196" i="15"/>
  <c r="AC196" i="15"/>
  <c r="AD196" i="15"/>
  <c r="Z197" i="15"/>
  <c r="AA197" i="15"/>
  <c r="AB197" i="15"/>
  <c r="AC197" i="15"/>
  <c r="AD197" i="15"/>
  <c r="Z199" i="15"/>
  <c r="AA199" i="15"/>
  <c r="AB199" i="15"/>
  <c r="AC199" i="15"/>
  <c r="AD199" i="15"/>
  <c r="Z200" i="15"/>
  <c r="AA200" i="15"/>
  <c r="AB200" i="15"/>
  <c r="AC200" i="15"/>
  <c r="AD200" i="15"/>
  <c r="Z201" i="15"/>
  <c r="AA201" i="15"/>
  <c r="AB201" i="15"/>
  <c r="AC201" i="15"/>
  <c r="AD201" i="15"/>
  <c r="Z202" i="15"/>
  <c r="AA202" i="15"/>
  <c r="AB202" i="15"/>
  <c r="AC202" i="15"/>
  <c r="AD202" i="15"/>
  <c r="Z203" i="15"/>
  <c r="AA203" i="15"/>
  <c r="AB203" i="15"/>
  <c r="AC203" i="15"/>
  <c r="AD203" i="15"/>
  <c r="Z204" i="15"/>
  <c r="AA204" i="15"/>
  <c r="AB204" i="15"/>
  <c r="AC204" i="15"/>
  <c r="AD204" i="15"/>
  <c r="Z205" i="15"/>
  <c r="AA205" i="15"/>
  <c r="AB205" i="15"/>
  <c r="AC205" i="15"/>
  <c r="AD205" i="15"/>
  <c r="Z206" i="15"/>
  <c r="AA206" i="15"/>
  <c r="AB206" i="15"/>
  <c r="AC206" i="15"/>
  <c r="AD206" i="15"/>
  <c r="Z207" i="15"/>
  <c r="AA207" i="15"/>
  <c r="AB207" i="15"/>
  <c r="AC207" i="15"/>
  <c r="AD207" i="15"/>
  <c r="Z208" i="15"/>
  <c r="AA208" i="15"/>
  <c r="AB208" i="15"/>
  <c r="AC208" i="15"/>
  <c r="AD208" i="15"/>
  <c r="Z209" i="15"/>
  <c r="AA209" i="15"/>
  <c r="AB209" i="15"/>
  <c r="AC209" i="15"/>
  <c r="AD209" i="15"/>
  <c r="Z210" i="15"/>
  <c r="AA210" i="15"/>
  <c r="AB210" i="15"/>
  <c r="AC210" i="15"/>
  <c r="AD210" i="15"/>
  <c r="Z211" i="15"/>
  <c r="AA211" i="15"/>
  <c r="AB211" i="15"/>
  <c r="AC211" i="15"/>
  <c r="AD211" i="15"/>
  <c r="Z212" i="15"/>
  <c r="AA212" i="15"/>
  <c r="AB212" i="15"/>
  <c r="AC212" i="15"/>
  <c r="AD212" i="15"/>
  <c r="Z213" i="15"/>
  <c r="AA213" i="15"/>
  <c r="AB213" i="15"/>
  <c r="AC213" i="15"/>
  <c r="AD213" i="15"/>
  <c r="Z214" i="15"/>
  <c r="AA214" i="15"/>
  <c r="AB214" i="15"/>
  <c r="AC214" i="15"/>
  <c r="AD214" i="15"/>
  <c r="Z215" i="15"/>
  <c r="AA215" i="15"/>
  <c r="AB215" i="15"/>
  <c r="AC215" i="15"/>
  <c r="AD215" i="15"/>
  <c r="Z216" i="15"/>
  <c r="AA216" i="15"/>
  <c r="AB216" i="15"/>
  <c r="AC216" i="15"/>
  <c r="AD216" i="15"/>
  <c r="Z217" i="15"/>
  <c r="AA217" i="15"/>
  <c r="AB217" i="15"/>
  <c r="AC217" i="15"/>
  <c r="AD217" i="15"/>
  <c r="Z218" i="15"/>
  <c r="AA218" i="15"/>
  <c r="AB218" i="15"/>
  <c r="AC218" i="15"/>
  <c r="AD218" i="15"/>
  <c r="H92" i="37" l="1"/>
  <c r="H17" i="37"/>
  <c r="H83" i="37" s="1"/>
  <c r="H44" i="32"/>
  <c r="F54" i="22"/>
  <c r="G55" i="22"/>
  <c r="X29" i="15"/>
  <c r="H610" i="33" l="1"/>
  <c r="H80" i="32"/>
  <c r="G92" i="37"/>
  <c r="G17" i="37"/>
  <c r="G83" i="37" s="1"/>
  <c r="G44" i="32"/>
  <c r="F55" i="22"/>
  <c r="E54" i="22"/>
  <c r="E55" i="22" s="1"/>
  <c r="T376" i="33"/>
  <c r="S376" i="33"/>
  <c r="R376" i="33"/>
  <c r="Q376" i="33"/>
  <c r="P376" i="33"/>
  <c r="O376" i="33"/>
  <c r="N376" i="33"/>
  <c r="M376" i="33"/>
  <c r="L376" i="33"/>
  <c r="K376" i="33"/>
  <c r="J376" i="33"/>
  <c r="T370" i="33"/>
  <c r="S370" i="33"/>
  <c r="R370" i="33"/>
  <c r="Q370" i="33"/>
  <c r="P370" i="33"/>
  <c r="O370" i="33"/>
  <c r="N370" i="33"/>
  <c r="M370" i="33"/>
  <c r="L370" i="33"/>
  <c r="K370" i="33"/>
  <c r="T357" i="33"/>
  <c r="S357" i="33"/>
  <c r="R357" i="33"/>
  <c r="Q357" i="33"/>
  <c r="P357" i="33"/>
  <c r="O357" i="33"/>
  <c r="N357" i="33"/>
  <c r="M357" i="33"/>
  <c r="L357" i="33"/>
  <c r="K357" i="33"/>
  <c r="J357" i="33"/>
  <c r="B376" i="33"/>
  <c r="B370" i="33"/>
  <c r="G610" i="33" l="1"/>
  <c r="G80" i="32"/>
  <c r="F92" i="37"/>
  <c r="F17" i="37"/>
  <c r="F83" i="37" s="1"/>
  <c r="F44" i="32"/>
  <c r="F459" i="33"/>
  <c r="E92" i="37"/>
  <c r="E17" i="37"/>
  <c r="E83" i="37" s="1"/>
  <c r="E44" i="32"/>
  <c r="E459" i="33"/>
  <c r="T351" i="33"/>
  <c r="S351" i="33"/>
  <c r="R351" i="33"/>
  <c r="Q351" i="33"/>
  <c r="P351" i="33"/>
  <c r="O351" i="33"/>
  <c r="N351" i="33"/>
  <c r="M351" i="33"/>
  <c r="L351" i="33"/>
  <c r="K351" i="33"/>
  <c r="J351" i="33"/>
  <c r="B25" i="31"/>
  <c r="B39" i="31"/>
  <c r="U389" i="21"/>
  <c r="X336" i="21"/>
  <c r="W336" i="21"/>
  <c r="V336" i="21"/>
  <c r="W335" i="21"/>
  <c r="V335" i="21"/>
  <c r="U335" i="21"/>
  <c r="S206" i="21"/>
  <c r="R206" i="21"/>
  <c r="Q206" i="21"/>
  <c r="P206" i="21"/>
  <c r="O206" i="21"/>
  <c r="N206" i="21"/>
  <c r="L206" i="21"/>
  <c r="K206" i="21"/>
  <c r="J206" i="21"/>
  <c r="W202" i="21"/>
  <c r="X202" i="21" s="1"/>
  <c r="U202" i="21"/>
  <c r="W201" i="21"/>
  <c r="X201" i="21" s="1"/>
  <c r="U201" i="21"/>
  <c r="X200" i="21"/>
  <c r="W200" i="21"/>
  <c r="U200" i="21"/>
  <c r="X198" i="21"/>
  <c r="W198" i="21"/>
  <c r="U198" i="21"/>
  <c r="W197" i="21"/>
  <c r="X197" i="21" s="1"/>
  <c r="U197" i="21"/>
  <c r="W196" i="21"/>
  <c r="X196" i="21" s="1"/>
  <c r="U196" i="21"/>
  <c r="W195" i="21"/>
  <c r="X195" i="21" s="1"/>
  <c r="U195" i="21"/>
  <c r="W194" i="21"/>
  <c r="X194" i="21" s="1"/>
  <c r="U194" i="21"/>
  <c r="W193" i="21"/>
  <c r="U193" i="21"/>
  <c r="T187" i="21"/>
  <c r="S187" i="21"/>
  <c r="R187" i="21"/>
  <c r="Q189" i="21"/>
  <c r="N189" i="21"/>
  <c r="N54" i="32" s="1"/>
  <c r="M189" i="21"/>
  <c r="M54" i="32" s="1"/>
  <c r="L187" i="21"/>
  <c r="K187" i="21"/>
  <c r="W183" i="21"/>
  <c r="X183" i="21" s="1"/>
  <c r="U183" i="21"/>
  <c r="W182" i="21"/>
  <c r="X182" i="21" s="1"/>
  <c r="U182" i="21"/>
  <c r="U181" i="21"/>
  <c r="X179" i="21"/>
  <c r="W179" i="21"/>
  <c r="U179" i="21"/>
  <c r="W178" i="21"/>
  <c r="X178" i="21" s="1"/>
  <c r="U178" i="21"/>
  <c r="W177" i="21"/>
  <c r="X177" i="21" s="1"/>
  <c r="U177" i="21"/>
  <c r="W176" i="21"/>
  <c r="X176" i="21" s="1"/>
  <c r="U176" i="21"/>
  <c r="W175" i="21"/>
  <c r="X175" i="21" s="1"/>
  <c r="U175" i="21"/>
  <c r="W174" i="21"/>
  <c r="X174" i="21" s="1"/>
  <c r="U174" i="21"/>
  <c r="W173" i="21"/>
  <c r="U173" i="21"/>
  <c r="U216" i="21" s="1"/>
  <c r="X169" i="21"/>
  <c r="W169" i="21"/>
  <c r="V169" i="21"/>
  <c r="W168" i="21"/>
  <c r="V168" i="21"/>
  <c r="U168" i="21"/>
  <c r="Q436" i="21"/>
  <c r="P436" i="21"/>
  <c r="O436" i="21"/>
  <c r="M436" i="21"/>
  <c r="T435" i="21"/>
  <c r="S435" i="21"/>
  <c r="R435" i="21"/>
  <c r="P435" i="21"/>
  <c r="L435" i="21"/>
  <c r="K435" i="21"/>
  <c r="T60" i="21"/>
  <c r="S60" i="21"/>
  <c r="R60" i="21"/>
  <c r="N60" i="21"/>
  <c r="M60" i="21"/>
  <c r="L60" i="21"/>
  <c r="K60" i="21"/>
  <c r="J60" i="21"/>
  <c r="W56" i="21"/>
  <c r="X56" i="21" s="1"/>
  <c r="U56" i="21"/>
  <c r="W55" i="21"/>
  <c r="X55" i="21" s="1"/>
  <c r="U55" i="21"/>
  <c r="X54" i="21"/>
  <c r="W54" i="21"/>
  <c r="U54" i="21"/>
  <c r="U421" i="21" s="1"/>
  <c r="X52" i="21"/>
  <c r="W52" i="21"/>
  <c r="U52" i="21"/>
  <c r="W51" i="21"/>
  <c r="X51" i="21" s="1"/>
  <c r="U51" i="21"/>
  <c r="W50" i="21"/>
  <c r="X50" i="21" s="1"/>
  <c r="U50" i="21"/>
  <c r="W49" i="21"/>
  <c r="U49" i="21"/>
  <c r="W48" i="21"/>
  <c r="X48" i="21" s="1"/>
  <c r="U48" i="21"/>
  <c r="W47" i="21"/>
  <c r="U47" i="21"/>
  <c r="T41" i="21"/>
  <c r="T408" i="21" s="1"/>
  <c r="S41" i="21"/>
  <c r="R41" i="21"/>
  <c r="R408" i="21" s="1"/>
  <c r="M43" i="21"/>
  <c r="L41" i="21"/>
  <c r="K41" i="21"/>
  <c r="J41" i="21"/>
  <c r="W37" i="21"/>
  <c r="X37" i="21" s="1"/>
  <c r="U37" i="21"/>
  <c r="U404" i="21" s="1"/>
  <c r="W36" i="21"/>
  <c r="X36" i="21" s="1"/>
  <c r="U36" i="21"/>
  <c r="W35" i="21"/>
  <c r="X35" i="21" s="1"/>
  <c r="U35" i="21"/>
  <c r="W33" i="21"/>
  <c r="X33" i="21" s="1"/>
  <c r="U33" i="21"/>
  <c r="W32" i="21"/>
  <c r="X32" i="21" s="1"/>
  <c r="U32" i="21"/>
  <c r="U399" i="21" s="1"/>
  <c r="W31" i="21"/>
  <c r="X31" i="21" s="1"/>
  <c r="U31" i="21"/>
  <c r="W30" i="21"/>
  <c r="X30" i="21" s="1"/>
  <c r="U30" i="21"/>
  <c r="W29" i="21"/>
  <c r="X29" i="21" s="1"/>
  <c r="U29" i="21"/>
  <c r="W28" i="21"/>
  <c r="X28" i="21" s="1"/>
  <c r="U28" i="21"/>
  <c r="U395" i="21" s="1"/>
  <c r="W27" i="21"/>
  <c r="U27" i="21"/>
  <c r="U70" i="21" l="1"/>
  <c r="U71" i="21"/>
  <c r="S408" i="21"/>
  <c r="U417" i="21"/>
  <c r="U423" i="21"/>
  <c r="U416" i="21"/>
  <c r="N436" i="21"/>
  <c r="U402" i="21"/>
  <c r="Q435" i="21"/>
  <c r="U394" i="21"/>
  <c r="U398" i="21"/>
  <c r="U403" i="21"/>
  <c r="F610" i="33"/>
  <c r="F80" i="32"/>
  <c r="E610" i="33"/>
  <c r="E80" i="32"/>
  <c r="K436" i="21"/>
  <c r="S436" i="21"/>
  <c r="N435" i="21"/>
  <c r="L436" i="21"/>
  <c r="T436" i="21"/>
  <c r="O435" i="21"/>
  <c r="U397" i="21"/>
  <c r="U415" i="21"/>
  <c r="U419" i="21"/>
  <c r="L408" i="21"/>
  <c r="R436" i="21"/>
  <c r="M435" i="21"/>
  <c r="U414" i="21"/>
  <c r="U422" i="21"/>
  <c r="U418" i="21"/>
  <c r="M53" i="32"/>
  <c r="M410" i="21"/>
  <c r="U400" i="21"/>
  <c r="K408" i="21"/>
  <c r="U396" i="21"/>
  <c r="U204" i="21"/>
  <c r="U206" i="21" s="1"/>
  <c r="X193" i="21"/>
  <c r="W204" i="21"/>
  <c r="X204" i="21" s="1"/>
  <c r="U185" i="21"/>
  <c r="U58" i="21"/>
  <c r="X173" i="21"/>
  <c r="X47" i="21"/>
  <c r="W58" i="21"/>
  <c r="X58" i="21" s="1"/>
  <c r="U39" i="21"/>
  <c r="X27" i="21"/>
  <c r="W39" i="21"/>
  <c r="X39" i="21" s="1"/>
  <c r="O210" i="21"/>
  <c r="R211" i="21"/>
  <c r="P210" i="21"/>
  <c r="L211" i="21"/>
  <c r="U370" i="33"/>
  <c r="U376" i="33"/>
  <c r="W357" i="33"/>
  <c r="W376" i="33"/>
  <c r="P60" i="21"/>
  <c r="S211" i="21"/>
  <c r="Q212" i="21"/>
  <c r="T206" i="21"/>
  <c r="W206" i="21" s="1"/>
  <c r="X206" i="21" s="1"/>
  <c r="K210" i="21"/>
  <c r="N187" i="21"/>
  <c r="N211" i="21" s="1"/>
  <c r="N210" i="21"/>
  <c r="Q187" i="21"/>
  <c r="Q211" i="21" s="1"/>
  <c r="Q210" i="21"/>
  <c r="K189" i="21"/>
  <c r="K54" i="32" s="1"/>
  <c r="S210" i="21"/>
  <c r="P189" i="21"/>
  <c r="S189" i="21"/>
  <c r="Q54" i="32"/>
  <c r="U357" i="33"/>
  <c r="O64" i="21"/>
  <c r="N64" i="21"/>
  <c r="W60" i="21"/>
  <c r="X60" i="21" s="1"/>
  <c r="M64" i="21"/>
  <c r="Q64" i="21"/>
  <c r="J370" i="33"/>
  <c r="J187" i="21"/>
  <c r="J211" i="21" s="1"/>
  <c r="W181" i="21"/>
  <c r="W370" i="33" s="1"/>
  <c r="U351" i="33"/>
  <c r="W351" i="33"/>
  <c r="N43" i="21"/>
  <c r="N410" i="21" s="1"/>
  <c r="N41" i="21"/>
  <c r="Q41" i="21"/>
  <c r="K43" i="21"/>
  <c r="P43" i="21"/>
  <c r="S43" i="21"/>
  <c r="S65" i="21"/>
  <c r="M66" i="21"/>
  <c r="N212" i="21"/>
  <c r="K211" i="21"/>
  <c r="T211" i="21"/>
  <c r="J65" i="21"/>
  <c r="R65" i="21"/>
  <c r="K65" i="21"/>
  <c r="L65" i="21"/>
  <c r="W41" i="21"/>
  <c r="X41" i="21" s="1"/>
  <c r="T65" i="21"/>
  <c r="M41" i="21"/>
  <c r="O43" i="21"/>
  <c r="O60" i="21"/>
  <c r="P64" i="21"/>
  <c r="X181" i="21"/>
  <c r="M187" i="21"/>
  <c r="M211" i="21" s="1"/>
  <c r="O189" i="21"/>
  <c r="R210" i="21"/>
  <c r="O41" i="21"/>
  <c r="Q43" i="21"/>
  <c r="X49" i="21"/>
  <c r="Q60" i="21"/>
  <c r="J64" i="21"/>
  <c r="R64" i="21"/>
  <c r="O187" i="21"/>
  <c r="O211" i="21" s="1"/>
  <c r="L210" i="21"/>
  <c r="T210" i="21"/>
  <c r="P41" i="21"/>
  <c r="J43" i="21"/>
  <c r="R43" i="21"/>
  <c r="K64" i="21"/>
  <c r="S64" i="21"/>
  <c r="P187" i="21"/>
  <c r="P211" i="21" s="1"/>
  <c r="R189" i="21"/>
  <c r="M210" i="21"/>
  <c r="L64" i="21"/>
  <c r="T64" i="21"/>
  <c r="L43" i="21"/>
  <c r="T43" i="21"/>
  <c r="L189" i="21"/>
  <c r="T189" i="21"/>
  <c r="T54" i="32" s="1"/>
  <c r="M206" i="21"/>
  <c r="M212" i="21" s="1"/>
  <c r="S430" i="21" l="1"/>
  <c r="L429" i="21"/>
  <c r="R429" i="21"/>
  <c r="S429" i="21"/>
  <c r="L430" i="21"/>
  <c r="S410" i="21"/>
  <c r="K429" i="21"/>
  <c r="P429" i="21"/>
  <c r="K410" i="21"/>
  <c r="K430" i="21"/>
  <c r="P410" i="21"/>
  <c r="T429" i="21"/>
  <c r="N429" i="21"/>
  <c r="J430" i="21"/>
  <c r="P408" i="21"/>
  <c r="O408" i="21"/>
  <c r="O429" i="21"/>
  <c r="U425" i="21"/>
  <c r="R430" i="21"/>
  <c r="J408" i="21"/>
  <c r="T53" i="32"/>
  <c r="T410" i="21"/>
  <c r="L53" i="32"/>
  <c r="L410" i="21"/>
  <c r="J53" i="32"/>
  <c r="Q53" i="32"/>
  <c r="Q410" i="21"/>
  <c r="O53" i="32"/>
  <c r="O410" i="21"/>
  <c r="Q65" i="21"/>
  <c r="Q430" i="21" s="1"/>
  <c r="Q408" i="21"/>
  <c r="U406" i="21"/>
  <c r="M408" i="21"/>
  <c r="N65" i="21"/>
  <c r="N430" i="21" s="1"/>
  <c r="N408" i="21"/>
  <c r="Q429" i="21"/>
  <c r="T430" i="21"/>
  <c r="M429" i="21"/>
  <c r="R53" i="32"/>
  <c r="R410" i="21"/>
  <c r="M431" i="21"/>
  <c r="R354" i="21"/>
  <c r="R356" i="21"/>
  <c r="O354" i="21"/>
  <c r="O356" i="21"/>
  <c r="N354" i="21"/>
  <c r="N356" i="21"/>
  <c r="Q354" i="21"/>
  <c r="Q356" i="21"/>
  <c r="M354" i="21"/>
  <c r="M356" i="21"/>
  <c r="P354" i="21"/>
  <c r="P356" i="21"/>
  <c r="K354" i="21"/>
  <c r="K356" i="21"/>
  <c r="T354" i="21"/>
  <c r="T356" i="21"/>
  <c r="J354" i="21"/>
  <c r="J356" i="21"/>
  <c r="L354" i="21"/>
  <c r="L356" i="21"/>
  <c r="S354" i="21"/>
  <c r="S356" i="21"/>
  <c r="W185" i="21"/>
  <c r="X185" i="21" s="1"/>
  <c r="P66" i="21"/>
  <c r="K212" i="21"/>
  <c r="K218" i="21" s="1"/>
  <c r="N218" i="21"/>
  <c r="Q218" i="21"/>
  <c r="L212" i="21"/>
  <c r="L218" i="21" s="1"/>
  <c r="L54" i="32"/>
  <c r="P212" i="21"/>
  <c r="P54" i="32"/>
  <c r="R212" i="21"/>
  <c r="R218" i="21" s="1"/>
  <c r="R54" i="32"/>
  <c r="J189" i="21"/>
  <c r="J54" i="32" s="1"/>
  <c r="J210" i="21"/>
  <c r="W210" i="21" s="1"/>
  <c r="X210" i="21" s="1"/>
  <c r="S212" i="21"/>
  <c r="S218" i="21" s="1"/>
  <c r="S54" i="32"/>
  <c r="O212" i="21"/>
  <c r="O218" i="21" s="1"/>
  <c r="O54" i="32"/>
  <c r="U210" i="21"/>
  <c r="W187" i="21"/>
  <c r="X187" i="21" s="1"/>
  <c r="N53" i="32"/>
  <c r="N66" i="21"/>
  <c r="S66" i="21"/>
  <c r="S53" i="32"/>
  <c r="P53" i="32"/>
  <c r="K66" i="21"/>
  <c r="K53" i="32"/>
  <c r="P65" i="21"/>
  <c r="P430" i="21" s="1"/>
  <c r="W65" i="21"/>
  <c r="X65" i="21" s="1"/>
  <c r="T212" i="21"/>
  <c r="T218" i="21" s="1"/>
  <c r="W211" i="21"/>
  <c r="X211" i="21" s="1"/>
  <c r="U60" i="21"/>
  <c r="L66" i="21"/>
  <c r="O66" i="21"/>
  <c r="U187" i="21"/>
  <c r="W43" i="21"/>
  <c r="X43" i="21" s="1"/>
  <c r="T66" i="21"/>
  <c r="W64" i="21"/>
  <c r="X64" i="21" s="1"/>
  <c r="U64" i="21"/>
  <c r="M65" i="21"/>
  <c r="M430" i="21" s="1"/>
  <c r="U211" i="21"/>
  <c r="R66" i="21"/>
  <c r="Q66" i="21"/>
  <c r="Q431" i="21" s="1"/>
  <c r="U189" i="21"/>
  <c r="U41" i="21"/>
  <c r="U43" i="21"/>
  <c r="J66" i="21"/>
  <c r="O65" i="21"/>
  <c r="O430" i="21" s="1"/>
  <c r="M218" i="21"/>
  <c r="R431" i="21" l="1"/>
  <c r="R437" i="21" s="1"/>
  <c r="O431" i="21"/>
  <c r="O437" i="21" s="1"/>
  <c r="S431" i="21"/>
  <c r="S437" i="21" s="1"/>
  <c r="K431" i="21"/>
  <c r="K437" i="21" s="1"/>
  <c r="U408" i="21"/>
  <c r="P431" i="21"/>
  <c r="P437" i="21" s="1"/>
  <c r="Q437" i="21"/>
  <c r="U410" i="21"/>
  <c r="M437" i="21"/>
  <c r="T72" i="21"/>
  <c r="T431" i="21"/>
  <c r="T437" i="21" s="1"/>
  <c r="N72" i="21"/>
  <c r="N431" i="21"/>
  <c r="N437" i="21" s="1"/>
  <c r="J429" i="21"/>
  <c r="J410" i="21"/>
  <c r="L431" i="21"/>
  <c r="L437" i="21" s="1"/>
  <c r="U429" i="21"/>
  <c r="T379" i="21"/>
  <c r="T50" i="32" s="1"/>
  <c r="Q379" i="21"/>
  <c r="Q50" i="32" s="1"/>
  <c r="T378" i="21"/>
  <c r="Q378" i="21"/>
  <c r="K379" i="21"/>
  <c r="K50" i="32" s="1"/>
  <c r="N379" i="21"/>
  <c r="N50" i="32" s="1"/>
  <c r="S378" i="21"/>
  <c r="K378" i="21"/>
  <c r="N378" i="21"/>
  <c r="P379" i="21"/>
  <c r="P50" i="32" s="1"/>
  <c r="O379" i="21"/>
  <c r="O50" i="32" s="1"/>
  <c r="L379" i="21"/>
  <c r="L50" i="32" s="1"/>
  <c r="L378" i="21"/>
  <c r="P378" i="21"/>
  <c r="O378" i="21"/>
  <c r="J379" i="21"/>
  <c r="M379" i="21"/>
  <c r="M50" i="32" s="1"/>
  <c r="R379" i="21"/>
  <c r="R50" i="32" s="1"/>
  <c r="S379" i="21"/>
  <c r="S50" i="32" s="1"/>
  <c r="J378" i="21"/>
  <c r="M378" i="21"/>
  <c r="R378" i="21"/>
  <c r="U356" i="21"/>
  <c r="U354" i="21"/>
  <c r="W356" i="21"/>
  <c r="X356" i="21" s="1"/>
  <c r="W354" i="21"/>
  <c r="W388" i="33" s="1"/>
  <c r="W189" i="21"/>
  <c r="X189" i="21" s="1"/>
  <c r="J212" i="21"/>
  <c r="J431" i="21" s="1"/>
  <c r="S72" i="21"/>
  <c r="U212" i="21"/>
  <c r="P218" i="21"/>
  <c r="K72" i="21"/>
  <c r="U65" i="21"/>
  <c r="U430" i="21" s="1"/>
  <c r="P72" i="21"/>
  <c r="Q72" i="21"/>
  <c r="R72" i="21"/>
  <c r="U66" i="21"/>
  <c r="O72" i="21"/>
  <c r="L72" i="21"/>
  <c r="M72" i="21"/>
  <c r="W66" i="21"/>
  <c r="X66" i="21" s="1"/>
  <c r="B603" i="33"/>
  <c r="B602" i="33"/>
  <c r="B601" i="33"/>
  <c r="B600" i="33"/>
  <c r="B599" i="33"/>
  <c r="C598" i="33"/>
  <c r="D598" i="33"/>
  <c r="E598" i="33"/>
  <c r="F598" i="33"/>
  <c r="G598" i="33"/>
  <c r="H598" i="33"/>
  <c r="I598" i="33"/>
  <c r="J598" i="33"/>
  <c r="K598" i="33"/>
  <c r="L598" i="33"/>
  <c r="B598" i="33"/>
  <c r="X354" i="21" l="1"/>
  <c r="X388" i="33" s="1"/>
  <c r="J50" i="32"/>
  <c r="U431" i="21"/>
  <c r="K385" i="21"/>
  <c r="U378" i="21"/>
  <c r="Q385" i="21"/>
  <c r="O385" i="21"/>
  <c r="S385" i="21"/>
  <c r="W378" i="21"/>
  <c r="X378" i="21" s="1"/>
  <c r="T385" i="21"/>
  <c r="P385" i="21"/>
  <c r="R385" i="21"/>
  <c r="L385" i="21"/>
  <c r="N385" i="21"/>
  <c r="W379" i="21"/>
  <c r="X379" i="21" s="1"/>
  <c r="M385" i="21"/>
  <c r="U379" i="21"/>
  <c r="W212" i="21"/>
  <c r="X212" i="21" s="1"/>
  <c r="U385" i="21" l="1"/>
  <c r="B39" i="33"/>
  <c r="W65" i="13" l="1"/>
  <c r="B82" i="13" s="1"/>
  <c r="K65" i="13"/>
  <c r="K82" i="13" s="1"/>
  <c r="L64" i="13"/>
  <c r="B65" i="13" l="1"/>
  <c r="B64" i="13"/>
  <c r="B92" i="14"/>
  <c r="B62" i="33" s="1"/>
  <c r="B91" i="14"/>
  <c r="B63" i="14"/>
  <c r="B64" i="14"/>
  <c r="L34" i="33"/>
  <c r="O34" i="33"/>
  <c r="P34" i="33"/>
  <c r="M34" i="33"/>
  <c r="N34" i="33"/>
  <c r="Q34" i="33"/>
  <c r="K34" i="33"/>
  <c r="J64" i="14"/>
  <c r="K81" i="13"/>
  <c r="K87" i="13" s="1"/>
  <c r="W82" i="13"/>
  <c r="W83" i="13"/>
  <c r="B34" i="33" s="1"/>
  <c r="J63" i="14" l="1"/>
  <c r="J74" i="32"/>
  <c r="J70" i="32"/>
  <c r="J66" i="32"/>
  <c r="B579" i="33" l="1"/>
  <c r="C579" i="33"/>
  <c r="D579" i="33"/>
  <c r="E579" i="33"/>
  <c r="F579" i="33"/>
  <c r="H579" i="33"/>
  <c r="I579" i="33"/>
  <c r="J579" i="33"/>
  <c r="K579" i="33"/>
  <c r="B580" i="33"/>
  <c r="C580" i="33"/>
  <c r="D580" i="33"/>
  <c r="E580" i="33"/>
  <c r="F580" i="33"/>
  <c r="H580" i="33"/>
  <c r="I580" i="33"/>
  <c r="J580" i="33"/>
  <c r="K580" i="33"/>
  <c r="B585" i="33"/>
  <c r="C585" i="33"/>
  <c r="D585" i="33"/>
  <c r="E585" i="33"/>
  <c r="F585" i="33"/>
  <c r="H585" i="33"/>
  <c r="I585" i="33"/>
  <c r="J585" i="33"/>
  <c r="K585" i="33"/>
  <c r="B586" i="33"/>
  <c r="C586" i="33"/>
  <c r="D586" i="33"/>
  <c r="E586" i="33"/>
  <c r="F586" i="33"/>
  <c r="H586" i="33"/>
  <c r="I586" i="33"/>
  <c r="J586" i="33"/>
  <c r="K586" i="33"/>
  <c r="B587" i="33"/>
  <c r="C587" i="33"/>
  <c r="D587" i="33"/>
  <c r="E587" i="33"/>
  <c r="F587" i="33"/>
  <c r="H587" i="33"/>
  <c r="I587" i="33"/>
  <c r="J587" i="33"/>
  <c r="K587" i="33"/>
  <c r="B588" i="33"/>
  <c r="C588" i="33"/>
  <c r="D588" i="33"/>
  <c r="E588" i="33"/>
  <c r="F588" i="33"/>
  <c r="H588" i="33"/>
  <c r="I588" i="33"/>
  <c r="J588" i="33"/>
  <c r="K588" i="33"/>
  <c r="B589" i="33"/>
  <c r="C589" i="33"/>
  <c r="D589" i="33"/>
  <c r="E589" i="33"/>
  <c r="F589" i="33"/>
  <c r="H589" i="33"/>
  <c r="I589" i="33"/>
  <c r="J589" i="33"/>
  <c r="K589" i="33"/>
  <c r="B590" i="33"/>
  <c r="C590" i="33"/>
  <c r="D590" i="33"/>
  <c r="E590" i="33"/>
  <c r="F590" i="33"/>
  <c r="H590" i="33"/>
  <c r="I590" i="33"/>
  <c r="J590" i="33"/>
  <c r="K590" i="33"/>
  <c r="B591" i="33"/>
  <c r="C591" i="33"/>
  <c r="D591" i="33"/>
  <c r="E591" i="33"/>
  <c r="F591" i="33"/>
  <c r="H591" i="33"/>
  <c r="I591" i="33"/>
  <c r="J591" i="33"/>
  <c r="K591" i="33"/>
  <c r="B574" i="33"/>
  <c r="C574" i="33"/>
  <c r="D574" i="33"/>
  <c r="E574" i="33"/>
  <c r="F574" i="33"/>
  <c r="H574" i="33"/>
  <c r="I574" i="33"/>
  <c r="J574" i="33"/>
  <c r="K574" i="33"/>
  <c r="B575" i="33"/>
  <c r="C575" i="33"/>
  <c r="D575" i="33"/>
  <c r="E575" i="33"/>
  <c r="F575" i="33"/>
  <c r="H575" i="33"/>
  <c r="I575" i="33"/>
  <c r="J575" i="33"/>
  <c r="K575" i="33"/>
  <c r="B576" i="33"/>
  <c r="C576" i="33"/>
  <c r="D576" i="33"/>
  <c r="E576" i="33"/>
  <c r="F576" i="33"/>
  <c r="H576" i="33"/>
  <c r="I576" i="33"/>
  <c r="J576" i="33"/>
  <c r="K576" i="33"/>
  <c r="B577" i="33"/>
  <c r="C577" i="33"/>
  <c r="D577" i="33"/>
  <c r="E577" i="33"/>
  <c r="F577" i="33"/>
  <c r="H577" i="33"/>
  <c r="I577" i="33"/>
  <c r="J577" i="33"/>
  <c r="K577" i="33"/>
  <c r="B578" i="33"/>
  <c r="C578" i="33"/>
  <c r="D578" i="33"/>
  <c r="E578" i="33"/>
  <c r="F578" i="33"/>
  <c r="H578" i="33"/>
  <c r="I578" i="33"/>
  <c r="J578" i="33"/>
  <c r="K578" i="33"/>
  <c r="B548" i="33"/>
  <c r="C548" i="33"/>
  <c r="D548" i="33"/>
  <c r="E548" i="33"/>
  <c r="F548" i="33"/>
  <c r="H548" i="33"/>
  <c r="I548" i="33"/>
  <c r="J548" i="33"/>
  <c r="K548" i="33"/>
  <c r="B549" i="33"/>
  <c r="C549" i="33"/>
  <c r="D549" i="33"/>
  <c r="E549" i="33"/>
  <c r="F549" i="33"/>
  <c r="H549" i="33"/>
  <c r="I549" i="33"/>
  <c r="J549" i="33"/>
  <c r="K549" i="33"/>
  <c r="B550" i="33"/>
  <c r="C550" i="33"/>
  <c r="D550" i="33"/>
  <c r="E550" i="33"/>
  <c r="F550" i="33"/>
  <c r="H550" i="33"/>
  <c r="I550" i="33"/>
  <c r="J550" i="33"/>
  <c r="K550" i="33"/>
  <c r="B551" i="33"/>
  <c r="C551" i="33"/>
  <c r="D551" i="33"/>
  <c r="E551" i="33"/>
  <c r="F551" i="33"/>
  <c r="H551" i="33"/>
  <c r="I551" i="33"/>
  <c r="J551" i="33"/>
  <c r="K551" i="33"/>
  <c r="B552" i="33"/>
  <c r="C552" i="33"/>
  <c r="D552" i="33"/>
  <c r="E552" i="33"/>
  <c r="F552" i="33"/>
  <c r="H552" i="33"/>
  <c r="I552" i="33"/>
  <c r="J552" i="33"/>
  <c r="K552" i="33"/>
  <c r="B553" i="33"/>
  <c r="C553" i="33"/>
  <c r="D553" i="33"/>
  <c r="E553" i="33"/>
  <c r="F553" i="33"/>
  <c r="H553" i="33"/>
  <c r="I553" i="33"/>
  <c r="J553" i="33"/>
  <c r="K553" i="33"/>
  <c r="B554" i="33"/>
  <c r="C554" i="33"/>
  <c r="D554" i="33"/>
  <c r="E554" i="33"/>
  <c r="F554" i="33"/>
  <c r="H554" i="33"/>
  <c r="I554" i="33"/>
  <c r="J554" i="33"/>
  <c r="K554" i="33"/>
  <c r="B555" i="33"/>
  <c r="C555" i="33"/>
  <c r="D555" i="33"/>
  <c r="E555" i="33"/>
  <c r="F555" i="33"/>
  <c r="H555" i="33"/>
  <c r="I555" i="33"/>
  <c r="J555" i="33"/>
  <c r="K555" i="33"/>
  <c r="B556" i="33"/>
  <c r="C556" i="33"/>
  <c r="D556" i="33"/>
  <c r="E556" i="33"/>
  <c r="F556" i="33"/>
  <c r="H556" i="33"/>
  <c r="I556" i="33"/>
  <c r="J556" i="33"/>
  <c r="K556" i="33"/>
  <c r="B557" i="33"/>
  <c r="C557" i="33"/>
  <c r="D557" i="33"/>
  <c r="E557" i="33"/>
  <c r="F557" i="33"/>
  <c r="H557" i="33"/>
  <c r="I557" i="33"/>
  <c r="J557" i="33"/>
  <c r="K557" i="33"/>
  <c r="B558" i="33"/>
  <c r="C558" i="33"/>
  <c r="D558" i="33"/>
  <c r="E558" i="33"/>
  <c r="F558" i="33"/>
  <c r="H558" i="33"/>
  <c r="I558" i="33"/>
  <c r="J558" i="33"/>
  <c r="K558" i="33"/>
  <c r="B559" i="33"/>
  <c r="C559" i="33"/>
  <c r="D559" i="33"/>
  <c r="E559" i="33"/>
  <c r="F559" i="33"/>
  <c r="H559" i="33"/>
  <c r="I559" i="33"/>
  <c r="J559" i="33"/>
  <c r="K559" i="33"/>
  <c r="B560" i="33"/>
  <c r="C560" i="33"/>
  <c r="D560" i="33"/>
  <c r="E560" i="33"/>
  <c r="F560" i="33"/>
  <c r="H560" i="33"/>
  <c r="I560" i="33"/>
  <c r="J560" i="33"/>
  <c r="K560" i="33"/>
  <c r="B561" i="33"/>
  <c r="C561" i="33"/>
  <c r="D561" i="33"/>
  <c r="E561" i="33"/>
  <c r="F561" i="33"/>
  <c r="H561" i="33"/>
  <c r="I561" i="33"/>
  <c r="J561" i="33"/>
  <c r="K561" i="33"/>
  <c r="B562" i="33"/>
  <c r="C562" i="33"/>
  <c r="D562" i="33"/>
  <c r="E562" i="33"/>
  <c r="F562" i="33"/>
  <c r="H562" i="33"/>
  <c r="I562" i="33"/>
  <c r="J562" i="33"/>
  <c r="K562" i="33"/>
  <c r="B563" i="33"/>
  <c r="C563" i="33"/>
  <c r="D563" i="33"/>
  <c r="E563" i="33"/>
  <c r="F563" i="33"/>
  <c r="H563" i="33"/>
  <c r="I563" i="33"/>
  <c r="J563" i="33"/>
  <c r="K563" i="33"/>
  <c r="B564" i="33"/>
  <c r="C564" i="33"/>
  <c r="D564" i="33"/>
  <c r="E564" i="33"/>
  <c r="F564" i="33"/>
  <c r="H564" i="33"/>
  <c r="I564" i="33"/>
  <c r="J564" i="33"/>
  <c r="K564" i="33"/>
  <c r="B565" i="33"/>
  <c r="C565" i="33"/>
  <c r="D565" i="33"/>
  <c r="E565" i="33"/>
  <c r="F565" i="33"/>
  <c r="H565" i="33"/>
  <c r="I565" i="33"/>
  <c r="J565" i="33"/>
  <c r="K565" i="33"/>
  <c r="B566" i="33"/>
  <c r="C566" i="33"/>
  <c r="D566" i="33"/>
  <c r="E566" i="33"/>
  <c r="F566" i="33"/>
  <c r="H566" i="33"/>
  <c r="I566" i="33"/>
  <c r="J566" i="33"/>
  <c r="K566" i="33"/>
  <c r="B567" i="33"/>
  <c r="C567" i="33"/>
  <c r="D567" i="33"/>
  <c r="E567" i="33"/>
  <c r="F567" i="33"/>
  <c r="H567" i="33"/>
  <c r="I567" i="33"/>
  <c r="J567" i="33"/>
  <c r="K567" i="33"/>
  <c r="B568" i="33"/>
  <c r="C568" i="33"/>
  <c r="D568" i="33"/>
  <c r="E568" i="33"/>
  <c r="F568" i="33"/>
  <c r="H568" i="33"/>
  <c r="I568" i="33"/>
  <c r="J568" i="33"/>
  <c r="K568" i="33"/>
  <c r="B569" i="33"/>
  <c r="C569" i="33"/>
  <c r="D569" i="33"/>
  <c r="E569" i="33"/>
  <c r="F569" i="33"/>
  <c r="H569" i="33"/>
  <c r="I569" i="33"/>
  <c r="J569" i="33"/>
  <c r="K569" i="33"/>
  <c r="B538" i="33"/>
  <c r="C538" i="33"/>
  <c r="D538" i="33"/>
  <c r="E538" i="33"/>
  <c r="F538" i="33"/>
  <c r="H538" i="33"/>
  <c r="I538" i="33"/>
  <c r="J538" i="33"/>
  <c r="K538" i="33"/>
  <c r="B539" i="33"/>
  <c r="C539" i="33"/>
  <c r="D539" i="33"/>
  <c r="E539" i="33"/>
  <c r="F539" i="33"/>
  <c r="H539" i="33"/>
  <c r="I539" i="33"/>
  <c r="J539" i="33"/>
  <c r="K539" i="33"/>
  <c r="B540" i="33"/>
  <c r="C540" i="33"/>
  <c r="D540" i="33"/>
  <c r="E540" i="33"/>
  <c r="F540" i="33"/>
  <c r="H540" i="33"/>
  <c r="I540" i="33"/>
  <c r="J540" i="33"/>
  <c r="K540" i="33"/>
  <c r="B541" i="33"/>
  <c r="C541" i="33"/>
  <c r="D541" i="33"/>
  <c r="E541" i="33"/>
  <c r="F541" i="33"/>
  <c r="H541" i="33"/>
  <c r="I541" i="33"/>
  <c r="J541" i="33"/>
  <c r="K541" i="33"/>
  <c r="B542" i="33"/>
  <c r="C542" i="33"/>
  <c r="D542" i="33"/>
  <c r="E542" i="33"/>
  <c r="F542" i="33"/>
  <c r="H542" i="33"/>
  <c r="I542" i="33"/>
  <c r="J542" i="33"/>
  <c r="K542" i="33"/>
  <c r="B543" i="33"/>
  <c r="C543" i="33"/>
  <c r="D543" i="33"/>
  <c r="E543" i="33"/>
  <c r="F543" i="33"/>
  <c r="H543" i="33"/>
  <c r="I543" i="33"/>
  <c r="J543" i="33"/>
  <c r="K543" i="33"/>
  <c r="B526" i="33"/>
  <c r="C526" i="33"/>
  <c r="D526" i="33"/>
  <c r="E526" i="33"/>
  <c r="F526" i="33"/>
  <c r="H526" i="33"/>
  <c r="I526" i="33"/>
  <c r="J526" i="33"/>
  <c r="K526" i="33"/>
  <c r="B527" i="33"/>
  <c r="C527" i="33"/>
  <c r="D527" i="33"/>
  <c r="E527" i="33"/>
  <c r="F527" i="33"/>
  <c r="H527" i="33"/>
  <c r="I527" i="33"/>
  <c r="J527" i="33"/>
  <c r="K527" i="33"/>
  <c r="B528" i="33"/>
  <c r="C528" i="33"/>
  <c r="D528" i="33"/>
  <c r="E528" i="33"/>
  <c r="F528" i="33"/>
  <c r="H528" i="33"/>
  <c r="I528" i="33"/>
  <c r="J528" i="33"/>
  <c r="K528" i="33"/>
  <c r="B529" i="33"/>
  <c r="C529" i="33"/>
  <c r="D529" i="33"/>
  <c r="E529" i="33"/>
  <c r="F529" i="33"/>
  <c r="H529" i="33"/>
  <c r="I529" i="33"/>
  <c r="J529" i="33"/>
  <c r="K529" i="33"/>
  <c r="B530" i="33"/>
  <c r="C530" i="33"/>
  <c r="D530" i="33"/>
  <c r="E530" i="33"/>
  <c r="F530" i="33"/>
  <c r="H530" i="33"/>
  <c r="I530" i="33"/>
  <c r="J530" i="33"/>
  <c r="K530" i="33"/>
  <c r="B531" i="33"/>
  <c r="C531" i="33"/>
  <c r="D531" i="33"/>
  <c r="E531" i="33"/>
  <c r="F531" i="33"/>
  <c r="H531" i="33"/>
  <c r="I531" i="33"/>
  <c r="J531" i="33"/>
  <c r="K531" i="33"/>
  <c r="B532" i="33"/>
  <c r="C532" i="33"/>
  <c r="D532" i="33"/>
  <c r="E532" i="33"/>
  <c r="F532" i="33"/>
  <c r="H532" i="33"/>
  <c r="I532" i="33"/>
  <c r="J532" i="33"/>
  <c r="K532" i="33"/>
  <c r="B533" i="33"/>
  <c r="C533" i="33"/>
  <c r="D533" i="33"/>
  <c r="E533" i="33"/>
  <c r="F533" i="33"/>
  <c r="H533" i="33"/>
  <c r="I533" i="33"/>
  <c r="J533" i="33"/>
  <c r="K533" i="33"/>
  <c r="B534" i="33"/>
  <c r="C534" i="33"/>
  <c r="D534" i="33"/>
  <c r="E534" i="33"/>
  <c r="F534" i="33"/>
  <c r="H534" i="33"/>
  <c r="I534" i="33"/>
  <c r="J534" i="33"/>
  <c r="K534" i="33"/>
  <c r="B535" i="33"/>
  <c r="C535" i="33"/>
  <c r="D535" i="33"/>
  <c r="E535" i="33"/>
  <c r="F535" i="33"/>
  <c r="H535" i="33"/>
  <c r="I535" i="33"/>
  <c r="J535" i="33"/>
  <c r="K535" i="33"/>
  <c r="B536" i="33"/>
  <c r="C536" i="33"/>
  <c r="D536" i="33"/>
  <c r="E536" i="33"/>
  <c r="F536" i="33"/>
  <c r="H536" i="33"/>
  <c r="I536" i="33"/>
  <c r="J536" i="33"/>
  <c r="K536" i="33"/>
  <c r="B537" i="33"/>
  <c r="C537" i="33"/>
  <c r="D537" i="33"/>
  <c r="E537" i="33"/>
  <c r="F537" i="33"/>
  <c r="H537" i="33"/>
  <c r="I537" i="33"/>
  <c r="J537" i="33"/>
  <c r="K537" i="33"/>
  <c r="C584" i="33" l="1"/>
  <c r="B584" i="33"/>
  <c r="C583" i="33"/>
  <c r="B583" i="33"/>
  <c r="C582" i="33"/>
  <c r="B582" i="33"/>
  <c r="K584" i="33"/>
  <c r="J584" i="33"/>
  <c r="I584" i="33"/>
  <c r="H584" i="33"/>
  <c r="F584" i="33"/>
  <c r="E584" i="33"/>
  <c r="D584" i="33"/>
  <c r="K583" i="33"/>
  <c r="J583" i="33"/>
  <c r="I583" i="33"/>
  <c r="H583" i="33"/>
  <c r="F583" i="33"/>
  <c r="E583" i="33"/>
  <c r="D583" i="33"/>
  <c r="K582" i="33"/>
  <c r="J582" i="33"/>
  <c r="I582" i="33"/>
  <c r="H582" i="33"/>
  <c r="F582" i="33"/>
  <c r="E582" i="33"/>
  <c r="D582" i="33"/>
  <c r="C573" i="33"/>
  <c r="B573" i="33"/>
  <c r="C572" i="33"/>
  <c r="B572" i="33"/>
  <c r="C571" i="33"/>
  <c r="B571" i="33"/>
  <c r="K573" i="33"/>
  <c r="J573" i="33"/>
  <c r="I573" i="33"/>
  <c r="H573" i="33"/>
  <c r="F573" i="33"/>
  <c r="E573" i="33"/>
  <c r="D573" i="33"/>
  <c r="K572" i="33"/>
  <c r="J572" i="33"/>
  <c r="I572" i="33"/>
  <c r="H572" i="33"/>
  <c r="F572" i="33"/>
  <c r="E572" i="33"/>
  <c r="D572" i="33"/>
  <c r="K571" i="33"/>
  <c r="J571" i="33"/>
  <c r="I571" i="33"/>
  <c r="H571" i="33"/>
  <c r="F571" i="33"/>
  <c r="E571" i="33"/>
  <c r="D571" i="33"/>
  <c r="C547" i="33"/>
  <c r="B547" i="33"/>
  <c r="C546" i="33"/>
  <c r="B546" i="33"/>
  <c r="C545" i="33"/>
  <c r="B545" i="33"/>
  <c r="K547" i="33"/>
  <c r="J547" i="33"/>
  <c r="I547" i="33"/>
  <c r="H547" i="33"/>
  <c r="F547" i="33"/>
  <c r="E547" i="33"/>
  <c r="D547" i="33"/>
  <c r="K546" i="33"/>
  <c r="J546" i="33"/>
  <c r="I546" i="33"/>
  <c r="H546" i="33"/>
  <c r="F546" i="33"/>
  <c r="E546" i="33"/>
  <c r="D546" i="33"/>
  <c r="K545" i="33"/>
  <c r="J545" i="33"/>
  <c r="I545" i="33"/>
  <c r="H545" i="33"/>
  <c r="F545" i="33"/>
  <c r="E545" i="33"/>
  <c r="D545" i="33"/>
  <c r="K525" i="33"/>
  <c r="J525" i="33"/>
  <c r="I525" i="33"/>
  <c r="H525" i="33"/>
  <c r="F525" i="33"/>
  <c r="E525" i="33"/>
  <c r="D525" i="33"/>
  <c r="C525" i="33"/>
  <c r="B525" i="33"/>
  <c r="K524" i="33"/>
  <c r="J524" i="33"/>
  <c r="I524" i="33"/>
  <c r="H524" i="33"/>
  <c r="F524" i="33"/>
  <c r="E524" i="33"/>
  <c r="D524" i="33"/>
  <c r="C524" i="33"/>
  <c r="B524" i="33"/>
  <c r="K41" i="3"/>
  <c r="J145" i="33" l="1"/>
  <c r="K145" i="33"/>
  <c r="L145" i="33"/>
  <c r="M145" i="33"/>
  <c r="N145" i="33"/>
  <c r="O145" i="33"/>
  <c r="P145" i="33"/>
  <c r="Q145" i="33"/>
  <c r="J103" i="33"/>
  <c r="K103" i="33"/>
  <c r="L103" i="33"/>
  <c r="M103" i="33"/>
  <c r="N103" i="33"/>
  <c r="O103" i="33"/>
  <c r="P103" i="33"/>
  <c r="Q103" i="33"/>
  <c r="C120" i="33"/>
  <c r="J120" i="33"/>
  <c r="K120" i="33"/>
  <c r="L120" i="33"/>
  <c r="M120" i="33"/>
  <c r="N120" i="33"/>
  <c r="O120" i="33"/>
  <c r="P120" i="33"/>
  <c r="Q120" i="33"/>
  <c r="C121" i="33"/>
  <c r="J121" i="33"/>
  <c r="K121" i="33"/>
  <c r="L121" i="33"/>
  <c r="M121" i="33"/>
  <c r="N121" i="33"/>
  <c r="O121" i="33"/>
  <c r="P121" i="33"/>
  <c r="Q121" i="33"/>
  <c r="B86" i="15" l="1"/>
  <c r="B87" i="15" s="1"/>
  <c r="B88" i="15" s="1"/>
  <c r="B89" i="15" s="1"/>
  <c r="B75" i="15"/>
  <c r="B49" i="15"/>
  <c r="B28" i="15"/>
  <c r="B29" i="15" s="1"/>
  <c r="B30" i="15" s="1"/>
  <c r="B31" i="15" s="1"/>
  <c r="B90" i="15" l="1"/>
  <c r="B158" i="33"/>
  <c r="B32" i="15"/>
  <c r="B104" i="33" s="1"/>
  <c r="B103" i="33"/>
  <c r="B76" i="15"/>
  <c r="B77" i="15" s="1"/>
  <c r="B78" i="15" s="1"/>
  <c r="B148" i="33" s="1"/>
  <c r="B145" i="33"/>
  <c r="B50" i="15"/>
  <c r="B120" i="33"/>
  <c r="G581" i="33"/>
  <c r="G570" i="33"/>
  <c r="G544" i="33"/>
  <c r="H592" i="33"/>
  <c r="F592" i="33"/>
  <c r="E592" i="33"/>
  <c r="H581" i="33"/>
  <c r="F581" i="33"/>
  <c r="E581" i="33"/>
  <c r="H570" i="33"/>
  <c r="F570" i="33"/>
  <c r="E570" i="33"/>
  <c r="E544" i="33"/>
  <c r="F544" i="33"/>
  <c r="H544" i="33"/>
  <c r="K544" i="33"/>
  <c r="C523" i="33"/>
  <c r="D523" i="33"/>
  <c r="E523" i="33"/>
  <c r="F523" i="33"/>
  <c r="G523" i="33"/>
  <c r="H523" i="33"/>
  <c r="I523" i="33"/>
  <c r="J523" i="33"/>
  <c r="K523" i="33"/>
  <c r="L523" i="33"/>
  <c r="B592" i="33"/>
  <c r="B581" i="33"/>
  <c r="B593" i="33"/>
  <c r="B570" i="33"/>
  <c r="B544" i="33"/>
  <c r="B523" i="33"/>
  <c r="B91" i="15" l="1"/>
  <c r="B159" i="33"/>
  <c r="B33" i="15"/>
  <c r="B79" i="15"/>
  <c r="B149" i="33" s="1"/>
  <c r="B51" i="15"/>
  <c r="B52" i="15" s="1"/>
  <c r="B53" i="15" s="1"/>
  <c r="B54" i="15" s="1"/>
  <c r="B55" i="15" s="1"/>
  <c r="B56" i="15" s="1"/>
  <c r="B121" i="33"/>
  <c r="B757" i="33"/>
  <c r="B756" i="33"/>
  <c r="B755" i="33"/>
  <c r="B754" i="33"/>
  <c r="B753" i="33"/>
  <c r="B752" i="33"/>
  <c r="B751" i="33"/>
  <c r="B750" i="33"/>
  <c r="B749" i="33"/>
  <c r="B748" i="33"/>
  <c r="B488" i="33"/>
  <c r="T490" i="33"/>
  <c r="S490" i="33"/>
  <c r="R490" i="33"/>
  <c r="Q490" i="33"/>
  <c r="P490" i="33"/>
  <c r="O490" i="33"/>
  <c r="N490" i="33"/>
  <c r="M490" i="33"/>
  <c r="L490" i="33"/>
  <c r="K490" i="33"/>
  <c r="J490" i="33"/>
  <c r="T489" i="33"/>
  <c r="S489" i="33"/>
  <c r="R489" i="33"/>
  <c r="Q489" i="33"/>
  <c r="P489" i="33"/>
  <c r="O489" i="33"/>
  <c r="N489" i="33"/>
  <c r="M489" i="33"/>
  <c r="L489" i="33"/>
  <c r="K489" i="33"/>
  <c r="J489" i="33"/>
  <c r="T486" i="33"/>
  <c r="S486" i="33"/>
  <c r="R486" i="33"/>
  <c r="Q486" i="33"/>
  <c r="P486" i="33"/>
  <c r="O486" i="33"/>
  <c r="N486" i="33"/>
  <c r="M486" i="33"/>
  <c r="L486" i="33"/>
  <c r="K486" i="33"/>
  <c r="J486" i="33"/>
  <c r="T485" i="33"/>
  <c r="S485" i="33"/>
  <c r="R485" i="33"/>
  <c r="Q485" i="33"/>
  <c r="P485" i="33"/>
  <c r="O485" i="33"/>
  <c r="N485" i="33"/>
  <c r="M485" i="33"/>
  <c r="L485" i="33"/>
  <c r="K485" i="33"/>
  <c r="J485" i="33"/>
  <c r="T482" i="33"/>
  <c r="S482" i="33"/>
  <c r="R482" i="33"/>
  <c r="Q482" i="33"/>
  <c r="P482" i="33"/>
  <c r="O482" i="33"/>
  <c r="N482" i="33"/>
  <c r="M482" i="33"/>
  <c r="L482" i="33"/>
  <c r="K482" i="33"/>
  <c r="J482" i="33"/>
  <c r="T481" i="33"/>
  <c r="S481" i="33"/>
  <c r="R481" i="33"/>
  <c r="Q481" i="33"/>
  <c r="P481" i="33"/>
  <c r="O481" i="33"/>
  <c r="N481" i="33"/>
  <c r="M481" i="33"/>
  <c r="L481" i="33"/>
  <c r="K481" i="33"/>
  <c r="J481" i="33"/>
  <c r="B480" i="33"/>
  <c r="B478" i="33"/>
  <c r="B469" i="33"/>
  <c r="T475" i="33"/>
  <c r="S475" i="33"/>
  <c r="R475" i="33"/>
  <c r="Q475" i="33"/>
  <c r="P475" i="33"/>
  <c r="O475" i="33"/>
  <c r="N475" i="33"/>
  <c r="M475" i="33"/>
  <c r="L475" i="33"/>
  <c r="K475" i="33"/>
  <c r="T474" i="33"/>
  <c r="S474" i="33"/>
  <c r="R474" i="33"/>
  <c r="Q474" i="33"/>
  <c r="P474" i="33"/>
  <c r="O474" i="33"/>
  <c r="N474" i="33"/>
  <c r="M474" i="33"/>
  <c r="L474" i="33"/>
  <c r="K474" i="33"/>
  <c r="J474" i="33"/>
  <c r="B464" i="33"/>
  <c r="N458" i="33"/>
  <c r="T787" i="33"/>
  <c r="S787" i="33"/>
  <c r="R787" i="33"/>
  <c r="Q787" i="33"/>
  <c r="P787" i="33"/>
  <c r="O787" i="33"/>
  <c r="N787" i="33"/>
  <c r="M787" i="33"/>
  <c r="L787" i="33"/>
  <c r="K787" i="33"/>
  <c r="T786" i="33"/>
  <c r="S786" i="33"/>
  <c r="R786" i="33"/>
  <c r="Q786" i="33"/>
  <c r="P786" i="33"/>
  <c r="O786" i="33"/>
  <c r="N786" i="33"/>
  <c r="M786" i="33"/>
  <c r="L786" i="33"/>
  <c r="K786" i="33"/>
  <c r="T784" i="33"/>
  <c r="S784" i="33"/>
  <c r="R784" i="33"/>
  <c r="Q784" i="33"/>
  <c r="P784" i="33"/>
  <c r="O784" i="33"/>
  <c r="N784" i="33"/>
  <c r="M784" i="33"/>
  <c r="L784" i="33"/>
  <c r="K784" i="33"/>
  <c r="T783" i="33"/>
  <c r="S783" i="33"/>
  <c r="R783" i="33"/>
  <c r="Q783" i="33"/>
  <c r="P783" i="33"/>
  <c r="O783" i="33"/>
  <c r="N783" i="33"/>
  <c r="M783" i="33"/>
  <c r="L783" i="33"/>
  <c r="K783" i="33"/>
  <c r="T781" i="33"/>
  <c r="S781" i="33"/>
  <c r="R781" i="33"/>
  <c r="Q781" i="33"/>
  <c r="P781" i="33"/>
  <c r="O781" i="33"/>
  <c r="N781" i="33"/>
  <c r="M781" i="33"/>
  <c r="L781" i="33"/>
  <c r="K781" i="33"/>
  <c r="T780" i="33"/>
  <c r="S780" i="33"/>
  <c r="R780" i="33"/>
  <c r="Q780" i="33"/>
  <c r="P780" i="33"/>
  <c r="O780" i="33"/>
  <c r="N780" i="33"/>
  <c r="M780" i="33"/>
  <c r="L780" i="33"/>
  <c r="K780" i="33"/>
  <c r="T778" i="33"/>
  <c r="S778" i="33"/>
  <c r="R778" i="33"/>
  <c r="Q778" i="33"/>
  <c r="P778" i="33"/>
  <c r="O778" i="33"/>
  <c r="N778" i="33"/>
  <c r="M778" i="33"/>
  <c r="L778" i="33"/>
  <c r="K778" i="33"/>
  <c r="T777" i="33"/>
  <c r="S777" i="33"/>
  <c r="R777" i="33"/>
  <c r="Q777" i="33"/>
  <c r="P777" i="33"/>
  <c r="O777" i="33"/>
  <c r="N777" i="33"/>
  <c r="M777" i="33"/>
  <c r="L777" i="33"/>
  <c r="K777" i="33"/>
  <c r="B785" i="33"/>
  <c r="B782" i="33"/>
  <c r="B779" i="33"/>
  <c r="B776" i="33"/>
  <c r="B775" i="33"/>
  <c r="B774" i="33"/>
  <c r="B773" i="33"/>
  <c r="B398" i="33"/>
  <c r="B385" i="33"/>
  <c r="T371" i="33"/>
  <c r="S371" i="33"/>
  <c r="R371" i="33"/>
  <c r="Q371" i="33"/>
  <c r="P371" i="33"/>
  <c r="O371" i="33"/>
  <c r="N371" i="33"/>
  <c r="M371" i="33"/>
  <c r="L371" i="33"/>
  <c r="K371" i="33"/>
  <c r="J371" i="33"/>
  <c r="T369" i="33"/>
  <c r="S369" i="33"/>
  <c r="R369" i="33"/>
  <c r="Q369" i="33"/>
  <c r="P369" i="33"/>
  <c r="O369" i="33"/>
  <c r="N369" i="33"/>
  <c r="M369" i="33"/>
  <c r="L369" i="33"/>
  <c r="K369" i="33"/>
  <c r="J369" i="33"/>
  <c r="T368" i="33"/>
  <c r="S368" i="33"/>
  <c r="R368" i="33"/>
  <c r="Q368" i="33"/>
  <c r="P368" i="33"/>
  <c r="O368" i="33"/>
  <c r="N368" i="33"/>
  <c r="M368" i="33"/>
  <c r="L368" i="33"/>
  <c r="K368" i="33"/>
  <c r="J368" i="33"/>
  <c r="B366" i="33"/>
  <c r="T352" i="33"/>
  <c r="S352" i="33"/>
  <c r="R352" i="33"/>
  <c r="Q352" i="33"/>
  <c r="P352" i="33"/>
  <c r="O352" i="33"/>
  <c r="N352" i="33"/>
  <c r="M352" i="33"/>
  <c r="L352" i="33"/>
  <c r="K352" i="33"/>
  <c r="J352" i="33"/>
  <c r="T350" i="33"/>
  <c r="S350" i="33"/>
  <c r="R350" i="33"/>
  <c r="Q350" i="33"/>
  <c r="P350" i="33"/>
  <c r="O350" i="33"/>
  <c r="N350" i="33"/>
  <c r="M350" i="33"/>
  <c r="L350" i="33"/>
  <c r="K350" i="33"/>
  <c r="J350" i="33"/>
  <c r="T349" i="33"/>
  <c r="S349" i="33"/>
  <c r="R349" i="33"/>
  <c r="Q349" i="33"/>
  <c r="P349" i="33"/>
  <c r="O349" i="33"/>
  <c r="N349" i="33"/>
  <c r="M349" i="33"/>
  <c r="L349" i="33"/>
  <c r="K349" i="33"/>
  <c r="J349" i="33"/>
  <c r="B362" i="33"/>
  <c r="B361" i="33"/>
  <c r="B360" i="33"/>
  <c r="B358" i="33"/>
  <c r="B355" i="33"/>
  <c r="B354" i="33"/>
  <c r="B353" i="33"/>
  <c r="B350" i="33"/>
  <c r="B349" i="33"/>
  <c r="B347" i="33"/>
  <c r="W345" i="33"/>
  <c r="W344" i="33"/>
  <c r="U344" i="33"/>
  <c r="B342" i="33"/>
  <c r="T337" i="33"/>
  <c r="S337" i="33"/>
  <c r="R337" i="33"/>
  <c r="Q337" i="33"/>
  <c r="P337" i="33"/>
  <c r="O337" i="33"/>
  <c r="N337" i="33"/>
  <c r="M337" i="33"/>
  <c r="L337" i="33"/>
  <c r="K337" i="33"/>
  <c r="J337" i="33"/>
  <c r="I337" i="33"/>
  <c r="T336" i="33"/>
  <c r="S336" i="33"/>
  <c r="R336" i="33"/>
  <c r="Q336" i="33"/>
  <c r="P336" i="33"/>
  <c r="O336" i="33"/>
  <c r="N336" i="33"/>
  <c r="M336" i="33"/>
  <c r="L336" i="33"/>
  <c r="K336" i="33"/>
  <c r="J336" i="33"/>
  <c r="I336" i="33"/>
  <c r="T335" i="33"/>
  <c r="S335" i="33"/>
  <c r="R335" i="33"/>
  <c r="Q335" i="33"/>
  <c r="P335" i="33"/>
  <c r="O335" i="33"/>
  <c r="N335" i="33"/>
  <c r="M335" i="33"/>
  <c r="L335" i="33"/>
  <c r="K335" i="33"/>
  <c r="J335" i="33"/>
  <c r="I335" i="33"/>
  <c r="T334" i="33"/>
  <c r="S334" i="33"/>
  <c r="R334" i="33"/>
  <c r="Q334" i="33"/>
  <c r="P334" i="33"/>
  <c r="O334" i="33"/>
  <c r="N334" i="33"/>
  <c r="M334" i="33"/>
  <c r="L334" i="33"/>
  <c r="K334" i="33"/>
  <c r="J334" i="33"/>
  <c r="I334" i="33"/>
  <c r="T331" i="33"/>
  <c r="S331" i="33"/>
  <c r="R331" i="33"/>
  <c r="Q331" i="33"/>
  <c r="P331" i="33"/>
  <c r="O331" i="33"/>
  <c r="N331" i="33"/>
  <c r="M331" i="33"/>
  <c r="L331" i="33"/>
  <c r="K331" i="33"/>
  <c r="J331" i="33"/>
  <c r="I331" i="33"/>
  <c r="T330" i="33"/>
  <c r="S330" i="33"/>
  <c r="R330" i="33"/>
  <c r="Q330" i="33"/>
  <c r="P330" i="33"/>
  <c r="O330" i="33"/>
  <c r="N330" i="33"/>
  <c r="M330" i="33"/>
  <c r="L330" i="33"/>
  <c r="K330" i="33"/>
  <c r="J330" i="33"/>
  <c r="I330" i="33"/>
  <c r="T329" i="33"/>
  <c r="S329" i="33"/>
  <c r="R329" i="33"/>
  <c r="Q329" i="33"/>
  <c r="P329" i="33"/>
  <c r="O329" i="33"/>
  <c r="N329" i="33"/>
  <c r="M329" i="33"/>
  <c r="L329" i="33"/>
  <c r="K329" i="33"/>
  <c r="J329" i="33"/>
  <c r="I329" i="33"/>
  <c r="T328" i="33"/>
  <c r="S328" i="33"/>
  <c r="R328" i="33"/>
  <c r="Q328" i="33"/>
  <c r="P328" i="33"/>
  <c r="O328" i="33"/>
  <c r="N328" i="33"/>
  <c r="M328" i="33"/>
  <c r="L328" i="33"/>
  <c r="K328" i="33"/>
  <c r="J328" i="33"/>
  <c r="I328" i="33"/>
  <c r="T327" i="33"/>
  <c r="S327" i="33"/>
  <c r="R327" i="33"/>
  <c r="Q327" i="33"/>
  <c r="P327" i="33"/>
  <c r="O327" i="33"/>
  <c r="N327" i="33"/>
  <c r="M327" i="33"/>
  <c r="L327" i="33"/>
  <c r="K327" i="33"/>
  <c r="J327" i="33"/>
  <c r="I319" i="33"/>
  <c r="I318" i="33"/>
  <c r="I317" i="33"/>
  <c r="I311" i="33"/>
  <c r="I310" i="33"/>
  <c r="I306" i="33"/>
  <c r="I305" i="33"/>
  <c r="C337" i="33"/>
  <c r="B337" i="33"/>
  <c r="C336" i="33"/>
  <c r="B336" i="33"/>
  <c r="C335" i="33"/>
  <c r="B335" i="33"/>
  <c r="C334" i="33"/>
  <c r="B334" i="33"/>
  <c r="B333" i="33"/>
  <c r="C331" i="33"/>
  <c r="B331" i="33"/>
  <c r="C330" i="33"/>
  <c r="B330" i="33"/>
  <c r="C329" i="33"/>
  <c r="B329" i="33"/>
  <c r="C328" i="33"/>
  <c r="B328" i="33"/>
  <c r="C327" i="33"/>
  <c r="B327" i="33"/>
  <c r="B326" i="33"/>
  <c r="B323" i="33"/>
  <c r="B320" i="33"/>
  <c r="B319" i="33"/>
  <c r="B318" i="33"/>
  <c r="B317" i="33"/>
  <c r="B316" i="33"/>
  <c r="B314" i="33"/>
  <c r="B312" i="33"/>
  <c r="B311" i="33"/>
  <c r="B310" i="33"/>
  <c r="B309" i="33"/>
  <c r="B307" i="33"/>
  <c r="B306" i="33"/>
  <c r="B305" i="33"/>
  <c r="B304" i="33"/>
  <c r="B301" i="33"/>
  <c r="B295" i="33"/>
  <c r="T757" i="33"/>
  <c r="S757" i="33"/>
  <c r="R757" i="33"/>
  <c r="Q757" i="33"/>
  <c r="P757" i="33"/>
  <c r="O757" i="33"/>
  <c r="T756" i="33"/>
  <c r="S756" i="33"/>
  <c r="R756" i="33"/>
  <c r="Q756" i="33"/>
  <c r="P756" i="33"/>
  <c r="O756" i="33"/>
  <c r="T755" i="33"/>
  <c r="S755" i="33"/>
  <c r="R755" i="33"/>
  <c r="Q755" i="33"/>
  <c r="P755" i="33"/>
  <c r="O755" i="33"/>
  <c r="T754" i="33"/>
  <c r="S754" i="33"/>
  <c r="R754" i="33"/>
  <c r="Q754" i="33"/>
  <c r="P754" i="33"/>
  <c r="O754" i="33"/>
  <c r="T753" i="33"/>
  <c r="S753" i="33"/>
  <c r="R753" i="33"/>
  <c r="Q753" i="33"/>
  <c r="P753" i="33"/>
  <c r="O753" i="33"/>
  <c r="T752" i="33"/>
  <c r="S752" i="33"/>
  <c r="R752" i="33"/>
  <c r="Q752" i="33"/>
  <c r="P752" i="33"/>
  <c r="O752" i="33"/>
  <c r="T751" i="33"/>
  <c r="S751" i="33"/>
  <c r="R751" i="33"/>
  <c r="Q751" i="33"/>
  <c r="P751" i="33"/>
  <c r="O751" i="33"/>
  <c r="T750" i="33"/>
  <c r="S750" i="33"/>
  <c r="R750" i="33"/>
  <c r="Q750" i="33"/>
  <c r="P750" i="33"/>
  <c r="O750" i="33"/>
  <c r="T749" i="33"/>
  <c r="S749" i="33"/>
  <c r="R749" i="33"/>
  <c r="Q749" i="33"/>
  <c r="P749" i="33"/>
  <c r="O749" i="33"/>
  <c r="T748" i="33"/>
  <c r="S748" i="33"/>
  <c r="R748" i="33"/>
  <c r="Q748" i="33"/>
  <c r="P748" i="33"/>
  <c r="O748" i="33"/>
  <c r="N748" i="33"/>
  <c r="M748" i="33"/>
  <c r="L748" i="33"/>
  <c r="K748" i="33"/>
  <c r="T742" i="33"/>
  <c r="S742" i="33"/>
  <c r="R742" i="33"/>
  <c r="Q742" i="33"/>
  <c r="P742" i="33"/>
  <c r="O742" i="33"/>
  <c r="T731" i="33"/>
  <c r="S731" i="33"/>
  <c r="R731" i="33"/>
  <c r="Q731" i="33"/>
  <c r="P731" i="33"/>
  <c r="O731" i="33"/>
  <c r="N731" i="33"/>
  <c r="M731" i="33"/>
  <c r="L731" i="33"/>
  <c r="K731" i="33"/>
  <c r="T730" i="33"/>
  <c r="S730" i="33"/>
  <c r="R730" i="33"/>
  <c r="Q730" i="33"/>
  <c r="P730" i="33"/>
  <c r="O730" i="33"/>
  <c r="N730" i="33"/>
  <c r="M730" i="33"/>
  <c r="L730" i="33"/>
  <c r="K730" i="33"/>
  <c r="T729" i="33"/>
  <c r="S729" i="33"/>
  <c r="R729" i="33"/>
  <c r="Q729" i="33"/>
  <c r="P729" i="33"/>
  <c r="O729" i="33"/>
  <c r="N729" i="33"/>
  <c r="M729" i="33"/>
  <c r="L729" i="33"/>
  <c r="K729" i="33"/>
  <c r="T728" i="33"/>
  <c r="S728" i="33"/>
  <c r="R728" i="33"/>
  <c r="Q728" i="33"/>
  <c r="P728" i="33"/>
  <c r="O728" i="33"/>
  <c r="N728" i="33"/>
  <c r="M728" i="33"/>
  <c r="L728" i="33"/>
  <c r="K728" i="33"/>
  <c r="T727" i="33"/>
  <c r="S727" i="33"/>
  <c r="R727" i="33"/>
  <c r="Q727" i="33"/>
  <c r="P727" i="33"/>
  <c r="O727" i="33"/>
  <c r="N727" i="33"/>
  <c r="M727" i="33"/>
  <c r="L727" i="33"/>
  <c r="K727" i="33"/>
  <c r="T726" i="33"/>
  <c r="S726" i="33"/>
  <c r="R726" i="33"/>
  <c r="Q726" i="33"/>
  <c r="P726" i="33"/>
  <c r="O726" i="33"/>
  <c r="N726" i="33"/>
  <c r="M726" i="33"/>
  <c r="L726" i="33"/>
  <c r="K726" i="33"/>
  <c r="T725" i="33"/>
  <c r="S725" i="33"/>
  <c r="R725" i="33"/>
  <c r="Q725" i="33"/>
  <c r="P725" i="33"/>
  <c r="O725" i="33"/>
  <c r="N725" i="33"/>
  <c r="M725" i="33"/>
  <c r="L725" i="33"/>
  <c r="K725" i="33"/>
  <c r="T724" i="33"/>
  <c r="S724" i="33"/>
  <c r="R724" i="33"/>
  <c r="Q724" i="33"/>
  <c r="P724" i="33"/>
  <c r="O724" i="33"/>
  <c r="N724" i="33"/>
  <c r="M724" i="33"/>
  <c r="L724" i="33"/>
  <c r="K724" i="33"/>
  <c r="T723" i="33"/>
  <c r="S723" i="33"/>
  <c r="R723" i="33"/>
  <c r="Q723" i="33"/>
  <c r="P723" i="33"/>
  <c r="O723" i="33"/>
  <c r="N723" i="33"/>
  <c r="M723" i="33"/>
  <c r="L723" i="33"/>
  <c r="K723" i="33"/>
  <c r="T722" i="33"/>
  <c r="S722" i="33"/>
  <c r="R722" i="33"/>
  <c r="Q722" i="33"/>
  <c r="P722" i="33"/>
  <c r="O722" i="33"/>
  <c r="N722" i="33"/>
  <c r="M722" i="33"/>
  <c r="L722" i="33"/>
  <c r="K722" i="33"/>
  <c r="T720" i="33"/>
  <c r="S720" i="33"/>
  <c r="R720" i="33"/>
  <c r="Q720" i="33"/>
  <c r="P720" i="33"/>
  <c r="O720" i="33"/>
  <c r="T689" i="33"/>
  <c r="S689" i="33"/>
  <c r="R689" i="33"/>
  <c r="Q689" i="33"/>
  <c r="P689" i="33"/>
  <c r="O689" i="33"/>
  <c r="N689" i="33"/>
  <c r="M689" i="33"/>
  <c r="L689" i="33"/>
  <c r="K689" i="33"/>
  <c r="T688" i="33"/>
  <c r="S688" i="33"/>
  <c r="R688" i="33"/>
  <c r="Q688" i="33"/>
  <c r="P688" i="33"/>
  <c r="O688" i="33"/>
  <c r="N688" i="33"/>
  <c r="M688" i="33"/>
  <c r="L688" i="33"/>
  <c r="K688" i="33"/>
  <c r="T687" i="33"/>
  <c r="S687" i="33"/>
  <c r="R687" i="33"/>
  <c r="Q687" i="33"/>
  <c r="P687" i="33"/>
  <c r="O687" i="33"/>
  <c r="N687" i="33"/>
  <c r="M687" i="33"/>
  <c r="L687" i="33"/>
  <c r="K687" i="33"/>
  <c r="T686" i="33"/>
  <c r="S686" i="33"/>
  <c r="R686" i="33"/>
  <c r="Q686" i="33"/>
  <c r="P686" i="33"/>
  <c r="O686" i="33"/>
  <c r="N686" i="33"/>
  <c r="M686" i="33"/>
  <c r="L686" i="33"/>
  <c r="K686" i="33"/>
  <c r="T685" i="33"/>
  <c r="S685" i="33"/>
  <c r="R685" i="33"/>
  <c r="Q685" i="33"/>
  <c r="P685" i="33"/>
  <c r="O685" i="33"/>
  <c r="N685" i="33"/>
  <c r="M685" i="33"/>
  <c r="L685" i="33"/>
  <c r="K685" i="33"/>
  <c r="T684" i="33"/>
  <c r="S684" i="33"/>
  <c r="R684" i="33"/>
  <c r="Q684" i="33"/>
  <c r="P684" i="33"/>
  <c r="O684" i="33"/>
  <c r="N684" i="33"/>
  <c r="M684" i="33"/>
  <c r="L684" i="33"/>
  <c r="K684" i="33"/>
  <c r="T683" i="33"/>
  <c r="S683" i="33"/>
  <c r="R683" i="33"/>
  <c r="Q683" i="33"/>
  <c r="P683" i="33"/>
  <c r="O683" i="33"/>
  <c r="N683" i="33"/>
  <c r="M683" i="33"/>
  <c r="L683" i="33"/>
  <c r="K683" i="33"/>
  <c r="T682" i="33"/>
  <c r="S682" i="33"/>
  <c r="R682" i="33"/>
  <c r="Q682" i="33"/>
  <c r="P682" i="33"/>
  <c r="O682" i="33"/>
  <c r="N682" i="33"/>
  <c r="M682" i="33"/>
  <c r="L682" i="33"/>
  <c r="K682" i="33"/>
  <c r="T681" i="33"/>
  <c r="S681" i="33"/>
  <c r="R681" i="33"/>
  <c r="Q681" i="33"/>
  <c r="P681" i="33"/>
  <c r="O681" i="33"/>
  <c r="N681" i="33"/>
  <c r="M681" i="33"/>
  <c r="L681" i="33"/>
  <c r="K681" i="33"/>
  <c r="T680" i="33"/>
  <c r="S680" i="33"/>
  <c r="R680" i="33"/>
  <c r="Q680" i="33"/>
  <c r="P680" i="33"/>
  <c r="O680" i="33"/>
  <c r="N680" i="33"/>
  <c r="M680" i="33"/>
  <c r="L680" i="33"/>
  <c r="K680" i="33"/>
  <c r="T679" i="33"/>
  <c r="S679" i="33"/>
  <c r="R679" i="33"/>
  <c r="Q679" i="33"/>
  <c r="P679" i="33"/>
  <c r="O679" i="33"/>
  <c r="N679" i="33"/>
  <c r="M679" i="33"/>
  <c r="L679" i="33"/>
  <c r="K679" i="33"/>
  <c r="T672" i="33"/>
  <c r="S672" i="33"/>
  <c r="R672" i="33"/>
  <c r="Q672" i="33"/>
  <c r="P672" i="33"/>
  <c r="O672" i="33"/>
  <c r="T671" i="33"/>
  <c r="S671" i="33"/>
  <c r="R671" i="33"/>
  <c r="Q671" i="33"/>
  <c r="P671" i="33"/>
  <c r="O671" i="33"/>
  <c r="T670" i="33"/>
  <c r="S670" i="33"/>
  <c r="R670" i="33"/>
  <c r="Q670" i="33"/>
  <c r="P670" i="33"/>
  <c r="O670" i="33"/>
  <c r="T669" i="33"/>
  <c r="S669" i="33"/>
  <c r="R669" i="33"/>
  <c r="Q669" i="33"/>
  <c r="P669" i="33"/>
  <c r="O669" i="33"/>
  <c r="T668" i="33"/>
  <c r="S668" i="33"/>
  <c r="R668" i="33"/>
  <c r="Q668" i="33"/>
  <c r="P668" i="33"/>
  <c r="O668" i="33"/>
  <c r="T667" i="33"/>
  <c r="S667" i="33"/>
  <c r="R667" i="33"/>
  <c r="Q667" i="33"/>
  <c r="P667" i="33"/>
  <c r="O667" i="33"/>
  <c r="T666" i="33"/>
  <c r="S666" i="33"/>
  <c r="R666" i="33"/>
  <c r="Q666" i="33"/>
  <c r="P666" i="33"/>
  <c r="O666" i="33"/>
  <c r="T665" i="33"/>
  <c r="S665" i="33"/>
  <c r="R665" i="33"/>
  <c r="Q665" i="33"/>
  <c r="P665" i="33"/>
  <c r="O665" i="33"/>
  <c r="T664" i="33"/>
  <c r="S664" i="33"/>
  <c r="R664" i="33"/>
  <c r="Q664" i="33"/>
  <c r="P664" i="33"/>
  <c r="O664" i="33"/>
  <c r="T663" i="33"/>
  <c r="S663" i="33"/>
  <c r="R663" i="33"/>
  <c r="Q663" i="33"/>
  <c r="P663" i="33"/>
  <c r="O663" i="33"/>
  <c r="T662" i="33"/>
  <c r="S662" i="33"/>
  <c r="R662" i="33"/>
  <c r="Q662" i="33"/>
  <c r="P662" i="33"/>
  <c r="O662" i="33"/>
  <c r="T661" i="33"/>
  <c r="S661" i="33"/>
  <c r="R661" i="33"/>
  <c r="Q661" i="33"/>
  <c r="P661" i="33"/>
  <c r="O661" i="33"/>
  <c r="T660" i="33"/>
  <c r="S660" i="33"/>
  <c r="R660" i="33"/>
  <c r="Q660" i="33"/>
  <c r="P660" i="33"/>
  <c r="O660" i="33"/>
  <c r="T659" i="33"/>
  <c r="S659" i="33"/>
  <c r="R659" i="33"/>
  <c r="Q659" i="33"/>
  <c r="P659" i="33"/>
  <c r="O659" i="33"/>
  <c r="T658" i="33"/>
  <c r="S658" i="33"/>
  <c r="R658" i="33"/>
  <c r="Q658" i="33"/>
  <c r="P658" i="33"/>
  <c r="O658" i="33"/>
  <c r="K658" i="33"/>
  <c r="T656" i="33"/>
  <c r="S656" i="33"/>
  <c r="R656" i="33"/>
  <c r="Q656" i="33"/>
  <c r="P656" i="33"/>
  <c r="O656" i="33"/>
  <c r="T655" i="33"/>
  <c r="S655" i="33"/>
  <c r="R655" i="33"/>
  <c r="Q655" i="33"/>
  <c r="P655" i="33"/>
  <c r="O655" i="33"/>
  <c r="T654" i="33"/>
  <c r="S654" i="33"/>
  <c r="R654" i="33"/>
  <c r="Q654" i="33"/>
  <c r="P654" i="33"/>
  <c r="O654" i="33"/>
  <c r="T653" i="33"/>
  <c r="S653" i="33"/>
  <c r="R653" i="33"/>
  <c r="Q653" i="33"/>
  <c r="P653" i="33"/>
  <c r="O653" i="33"/>
  <c r="T652" i="33"/>
  <c r="S652" i="33"/>
  <c r="R652" i="33"/>
  <c r="Q652" i="33"/>
  <c r="P652" i="33"/>
  <c r="O652" i="33"/>
  <c r="T651" i="33"/>
  <c r="S651" i="33"/>
  <c r="R651" i="33"/>
  <c r="Q651" i="33"/>
  <c r="P651" i="33"/>
  <c r="O651" i="33"/>
  <c r="T650" i="33"/>
  <c r="S650" i="33"/>
  <c r="R650" i="33"/>
  <c r="Q650" i="33"/>
  <c r="P650" i="33"/>
  <c r="O650" i="33"/>
  <c r="T649" i="33"/>
  <c r="S649" i="33"/>
  <c r="R649" i="33"/>
  <c r="Q649" i="33"/>
  <c r="P649" i="33"/>
  <c r="O649" i="33"/>
  <c r="T648" i="33"/>
  <c r="S648" i="33"/>
  <c r="R648" i="33"/>
  <c r="Q648" i="33"/>
  <c r="P648" i="33"/>
  <c r="O648" i="33"/>
  <c r="T647" i="33"/>
  <c r="S647" i="33"/>
  <c r="R647" i="33"/>
  <c r="Q647" i="33"/>
  <c r="P647" i="33"/>
  <c r="O647" i="33"/>
  <c r="T646" i="33"/>
  <c r="S646" i="33"/>
  <c r="R646" i="33"/>
  <c r="Q646" i="33"/>
  <c r="P646" i="33"/>
  <c r="O646" i="33"/>
  <c r="T645" i="33"/>
  <c r="S645" i="33"/>
  <c r="R645" i="33"/>
  <c r="Q645" i="33"/>
  <c r="P645" i="33"/>
  <c r="O645" i="33"/>
  <c r="T644" i="33"/>
  <c r="S644" i="33"/>
  <c r="R644" i="33"/>
  <c r="Q644" i="33"/>
  <c r="P644" i="33"/>
  <c r="O644" i="33"/>
  <c r="T643" i="33"/>
  <c r="S643" i="33"/>
  <c r="R643" i="33"/>
  <c r="Q643" i="33"/>
  <c r="P643" i="33"/>
  <c r="O643" i="33"/>
  <c r="T642" i="33"/>
  <c r="S642" i="33"/>
  <c r="R642" i="33"/>
  <c r="Q642" i="33"/>
  <c r="P642" i="33"/>
  <c r="O642" i="33"/>
  <c r="K642" i="33"/>
  <c r="B764" i="33"/>
  <c r="B763" i="33"/>
  <c r="B762" i="33"/>
  <c r="B747" i="33"/>
  <c r="B742" i="33"/>
  <c r="B731" i="33"/>
  <c r="B730" i="33"/>
  <c r="B729" i="33"/>
  <c r="B728" i="33"/>
  <c r="B727" i="33"/>
  <c r="B726" i="33"/>
  <c r="B725" i="33"/>
  <c r="B724" i="33"/>
  <c r="B723" i="33"/>
  <c r="B722" i="33"/>
  <c r="B721" i="33"/>
  <c r="B689" i="33"/>
  <c r="B688" i="33"/>
  <c r="B687" i="33"/>
  <c r="B686" i="33"/>
  <c r="B685" i="33"/>
  <c r="B684" i="33"/>
  <c r="B683" i="33"/>
  <c r="B682" i="33"/>
  <c r="B681" i="33"/>
  <c r="B680" i="33"/>
  <c r="B679" i="33"/>
  <c r="B678" i="33"/>
  <c r="B677" i="33"/>
  <c r="B674" i="33"/>
  <c r="B673" i="33"/>
  <c r="B672" i="33"/>
  <c r="B671" i="33"/>
  <c r="B670" i="33"/>
  <c r="B669" i="33"/>
  <c r="B668" i="33"/>
  <c r="B667" i="33"/>
  <c r="B666" i="33"/>
  <c r="B665" i="33"/>
  <c r="B664" i="33"/>
  <c r="B663" i="33"/>
  <c r="B662" i="33"/>
  <c r="B661" i="33"/>
  <c r="B660" i="33"/>
  <c r="B659" i="33"/>
  <c r="B658" i="33"/>
  <c r="B657" i="33"/>
  <c r="B656" i="33"/>
  <c r="B655" i="33"/>
  <c r="B654" i="33"/>
  <c r="B653" i="33"/>
  <c r="B652" i="33"/>
  <c r="B651" i="33"/>
  <c r="B650" i="33"/>
  <c r="B649" i="33"/>
  <c r="B648" i="33"/>
  <c r="B647" i="33"/>
  <c r="B646" i="33"/>
  <c r="B645" i="33"/>
  <c r="B644" i="33"/>
  <c r="B643" i="33"/>
  <c r="B642" i="33"/>
  <c r="B641" i="33"/>
  <c r="B640" i="33"/>
  <c r="B638" i="33"/>
  <c r="Q284" i="33"/>
  <c r="P284" i="33"/>
  <c r="O284" i="33"/>
  <c r="N284" i="33"/>
  <c r="M284" i="33"/>
  <c r="L284" i="33"/>
  <c r="Q283" i="33"/>
  <c r="P283" i="33"/>
  <c r="O283" i="33"/>
  <c r="N283" i="33"/>
  <c r="M283" i="33"/>
  <c r="L283" i="33"/>
  <c r="Q282" i="33"/>
  <c r="P282" i="33"/>
  <c r="O282" i="33"/>
  <c r="N282" i="33"/>
  <c r="M282" i="33"/>
  <c r="L282" i="33"/>
  <c r="Q281" i="33"/>
  <c r="P281" i="33"/>
  <c r="O281" i="33"/>
  <c r="N281" i="33"/>
  <c r="M281" i="33"/>
  <c r="L281" i="33"/>
  <c r="Q280" i="33"/>
  <c r="P280" i="33"/>
  <c r="O280" i="33"/>
  <c r="N280" i="33"/>
  <c r="M280" i="33"/>
  <c r="L280" i="33"/>
  <c r="Q279" i="33"/>
  <c r="P279" i="33"/>
  <c r="O279" i="33"/>
  <c r="N279" i="33"/>
  <c r="M279" i="33"/>
  <c r="L279" i="33"/>
  <c r="Q278" i="33"/>
  <c r="P278" i="33"/>
  <c r="O278" i="33"/>
  <c r="N278" i="33"/>
  <c r="M278" i="33"/>
  <c r="L278" i="33"/>
  <c r="Q277" i="33"/>
  <c r="P277" i="33"/>
  <c r="O277" i="33"/>
  <c r="N277" i="33"/>
  <c r="M277" i="33"/>
  <c r="L277" i="33"/>
  <c r="Q276" i="33"/>
  <c r="P276" i="33"/>
  <c r="O276" i="33"/>
  <c r="N276" i="33"/>
  <c r="M276" i="33"/>
  <c r="L276" i="33"/>
  <c r="Q275" i="33"/>
  <c r="P275" i="33"/>
  <c r="O275" i="33"/>
  <c r="N275" i="33"/>
  <c r="M275" i="33"/>
  <c r="L275" i="33"/>
  <c r="Q274" i="33"/>
  <c r="P274" i="33"/>
  <c r="O274" i="33"/>
  <c r="N274" i="33"/>
  <c r="M274" i="33"/>
  <c r="L274" i="33"/>
  <c r="Q273" i="33"/>
  <c r="P273" i="33"/>
  <c r="O273" i="33"/>
  <c r="N273" i="33"/>
  <c r="M273" i="33"/>
  <c r="L273" i="33"/>
  <c r="Q272" i="33"/>
  <c r="P272" i="33"/>
  <c r="O272" i="33"/>
  <c r="N272" i="33"/>
  <c r="M272" i="33"/>
  <c r="L272" i="33"/>
  <c r="Q271" i="33"/>
  <c r="P271" i="33"/>
  <c r="O271" i="33"/>
  <c r="N271" i="33"/>
  <c r="M271" i="33"/>
  <c r="L271" i="33"/>
  <c r="Q270" i="33"/>
  <c r="P270" i="33"/>
  <c r="O270" i="33"/>
  <c r="N270" i="33"/>
  <c r="M270" i="33"/>
  <c r="L270" i="33"/>
  <c r="Q269" i="33"/>
  <c r="P269" i="33"/>
  <c r="O269" i="33"/>
  <c r="N269" i="33"/>
  <c r="M269" i="33"/>
  <c r="L269" i="33"/>
  <c r="Q268" i="33"/>
  <c r="P268" i="33"/>
  <c r="O268" i="33"/>
  <c r="N268" i="33"/>
  <c r="M268" i="33"/>
  <c r="L268" i="33"/>
  <c r="Q267" i="33"/>
  <c r="P267" i="33"/>
  <c r="O267" i="33"/>
  <c r="N267" i="33"/>
  <c r="M267" i="33"/>
  <c r="L267" i="33"/>
  <c r="Q266" i="33"/>
  <c r="P266" i="33"/>
  <c r="O266" i="33"/>
  <c r="N266" i="33"/>
  <c r="M266" i="33"/>
  <c r="L266" i="33"/>
  <c r="Q265" i="33"/>
  <c r="P265" i="33"/>
  <c r="O265" i="33"/>
  <c r="N265" i="33"/>
  <c r="M265" i="33"/>
  <c r="L265" i="33"/>
  <c r="Q263" i="33"/>
  <c r="P263" i="33"/>
  <c r="O263" i="33"/>
  <c r="N263" i="33"/>
  <c r="M263" i="33"/>
  <c r="L263" i="33"/>
  <c r="Q262" i="33"/>
  <c r="P262" i="33"/>
  <c r="O262" i="33"/>
  <c r="N262" i="33"/>
  <c r="M262" i="33"/>
  <c r="L262" i="33"/>
  <c r="Q261" i="33"/>
  <c r="P261" i="33"/>
  <c r="O261" i="33"/>
  <c r="N261" i="33"/>
  <c r="M261" i="33"/>
  <c r="L261" i="33"/>
  <c r="Q260" i="33"/>
  <c r="P260" i="33"/>
  <c r="O260" i="33"/>
  <c r="N260" i="33"/>
  <c r="M260" i="33"/>
  <c r="L260" i="33"/>
  <c r="Q259" i="33"/>
  <c r="P259" i="33"/>
  <c r="O259" i="33"/>
  <c r="N259" i="33"/>
  <c r="M259" i="33"/>
  <c r="L259" i="33"/>
  <c r="Q258" i="33"/>
  <c r="P258" i="33"/>
  <c r="O258" i="33"/>
  <c r="N258" i="33"/>
  <c r="M258" i="33"/>
  <c r="L258" i="33"/>
  <c r="Q257" i="33"/>
  <c r="P257" i="33"/>
  <c r="O257" i="33"/>
  <c r="N257" i="33"/>
  <c r="M257" i="33"/>
  <c r="L257" i="33"/>
  <c r="Q256" i="33"/>
  <c r="P256" i="33"/>
  <c r="O256" i="33"/>
  <c r="N256" i="33"/>
  <c r="M256" i="33"/>
  <c r="L256" i="33"/>
  <c r="Q255" i="33"/>
  <c r="P255" i="33"/>
  <c r="O255" i="33"/>
  <c r="N255" i="33"/>
  <c r="M255" i="33"/>
  <c r="L255" i="33"/>
  <c r="Q254" i="33"/>
  <c r="P254" i="33"/>
  <c r="O254" i="33"/>
  <c r="N254" i="33"/>
  <c r="M254" i="33"/>
  <c r="L254" i="33"/>
  <c r="Q253" i="33"/>
  <c r="P253" i="33"/>
  <c r="O253" i="33"/>
  <c r="N253" i="33"/>
  <c r="M253" i="33"/>
  <c r="L253" i="33"/>
  <c r="Q252" i="33"/>
  <c r="P252" i="33"/>
  <c r="O252" i="33"/>
  <c r="N252" i="33"/>
  <c r="M252" i="33"/>
  <c r="L252" i="33"/>
  <c r="Q251" i="33"/>
  <c r="P251" i="33"/>
  <c r="O251" i="33"/>
  <c r="N251" i="33"/>
  <c r="M251" i="33"/>
  <c r="L251" i="33"/>
  <c r="Q250" i="33"/>
  <c r="P250" i="33"/>
  <c r="O250" i="33"/>
  <c r="N250" i="33"/>
  <c r="M250" i="33"/>
  <c r="L250" i="33"/>
  <c r="Q249" i="33"/>
  <c r="P249" i="33"/>
  <c r="O249" i="33"/>
  <c r="N249" i="33"/>
  <c r="M249" i="33"/>
  <c r="L249" i="33"/>
  <c r="Q248" i="33"/>
  <c r="P248" i="33"/>
  <c r="O248" i="33"/>
  <c r="N248" i="33"/>
  <c r="M248" i="33"/>
  <c r="L248" i="33"/>
  <c r="Q247" i="33"/>
  <c r="P247" i="33"/>
  <c r="O247" i="33"/>
  <c r="N247" i="33"/>
  <c r="M247" i="33"/>
  <c r="L247" i="33"/>
  <c r="Q246" i="33"/>
  <c r="P246" i="33"/>
  <c r="O246" i="33"/>
  <c r="N246" i="33"/>
  <c r="M246" i="33"/>
  <c r="L246" i="33"/>
  <c r="Q245" i="33"/>
  <c r="P245" i="33"/>
  <c r="O245" i="33"/>
  <c r="N245" i="33"/>
  <c r="M245" i="33"/>
  <c r="L245" i="33"/>
  <c r="Q244" i="33"/>
  <c r="P244" i="33"/>
  <c r="O244" i="33"/>
  <c r="N244" i="33"/>
  <c r="M244" i="33"/>
  <c r="L244" i="33"/>
  <c r="Q242" i="33"/>
  <c r="P242" i="33"/>
  <c r="O242" i="33"/>
  <c r="N242" i="33"/>
  <c r="M242" i="33"/>
  <c r="L242" i="33"/>
  <c r="Q241" i="33"/>
  <c r="P241" i="33"/>
  <c r="O241" i="33"/>
  <c r="N241" i="33"/>
  <c r="M241" i="33"/>
  <c r="L241" i="33"/>
  <c r="Q240" i="33"/>
  <c r="P240" i="33"/>
  <c r="O240" i="33"/>
  <c r="N240" i="33"/>
  <c r="M240" i="33"/>
  <c r="L240" i="33"/>
  <c r="Q239" i="33"/>
  <c r="P239" i="33"/>
  <c r="O239" i="33"/>
  <c r="N239" i="33"/>
  <c r="M239" i="33"/>
  <c r="L239" i="33"/>
  <c r="Q238" i="33"/>
  <c r="P238" i="33"/>
  <c r="O238" i="33"/>
  <c r="N238" i="33"/>
  <c r="M238" i="33"/>
  <c r="L238" i="33"/>
  <c r="Q237" i="33"/>
  <c r="P237" i="33"/>
  <c r="O237" i="33"/>
  <c r="N237" i="33"/>
  <c r="M237" i="33"/>
  <c r="L237" i="33"/>
  <c r="Q236" i="33"/>
  <c r="P236" i="33"/>
  <c r="O236" i="33"/>
  <c r="N236" i="33"/>
  <c r="M236" i="33"/>
  <c r="L236" i="33"/>
  <c r="Q235" i="33"/>
  <c r="P235" i="33"/>
  <c r="O235" i="33"/>
  <c r="N235" i="33"/>
  <c r="M235" i="33"/>
  <c r="L235" i="33"/>
  <c r="Q234" i="33"/>
  <c r="P234" i="33"/>
  <c r="O234" i="33"/>
  <c r="N234" i="33"/>
  <c r="M234" i="33"/>
  <c r="L234" i="33"/>
  <c r="Q233" i="33"/>
  <c r="P233" i="33"/>
  <c r="O233" i="33"/>
  <c r="N233" i="33"/>
  <c r="M233" i="33"/>
  <c r="L233" i="33"/>
  <c r="Q232" i="33"/>
  <c r="P232" i="33"/>
  <c r="O232" i="33"/>
  <c r="N232" i="33"/>
  <c r="M232" i="33"/>
  <c r="L232" i="33"/>
  <c r="Q231" i="33"/>
  <c r="P231" i="33"/>
  <c r="O231" i="33"/>
  <c r="N231" i="33"/>
  <c r="M231" i="33"/>
  <c r="L231" i="33"/>
  <c r="Q230" i="33"/>
  <c r="P230" i="33"/>
  <c r="O230" i="33"/>
  <c r="N230" i="33"/>
  <c r="M230" i="33"/>
  <c r="L230" i="33"/>
  <c r="Q229" i="33"/>
  <c r="P229" i="33"/>
  <c r="O229" i="33"/>
  <c r="N229" i="33"/>
  <c r="M229" i="33"/>
  <c r="L229" i="33"/>
  <c r="Q228" i="33"/>
  <c r="P228" i="33"/>
  <c r="O228" i="33"/>
  <c r="N228" i="33"/>
  <c r="M228" i="33"/>
  <c r="L228" i="33"/>
  <c r="Q227" i="33"/>
  <c r="P227" i="33"/>
  <c r="O227" i="33"/>
  <c r="N227" i="33"/>
  <c r="M227" i="33"/>
  <c r="L227" i="33"/>
  <c r="Q222" i="33"/>
  <c r="P222" i="33"/>
  <c r="O222" i="33"/>
  <c r="N222" i="33"/>
  <c r="M222" i="33"/>
  <c r="L222" i="33"/>
  <c r="Q221" i="33"/>
  <c r="P221" i="33"/>
  <c r="O221" i="33"/>
  <c r="N221" i="33"/>
  <c r="M221" i="33"/>
  <c r="L221" i="33"/>
  <c r="Q220" i="33"/>
  <c r="P220" i="33"/>
  <c r="O220" i="33"/>
  <c r="N220" i="33"/>
  <c r="M220" i="33"/>
  <c r="L220" i="33"/>
  <c r="Q219" i="33"/>
  <c r="P219" i="33"/>
  <c r="O219" i="33"/>
  <c r="N219" i="33"/>
  <c r="M219" i="33"/>
  <c r="L219" i="33"/>
  <c r="Q218" i="33"/>
  <c r="P218" i="33"/>
  <c r="O218" i="33"/>
  <c r="N218" i="33"/>
  <c r="M218" i="33"/>
  <c r="L218" i="33"/>
  <c r="Q217" i="33"/>
  <c r="P217" i="33"/>
  <c r="O217" i="33"/>
  <c r="N217" i="33"/>
  <c r="M217" i="33"/>
  <c r="L217" i="33"/>
  <c r="Q216" i="33"/>
  <c r="P216" i="33"/>
  <c r="O216" i="33"/>
  <c r="N216" i="33"/>
  <c r="M216" i="33"/>
  <c r="L216" i="33"/>
  <c r="Q215" i="33"/>
  <c r="P215" i="33"/>
  <c r="O215" i="33"/>
  <c r="N215" i="33"/>
  <c r="M215" i="33"/>
  <c r="L215" i="33"/>
  <c r="Q214" i="33"/>
  <c r="P214" i="33"/>
  <c r="O214" i="33"/>
  <c r="N214" i="33"/>
  <c r="M214" i="33"/>
  <c r="L214" i="33"/>
  <c r="Q213" i="33"/>
  <c r="P213" i="33"/>
  <c r="O213" i="33"/>
  <c r="N213" i="33"/>
  <c r="M213" i="33"/>
  <c r="L213" i="33"/>
  <c r="Q212" i="33"/>
  <c r="P212" i="33"/>
  <c r="O212" i="33"/>
  <c r="N212" i="33"/>
  <c r="M212" i="33"/>
  <c r="L212" i="33"/>
  <c r="Q211" i="33"/>
  <c r="P211" i="33"/>
  <c r="O211" i="33"/>
  <c r="N211" i="33"/>
  <c r="M211" i="33"/>
  <c r="L211" i="33"/>
  <c r="Q210" i="33"/>
  <c r="P210" i="33"/>
  <c r="O210" i="33"/>
  <c r="N210" i="33"/>
  <c r="M210" i="33"/>
  <c r="L210" i="33"/>
  <c r="Q209" i="33"/>
  <c r="P209" i="33"/>
  <c r="O209" i="33"/>
  <c r="N209" i="33"/>
  <c r="M209" i="33"/>
  <c r="L209" i="33"/>
  <c r="Q208" i="33"/>
  <c r="P208" i="33"/>
  <c r="O208" i="33"/>
  <c r="N208" i="33"/>
  <c r="M208" i="33"/>
  <c r="L208" i="33"/>
  <c r="Q207" i="33"/>
  <c r="P207" i="33"/>
  <c r="O207" i="33"/>
  <c r="N207" i="33"/>
  <c r="M207" i="33"/>
  <c r="L207" i="33"/>
  <c r="Q206" i="33"/>
  <c r="P206" i="33"/>
  <c r="O206" i="33"/>
  <c r="N206" i="33"/>
  <c r="M206" i="33"/>
  <c r="L206" i="33"/>
  <c r="Q205" i="33"/>
  <c r="P205" i="33"/>
  <c r="O205" i="33"/>
  <c r="N205" i="33"/>
  <c r="M205" i="33"/>
  <c r="L205" i="33"/>
  <c r="Q204" i="33"/>
  <c r="P204" i="33"/>
  <c r="O204" i="33"/>
  <c r="N204" i="33"/>
  <c r="M204" i="33"/>
  <c r="L204" i="33"/>
  <c r="Q203" i="33"/>
  <c r="P203" i="33"/>
  <c r="O203" i="33"/>
  <c r="N203" i="33"/>
  <c r="M203" i="33"/>
  <c r="L203" i="33"/>
  <c r="Q202" i="33"/>
  <c r="P202" i="33"/>
  <c r="O202" i="33"/>
  <c r="N202" i="33"/>
  <c r="M202" i="33"/>
  <c r="L202" i="33"/>
  <c r="Q201" i="33"/>
  <c r="P201" i="33"/>
  <c r="O201" i="33"/>
  <c r="N201" i="33"/>
  <c r="M201" i="33"/>
  <c r="L201" i="33"/>
  <c r="Q200" i="33"/>
  <c r="P200" i="33"/>
  <c r="O200" i="33"/>
  <c r="N200" i="33"/>
  <c r="M200" i="33"/>
  <c r="L200" i="33"/>
  <c r="Q199" i="33"/>
  <c r="P199" i="33"/>
  <c r="O199" i="33"/>
  <c r="N199" i="33"/>
  <c r="M199" i="33"/>
  <c r="L199" i="33"/>
  <c r="Q196" i="33"/>
  <c r="P196" i="33"/>
  <c r="O196" i="33"/>
  <c r="N196" i="33"/>
  <c r="M196" i="33"/>
  <c r="L196" i="33"/>
  <c r="Q195" i="33"/>
  <c r="P195" i="33"/>
  <c r="O195" i="33"/>
  <c r="N195" i="33"/>
  <c r="M195" i="33"/>
  <c r="L195" i="33"/>
  <c r="Q194" i="33"/>
  <c r="P194" i="33"/>
  <c r="O194" i="33"/>
  <c r="N194" i="33"/>
  <c r="M194" i="33"/>
  <c r="L194" i="33"/>
  <c r="Q193" i="33"/>
  <c r="P193" i="33"/>
  <c r="O193" i="33"/>
  <c r="N193" i="33"/>
  <c r="M193" i="33"/>
  <c r="L193" i="33"/>
  <c r="Q192" i="33"/>
  <c r="P192" i="33"/>
  <c r="O192" i="33"/>
  <c r="N192" i="33"/>
  <c r="M192" i="33"/>
  <c r="L192" i="33"/>
  <c r="Q191" i="33"/>
  <c r="P191" i="33"/>
  <c r="O191" i="33"/>
  <c r="N191" i="33"/>
  <c r="M191" i="33"/>
  <c r="L191" i="33"/>
  <c r="Q190" i="33"/>
  <c r="P190" i="33"/>
  <c r="O190" i="33"/>
  <c r="N190" i="33"/>
  <c r="M190" i="33"/>
  <c r="L190" i="33"/>
  <c r="Q189" i="33"/>
  <c r="P189" i="33"/>
  <c r="O189" i="33"/>
  <c r="N189" i="33"/>
  <c r="M189" i="33"/>
  <c r="L189" i="33"/>
  <c r="Q186" i="33"/>
  <c r="P186" i="33"/>
  <c r="O186" i="33"/>
  <c r="N186" i="33"/>
  <c r="M186" i="33"/>
  <c r="L186" i="33"/>
  <c r="Q185" i="33"/>
  <c r="P185" i="33"/>
  <c r="O185" i="33"/>
  <c r="N185" i="33"/>
  <c r="M185" i="33"/>
  <c r="L185" i="33"/>
  <c r="Q184" i="33"/>
  <c r="P184" i="33"/>
  <c r="O184" i="33"/>
  <c r="N184" i="33"/>
  <c r="M184" i="33"/>
  <c r="L184" i="33"/>
  <c r="Q183" i="33"/>
  <c r="P183" i="33"/>
  <c r="O183" i="33"/>
  <c r="N183" i="33"/>
  <c r="M183" i="33"/>
  <c r="L183" i="33"/>
  <c r="Q182" i="33"/>
  <c r="P182" i="33"/>
  <c r="O182" i="33"/>
  <c r="N182" i="33"/>
  <c r="M182" i="33"/>
  <c r="L182" i="33"/>
  <c r="Q181" i="33"/>
  <c r="P181" i="33"/>
  <c r="O181" i="33"/>
  <c r="N181" i="33"/>
  <c r="M181" i="33"/>
  <c r="L181" i="33"/>
  <c r="Q180" i="33"/>
  <c r="P180" i="33"/>
  <c r="O180" i="33"/>
  <c r="N180" i="33"/>
  <c r="M180" i="33"/>
  <c r="L180" i="33"/>
  <c r="Q179" i="33"/>
  <c r="P179" i="33"/>
  <c r="O179" i="33"/>
  <c r="N179" i="33"/>
  <c r="M179" i="33"/>
  <c r="L179" i="33"/>
  <c r="Q178" i="33"/>
  <c r="P178" i="33"/>
  <c r="O178" i="33"/>
  <c r="N178" i="33"/>
  <c r="M178" i="33"/>
  <c r="L178" i="33"/>
  <c r="Q177" i="33"/>
  <c r="P177" i="33"/>
  <c r="O177" i="33"/>
  <c r="N177" i="33"/>
  <c r="M177" i="33"/>
  <c r="L177" i="33"/>
  <c r="Q176" i="33"/>
  <c r="P176" i="33"/>
  <c r="O176" i="33"/>
  <c r="N176" i="33"/>
  <c r="M176" i="33"/>
  <c r="L176" i="33"/>
  <c r="Q175" i="33"/>
  <c r="P175" i="33"/>
  <c r="O175" i="33"/>
  <c r="N175" i="33"/>
  <c r="M175" i="33"/>
  <c r="L175" i="33"/>
  <c r="Q174" i="33"/>
  <c r="P174" i="33"/>
  <c r="O174" i="33"/>
  <c r="N174" i="33"/>
  <c r="M174" i="33"/>
  <c r="L174" i="33"/>
  <c r="Q173" i="33"/>
  <c r="P173" i="33"/>
  <c r="O173" i="33"/>
  <c r="N173" i="33"/>
  <c r="M173" i="33"/>
  <c r="L173" i="33"/>
  <c r="Q172" i="33"/>
  <c r="P172" i="33"/>
  <c r="O172" i="33"/>
  <c r="N172" i="33"/>
  <c r="M172" i="33"/>
  <c r="L172" i="33"/>
  <c r="Q171" i="33"/>
  <c r="P171" i="33"/>
  <c r="O171" i="33"/>
  <c r="N171" i="33"/>
  <c r="M171" i="33"/>
  <c r="L171" i="33"/>
  <c r="Q170" i="33"/>
  <c r="P170" i="33"/>
  <c r="O170" i="33"/>
  <c r="N170" i="33"/>
  <c r="M170" i="33"/>
  <c r="L170" i="33"/>
  <c r="Q169" i="33"/>
  <c r="P169" i="33"/>
  <c r="O169" i="33"/>
  <c r="N169" i="33"/>
  <c r="M169" i="33"/>
  <c r="L169" i="33"/>
  <c r="Q168" i="33"/>
  <c r="P168" i="33"/>
  <c r="O168" i="33"/>
  <c r="N168" i="33"/>
  <c r="M168" i="33"/>
  <c r="L168" i="33"/>
  <c r="Q157" i="33"/>
  <c r="P157" i="33"/>
  <c r="O157" i="33"/>
  <c r="N157" i="33"/>
  <c r="M157" i="33"/>
  <c r="L157" i="33"/>
  <c r="K157" i="33"/>
  <c r="J157" i="33"/>
  <c r="Q156" i="33"/>
  <c r="P156" i="33"/>
  <c r="O156" i="33"/>
  <c r="N156" i="33"/>
  <c r="M156" i="33"/>
  <c r="L156" i="33"/>
  <c r="K156" i="33"/>
  <c r="J156" i="33"/>
  <c r="Q155" i="33"/>
  <c r="P155" i="33"/>
  <c r="O155" i="33"/>
  <c r="N155" i="33"/>
  <c r="M155" i="33"/>
  <c r="L155" i="33"/>
  <c r="K155" i="33"/>
  <c r="J155" i="33"/>
  <c r="Q147" i="33"/>
  <c r="P147" i="33"/>
  <c r="O147" i="33"/>
  <c r="N147" i="33"/>
  <c r="M147" i="33"/>
  <c r="L147" i="33"/>
  <c r="K147" i="33"/>
  <c r="J147" i="33"/>
  <c r="Q146" i="33"/>
  <c r="P146" i="33"/>
  <c r="O146" i="33"/>
  <c r="N146" i="33"/>
  <c r="M146" i="33"/>
  <c r="L146" i="33"/>
  <c r="K146" i="33"/>
  <c r="J146" i="33"/>
  <c r="Q126" i="33"/>
  <c r="P126" i="33"/>
  <c r="O126" i="33"/>
  <c r="N126" i="33"/>
  <c r="M126" i="33"/>
  <c r="L126" i="33"/>
  <c r="K126" i="33"/>
  <c r="J126" i="33"/>
  <c r="Q125" i="33"/>
  <c r="P125" i="33"/>
  <c r="O125" i="33"/>
  <c r="N125" i="33"/>
  <c r="M125" i="33"/>
  <c r="L125" i="33"/>
  <c r="K125" i="33"/>
  <c r="J125" i="33"/>
  <c r="Q124" i="33"/>
  <c r="P124" i="33"/>
  <c r="O124" i="33"/>
  <c r="N124" i="33"/>
  <c r="M124" i="33"/>
  <c r="L124" i="33"/>
  <c r="K124" i="33"/>
  <c r="J124" i="33"/>
  <c r="Q123" i="33"/>
  <c r="P123" i="33"/>
  <c r="O123" i="33"/>
  <c r="N123" i="33"/>
  <c r="M123" i="33"/>
  <c r="L123" i="33"/>
  <c r="K123" i="33"/>
  <c r="J123" i="33"/>
  <c r="Q122" i="33"/>
  <c r="P122" i="33"/>
  <c r="O122" i="33"/>
  <c r="N122" i="33"/>
  <c r="M122" i="33"/>
  <c r="L122" i="33"/>
  <c r="K122" i="33"/>
  <c r="J122" i="33"/>
  <c r="Q102" i="33"/>
  <c r="P102" i="33"/>
  <c r="O102" i="33"/>
  <c r="N102" i="33"/>
  <c r="M102" i="33"/>
  <c r="L102" i="33"/>
  <c r="K102" i="33"/>
  <c r="J102" i="33"/>
  <c r="Q101" i="33"/>
  <c r="P101" i="33"/>
  <c r="O101" i="33"/>
  <c r="N101" i="33"/>
  <c r="M101" i="33"/>
  <c r="L101" i="33"/>
  <c r="K101" i="33"/>
  <c r="J101" i="33"/>
  <c r="Q100" i="33"/>
  <c r="P100" i="33"/>
  <c r="O100" i="33"/>
  <c r="N100" i="33"/>
  <c r="M100" i="33"/>
  <c r="L100" i="33"/>
  <c r="K100" i="33"/>
  <c r="J100" i="33"/>
  <c r="B287" i="33"/>
  <c r="C285" i="33"/>
  <c r="B284" i="33"/>
  <c r="B283" i="33"/>
  <c r="B282" i="33"/>
  <c r="B281" i="33"/>
  <c r="B280" i="33"/>
  <c r="B279" i="33"/>
  <c r="B278" i="33"/>
  <c r="B277" i="33"/>
  <c r="B276" i="33"/>
  <c r="B275" i="33"/>
  <c r="B274" i="33"/>
  <c r="B273" i="33"/>
  <c r="B272" i="33"/>
  <c r="B271" i="33"/>
  <c r="B270" i="33"/>
  <c r="B269" i="33"/>
  <c r="B268" i="33"/>
  <c r="B267" i="33"/>
  <c r="B266" i="33"/>
  <c r="B265" i="33"/>
  <c r="C264" i="33"/>
  <c r="B263" i="33"/>
  <c r="B262" i="33"/>
  <c r="B261" i="33"/>
  <c r="B260" i="33"/>
  <c r="B259" i="33"/>
  <c r="B258" i="33"/>
  <c r="B257" i="33"/>
  <c r="B256" i="33"/>
  <c r="B255" i="33"/>
  <c r="B254" i="33"/>
  <c r="B253" i="33"/>
  <c r="B252" i="33"/>
  <c r="B251" i="33"/>
  <c r="B250" i="33"/>
  <c r="B249" i="33"/>
  <c r="B248" i="33"/>
  <c r="B247" i="33"/>
  <c r="B246" i="33"/>
  <c r="B245" i="33"/>
  <c r="B244" i="33"/>
  <c r="C243" i="33"/>
  <c r="B242" i="33"/>
  <c r="B241" i="33"/>
  <c r="B240" i="33"/>
  <c r="B239" i="33"/>
  <c r="B238" i="33"/>
  <c r="B237" i="33"/>
  <c r="B236" i="33"/>
  <c r="B235" i="33"/>
  <c r="B234" i="33"/>
  <c r="B233" i="33"/>
  <c r="B232" i="33"/>
  <c r="B231" i="33"/>
  <c r="B230" i="33"/>
  <c r="B229" i="33"/>
  <c r="B228" i="33"/>
  <c r="B227" i="33"/>
  <c r="B226" i="33"/>
  <c r="B225" i="33"/>
  <c r="B224" i="33"/>
  <c r="B223" i="33"/>
  <c r="B222" i="33"/>
  <c r="B221" i="33"/>
  <c r="B220" i="33"/>
  <c r="B219" i="33"/>
  <c r="B218" i="33"/>
  <c r="B217" i="33"/>
  <c r="B216" i="33"/>
  <c r="B215" i="33"/>
  <c r="B214" i="33"/>
  <c r="B213" i="33"/>
  <c r="B212" i="33"/>
  <c r="B211" i="33"/>
  <c r="B210" i="33"/>
  <c r="B209" i="33"/>
  <c r="B208" i="33"/>
  <c r="B207" i="33"/>
  <c r="B206" i="33"/>
  <c r="B205" i="33"/>
  <c r="B204" i="33"/>
  <c r="B203" i="33"/>
  <c r="B202" i="33"/>
  <c r="B201" i="33"/>
  <c r="B200" i="33"/>
  <c r="B199" i="33"/>
  <c r="B198" i="33"/>
  <c r="C197" i="33"/>
  <c r="B196" i="33"/>
  <c r="B195" i="33"/>
  <c r="B194" i="33"/>
  <c r="B193" i="33"/>
  <c r="B192" i="33"/>
  <c r="B191" i="33"/>
  <c r="B190" i="33"/>
  <c r="B189" i="33"/>
  <c r="B188" i="33"/>
  <c r="B187" i="33"/>
  <c r="B186" i="33"/>
  <c r="B185" i="33"/>
  <c r="B184" i="33"/>
  <c r="B183" i="33"/>
  <c r="B182" i="33"/>
  <c r="B181" i="33"/>
  <c r="B180" i="33"/>
  <c r="B179" i="33"/>
  <c r="B178" i="33"/>
  <c r="B177" i="33"/>
  <c r="B176" i="33"/>
  <c r="B175" i="33"/>
  <c r="B174" i="33"/>
  <c r="B173" i="33"/>
  <c r="B172" i="33"/>
  <c r="B171" i="33"/>
  <c r="B170" i="33"/>
  <c r="B169" i="33"/>
  <c r="B168" i="33"/>
  <c r="B167" i="33"/>
  <c r="B166" i="33"/>
  <c r="C157" i="33"/>
  <c r="B157" i="33"/>
  <c r="C156" i="33"/>
  <c r="B156" i="33"/>
  <c r="C155" i="33"/>
  <c r="B155" i="33"/>
  <c r="C147" i="33"/>
  <c r="B147" i="33"/>
  <c r="C146" i="33"/>
  <c r="B146" i="33"/>
  <c r="C126" i="33"/>
  <c r="C125" i="33"/>
  <c r="C124" i="33"/>
  <c r="B124" i="33"/>
  <c r="C123" i="33"/>
  <c r="C122" i="33"/>
  <c r="B102" i="33"/>
  <c r="B101" i="33"/>
  <c r="C100" i="33"/>
  <c r="B100" i="33"/>
  <c r="B99" i="33"/>
  <c r="B52" i="33"/>
  <c r="B410" i="33" s="1"/>
  <c r="I51" i="33"/>
  <c r="B51" i="33"/>
  <c r="B409" i="33" s="1"/>
  <c r="B515" i="33"/>
  <c r="B511" i="33"/>
  <c r="B506" i="33"/>
  <c r="D502" i="33"/>
  <c r="B501" i="33"/>
  <c r="V517" i="33"/>
  <c r="V516" i="33"/>
  <c r="V499" i="33"/>
  <c r="V498" i="33"/>
  <c r="U498" i="33"/>
  <c r="Q67" i="33"/>
  <c r="P67" i="33"/>
  <c r="O67" i="33"/>
  <c r="N67" i="33"/>
  <c r="M67" i="33"/>
  <c r="L67" i="33"/>
  <c r="B68" i="33"/>
  <c r="B66" i="33"/>
  <c r="B64" i="33"/>
  <c r="B59" i="33"/>
  <c r="B57" i="33"/>
  <c r="B56" i="33"/>
  <c r="B55" i="33"/>
  <c r="B54" i="33"/>
  <c r="Q43" i="33"/>
  <c r="P43" i="33"/>
  <c r="O43" i="33"/>
  <c r="N43" i="33"/>
  <c r="M43" i="33"/>
  <c r="L43" i="33"/>
  <c r="K43" i="33"/>
  <c r="Q35" i="33"/>
  <c r="P35" i="33"/>
  <c r="O35" i="33"/>
  <c r="N35" i="33"/>
  <c r="M35" i="33"/>
  <c r="L35" i="33"/>
  <c r="B44" i="33"/>
  <c r="B43" i="33"/>
  <c r="B42" i="33"/>
  <c r="B37" i="33"/>
  <c r="B31" i="33"/>
  <c r="B28" i="33"/>
  <c r="B27" i="33"/>
  <c r="B26" i="33"/>
  <c r="B23" i="33"/>
  <c r="E18" i="33"/>
  <c r="B18" i="33"/>
  <c r="E17" i="33"/>
  <c r="B17" i="33"/>
  <c r="E11" i="33"/>
  <c r="E10" i="33"/>
  <c r="E8" i="33"/>
  <c r="E7" i="33"/>
  <c r="B371" i="33"/>
  <c r="B197" i="33" l="1"/>
  <c r="B285" i="33"/>
  <c r="B264" i="33"/>
  <c r="B243" i="33"/>
  <c r="B498" i="33"/>
  <c r="B634" i="33"/>
  <c r="B57" i="15"/>
  <c r="B127" i="33"/>
  <c r="B34" i="15"/>
  <c r="B105" i="33"/>
  <c r="B92" i="15"/>
  <c r="B160" i="33"/>
  <c r="B80" i="15"/>
  <c r="B123" i="33"/>
  <c r="B125" i="33"/>
  <c r="B122" i="33"/>
  <c r="B126" i="33"/>
  <c r="M332" i="33"/>
  <c r="I338" i="33"/>
  <c r="O332" i="33"/>
  <c r="K338" i="33"/>
  <c r="S338" i="33"/>
  <c r="B345" i="33"/>
  <c r="L332" i="33"/>
  <c r="T332" i="33"/>
  <c r="P332" i="33"/>
  <c r="P338" i="33"/>
  <c r="N338" i="33"/>
  <c r="N29" i="33"/>
  <c r="O29" i="33"/>
  <c r="P29" i="33"/>
  <c r="K29" i="33"/>
  <c r="L29" i="33"/>
  <c r="M29" i="33"/>
  <c r="Q29" i="33"/>
  <c r="Q338" i="33"/>
  <c r="N332" i="33"/>
  <c r="J338" i="33"/>
  <c r="R338" i="33"/>
  <c r="Q332" i="33"/>
  <c r="M338" i="33"/>
  <c r="J332" i="33"/>
  <c r="K332" i="33"/>
  <c r="O338" i="33"/>
  <c r="R332" i="33"/>
  <c r="S332" i="33"/>
  <c r="L338" i="33"/>
  <c r="T338" i="33"/>
  <c r="B297" i="33"/>
  <c r="I498" i="33"/>
  <c r="I297" i="33"/>
  <c r="I633" i="33"/>
  <c r="I344" i="33"/>
  <c r="I459" i="33"/>
  <c r="I96" i="33"/>
  <c r="B499" i="33"/>
  <c r="B97" i="33"/>
  <c r="B460" i="33"/>
  <c r="B459" i="33"/>
  <c r="B96" i="33"/>
  <c r="B344" i="33"/>
  <c r="B633" i="33"/>
  <c r="B298" i="33"/>
  <c r="B93" i="15" l="1"/>
  <c r="B161" i="33"/>
  <c r="B81" i="15"/>
  <c r="B150" i="33"/>
  <c r="B35" i="15"/>
  <c r="B106" i="33"/>
  <c r="B58" i="15"/>
  <c r="B128" i="33"/>
  <c r="B395" i="33"/>
  <c r="B36" i="15" l="1"/>
  <c r="B107" i="33"/>
  <c r="B82" i="15"/>
  <c r="B151" i="33"/>
  <c r="B59" i="15"/>
  <c r="B129" i="33"/>
  <c r="B94" i="15"/>
  <c r="B162" i="33"/>
  <c r="B394" i="33"/>
  <c r="B95" i="15" l="1"/>
  <c r="B164" i="33" s="1"/>
  <c r="B163" i="33"/>
  <c r="B60" i="15"/>
  <c r="B130" i="33"/>
  <c r="B83" i="15"/>
  <c r="B152" i="33"/>
  <c r="B37" i="15"/>
  <c r="B108" i="33"/>
  <c r="B380" i="33"/>
  <c r="B38" i="15" l="1"/>
  <c r="B109" i="33"/>
  <c r="B84" i="15"/>
  <c r="B154" i="33" s="1"/>
  <c r="B153" i="33"/>
  <c r="B61" i="15"/>
  <c r="B131" i="33"/>
  <c r="K749" i="33"/>
  <c r="L658" i="33"/>
  <c r="L642" i="33"/>
  <c r="K643" i="33"/>
  <c r="B62" i="15" l="1"/>
  <c r="B132" i="33"/>
  <c r="B39" i="15"/>
  <c r="B110" i="33"/>
  <c r="K660" i="33"/>
  <c r="K659" i="33"/>
  <c r="K645" i="33"/>
  <c r="K644" i="33"/>
  <c r="L644" i="33"/>
  <c r="L643" i="33"/>
  <c r="L720" i="33"/>
  <c r="K720" i="33"/>
  <c r="L742" i="33"/>
  <c r="K742" i="33"/>
  <c r="K750" i="33"/>
  <c r="L749" i="33"/>
  <c r="K646" i="33"/>
  <c r="B40" i="15" l="1"/>
  <c r="B111" i="33"/>
  <c r="B133" i="33"/>
  <c r="B63" i="15"/>
  <c r="M742" i="33"/>
  <c r="M720" i="33"/>
  <c r="L645" i="33"/>
  <c r="N643" i="33"/>
  <c r="M643" i="33"/>
  <c r="M642" i="33"/>
  <c r="N642" i="33"/>
  <c r="L659" i="33"/>
  <c r="K661" i="33"/>
  <c r="N658" i="33"/>
  <c r="M658" i="33"/>
  <c r="N644" i="33"/>
  <c r="M644" i="33"/>
  <c r="M749" i="33"/>
  <c r="K751" i="33"/>
  <c r="L750" i="33"/>
  <c r="N742" i="33"/>
  <c r="K662" i="33"/>
  <c r="L661" i="33"/>
  <c r="L646" i="33"/>
  <c r="K647" i="33"/>
  <c r="B400" i="33"/>
  <c r="B64" i="15" l="1"/>
  <c r="B134" i="33"/>
  <c r="B41" i="15"/>
  <c r="B112" i="33"/>
  <c r="N720" i="33"/>
  <c r="L660" i="33"/>
  <c r="N659" i="33"/>
  <c r="M659" i="33"/>
  <c r="N645" i="33"/>
  <c r="M645" i="33"/>
  <c r="M750" i="33"/>
  <c r="L751" i="33"/>
  <c r="K752" i="33"/>
  <c r="N749" i="33"/>
  <c r="M661" i="33"/>
  <c r="L662" i="33"/>
  <c r="K663" i="33"/>
  <c r="K648" i="33"/>
  <c r="L647" i="33"/>
  <c r="M646" i="33"/>
  <c r="B42" i="15" l="1"/>
  <c r="B113" i="33"/>
  <c r="B65" i="15"/>
  <c r="B135" i="33"/>
  <c r="N660" i="33"/>
  <c r="M660" i="33"/>
  <c r="M751" i="33"/>
  <c r="K753" i="33"/>
  <c r="L752" i="33"/>
  <c r="N750" i="33"/>
  <c r="N661" i="33"/>
  <c r="K664" i="33"/>
  <c r="L663" i="33"/>
  <c r="M662" i="33"/>
  <c r="L648" i="33"/>
  <c r="K649" i="33"/>
  <c r="N646" i="33"/>
  <c r="M647" i="33"/>
  <c r="B388" i="33"/>
  <c r="B373" i="33"/>
  <c r="B66" i="15" l="1"/>
  <c r="B136" i="33"/>
  <c r="B43" i="15"/>
  <c r="B114" i="33"/>
  <c r="M752" i="33"/>
  <c r="L753" i="33"/>
  <c r="K754" i="33"/>
  <c r="N751" i="33"/>
  <c r="N662" i="33"/>
  <c r="M663" i="33"/>
  <c r="L664" i="33"/>
  <c r="K665" i="33"/>
  <c r="L649" i="33"/>
  <c r="K650" i="33"/>
  <c r="M648" i="33"/>
  <c r="N647" i="33"/>
  <c r="B44" i="15" l="1"/>
  <c r="B115" i="33"/>
  <c r="B67" i="15"/>
  <c r="B137" i="33"/>
  <c r="K755" i="33"/>
  <c r="L754" i="33"/>
  <c r="M753" i="33"/>
  <c r="N752" i="33"/>
  <c r="M664" i="33"/>
  <c r="L665" i="33"/>
  <c r="N663" i="33"/>
  <c r="N648" i="33"/>
  <c r="L650" i="33"/>
  <c r="K651" i="33"/>
  <c r="M649" i="33"/>
  <c r="B68" i="15" l="1"/>
  <c r="B138" i="33"/>
  <c r="B45" i="15"/>
  <c r="B116" i="33"/>
  <c r="K666" i="33"/>
  <c r="N753" i="33"/>
  <c r="M754" i="33"/>
  <c r="L755" i="33"/>
  <c r="K756" i="33"/>
  <c r="N664" i="33"/>
  <c r="M665" i="33"/>
  <c r="L666" i="33"/>
  <c r="K652" i="33"/>
  <c r="L651" i="33"/>
  <c r="M650" i="33"/>
  <c r="N649" i="33"/>
  <c r="B46" i="15" l="1"/>
  <c r="B117" i="33"/>
  <c r="B69" i="15"/>
  <c r="B139" i="33"/>
  <c r="K667" i="33"/>
  <c r="K757" i="33"/>
  <c r="L756" i="33"/>
  <c r="M755" i="33"/>
  <c r="N754" i="33"/>
  <c r="M666" i="33"/>
  <c r="N665" i="33"/>
  <c r="N650" i="33"/>
  <c r="M651" i="33"/>
  <c r="L652" i="33"/>
  <c r="K653" i="33"/>
  <c r="B70" i="15" l="1"/>
  <c r="B140" i="33"/>
  <c r="B47" i="15"/>
  <c r="B119" i="33" s="1"/>
  <c r="B118" i="33"/>
  <c r="L667" i="33"/>
  <c r="K668" i="33"/>
  <c r="N755" i="33"/>
  <c r="M756" i="33"/>
  <c r="L757" i="33"/>
  <c r="N666" i="33"/>
  <c r="L653" i="33"/>
  <c r="K654" i="33"/>
  <c r="N651" i="33"/>
  <c r="M652" i="33"/>
  <c r="B71" i="15" l="1"/>
  <c r="B141" i="33"/>
  <c r="L668" i="33"/>
  <c r="K669" i="33"/>
  <c r="M667" i="33"/>
  <c r="N667" i="33"/>
  <c r="M757" i="33"/>
  <c r="N756" i="33"/>
  <c r="N652" i="33"/>
  <c r="K655" i="33"/>
  <c r="L654" i="33"/>
  <c r="M653" i="33"/>
  <c r="P108" i="14"/>
  <c r="P78" i="33" s="1"/>
  <c r="O108" i="14"/>
  <c r="O78" i="33" s="1"/>
  <c r="N108" i="14"/>
  <c r="N78" i="33" s="1"/>
  <c r="M108" i="14"/>
  <c r="M78" i="33" s="1"/>
  <c r="L108" i="14"/>
  <c r="L78" i="33" s="1"/>
  <c r="K86" i="14"/>
  <c r="O86" i="14"/>
  <c r="N86" i="14"/>
  <c r="M86" i="14"/>
  <c r="L86" i="14"/>
  <c r="K97" i="14"/>
  <c r="P86" i="14"/>
  <c r="B82" i="14"/>
  <c r="B72" i="15" l="1"/>
  <c r="B142" i="33"/>
  <c r="K103" i="14"/>
  <c r="K73" i="33" s="1"/>
  <c r="K56" i="33"/>
  <c r="M103" i="14"/>
  <c r="M73" i="33" s="1"/>
  <c r="M56" i="33"/>
  <c r="N103" i="14"/>
  <c r="N73" i="33" s="1"/>
  <c r="N56" i="33"/>
  <c r="P103" i="14"/>
  <c r="P73" i="33" s="1"/>
  <c r="P56" i="33"/>
  <c r="L103" i="14"/>
  <c r="L73" i="33" s="1"/>
  <c r="L56" i="33"/>
  <c r="O103" i="14"/>
  <c r="O73" i="33" s="1"/>
  <c r="O56" i="33"/>
  <c r="K108" i="14"/>
  <c r="K78" i="33" s="1"/>
  <c r="K67" i="33"/>
  <c r="K670" i="33"/>
  <c r="L669" i="33"/>
  <c r="M668" i="33"/>
  <c r="N668" i="33"/>
  <c r="N757" i="33"/>
  <c r="M654" i="33"/>
  <c r="N653" i="33"/>
  <c r="K656" i="33"/>
  <c r="L655" i="33"/>
  <c r="B73" i="15" l="1"/>
  <c r="B144" i="33" s="1"/>
  <c r="B143" i="33"/>
  <c r="L670" i="33"/>
  <c r="K671" i="33"/>
  <c r="M669" i="33"/>
  <c r="N669" i="33"/>
  <c r="M655" i="33"/>
  <c r="L656" i="33"/>
  <c r="N654" i="33"/>
  <c r="W57" i="13"/>
  <c r="L671" i="33" l="1"/>
  <c r="K672" i="33"/>
  <c r="M670" i="33"/>
  <c r="N670" i="33"/>
  <c r="M656" i="33"/>
  <c r="N655" i="33"/>
  <c r="W40" i="13"/>
  <c r="B80" i="13" l="1"/>
  <c r="W81" i="13"/>
  <c r="B81" i="13" s="1"/>
  <c r="B33" i="33" s="1"/>
  <c r="B76" i="13"/>
  <c r="B84" i="13"/>
  <c r="B63" i="13"/>
  <c r="B62" i="14"/>
  <c r="B90" i="14"/>
  <c r="B60" i="33" s="1"/>
  <c r="B86" i="13"/>
  <c r="O80" i="13"/>
  <c r="O32" i="33" s="1"/>
  <c r="L672" i="33"/>
  <c r="M671" i="33"/>
  <c r="N671" i="33"/>
  <c r="N656" i="33"/>
  <c r="B101" i="14"/>
  <c r="B71" i="33" s="1"/>
  <c r="P80" i="13"/>
  <c r="P32" i="33" s="1"/>
  <c r="Q80" i="13"/>
  <c r="Q32" i="33" s="1"/>
  <c r="N672" i="33" l="1"/>
  <c r="M672" i="33"/>
  <c r="B106" i="14"/>
  <c r="B76" i="33" s="1"/>
  <c r="B38" i="33"/>
  <c r="K65" i="14"/>
  <c r="L187" i="33" l="1"/>
  <c r="Q225" i="33"/>
  <c r="P225" i="33"/>
  <c r="O225" i="33"/>
  <c r="N225" i="33"/>
  <c r="M225" i="33"/>
  <c r="L225" i="33"/>
  <c r="Q167" i="33"/>
  <c r="P167" i="33"/>
  <c r="O167" i="33"/>
  <c r="N167" i="33"/>
  <c r="M167" i="33"/>
  <c r="L167" i="33"/>
  <c r="Q224" i="33" l="1"/>
  <c r="Q223" i="33"/>
  <c r="P224" i="33"/>
  <c r="P223" i="33"/>
  <c r="Q198" i="33"/>
  <c r="P198" i="33"/>
  <c r="Q188" i="33"/>
  <c r="Q187" i="33"/>
  <c r="P188" i="33"/>
  <c r="P187" i="33"/>
  <c r="Q226" i="33"/>
  <c r="P226" i="33"/>
  <c r="O226" i="33"/>
  <c r="N226" i="33"/>
  <c r="M226" i="33"/>
  <c r="L226" i="33"/>
  <c r="O198" i="33"/>
  <c r="N198" i="33"/>
  <c r="M198" i="33"/>
  <c r="L198" i="33"/>
  <c r="O224" i="33"/>
  <c r="N224" i="33"/>
  <c r="M224" i="33"/>
  <c r="L224" i="33"/>
  <c r="O223" i="33"/>
  <c r="N223" i="33"/>
  <c r="M223" i="33"/>
  <c r="L223" i="33"/>
  <c r="O188" i="33"/>
  <c r="N188" i="33"/>
  <c r="M188" i="33"/>
  <c r="L188" i="33"/>
  <c r="O187" i="33"/>
  <c r="N187" i="33"/>
  <c r="M187" i="33"/>
  <c r="L162" i="4" l="1"/>
  <c r="T353" i="33" l="1"/>
  <c r="T363" i="33" s="1"/>
  <c r="T355" i="33"/>
  <c r="T354" i="33"/>
  <c r="B32" i="33"/>
  <c r="T470" i="33" l="1"/>
  <c r="L774" i="33" l="1"/>
  <c r="M774" i="33"/>
  <c r="N774" i="33"/>
  <c r="O774" i="33"/>
  <c r="P774" i="33"/>
  <c r="Q774" i="33"/>
  <c r="R774" i="33"/>
  <c r="S774" i="33"/>
  <c r="T774" i="33"/>
  <c r="L775" i="33"/>
  <c r="M775" i="33"/>
  <c r="N775" i="33"/>
  <c r="O775" i="33"/>
  <c r="P775" i="33"/>
  <c r="Q775" i="33"/>
  <c r="R775" i="33"/>
  <c r="S775" i="33"/>
  <c r="T775" i="33"/>
  <c r="K775" i="33"/>
  <c r="K774" i="33"/>
  <c r="T372" i="33" l="1"/>
  <c r="T382" i="33" s="1"/>
  <c r="N353" i="33"/>
  <c r="N363" i="33" s="1"/>
  <c r="N372" i="33"/>
  <c r="N382" i="33" s="1"/>
  <c r="P353" i="33"/>
  <c r="P363" i="33" s="1"/>
  <c r="M372" i="33"/>
  <c r="M382" i="33" s="1"/>
  <c r="M353" i="33"/>
  <c r="M363" i="33" s="1"/>
  <c r="O372" i="33"/>
  <c r="O382" i="33" s="1"/>
  <c r="O353" i="33"/>
  <c r="O363" i="33" s="1"/>
  <c r="L353" i="33"/>
  <c r="L363" i="33" s="1"/>
  <c r="S353" i="33"/>
  <c r="S363" i="33" s="1"/>
  <c r="K353" i="33"/>
  <c r="K363" i="33" s="1"/>
  <c r="Q372" i="33"/>
  <c r="Q382" i="33" s="1"/>
  <c r="L372" i="33"/>
  <c r="L382" i="33" s="1"/>
  <c r="J353" i="33"/>
  <c r="J363" i="33" s="1"/>
  <c r="R353" i="33"/>
  <c r="R363" i="33" s="1"/>
  <c r="J372" i="33"/>
  <c r="J382" i="33" s="1"/>
  <c r="R372" i="33"/>
  <c r="R382" i="33" s="1"/>
  <c r="P372" i="33"/>
  <c r="P382" i="33" s="1"/>
  <c r="Q353" i="33"/>
  <c r="Q363" i="33" s="1"/>
  <c r="K372" i="33"/>
  <c r="K382" i="33" s="1"/>
  <c r="S372" i="33"/>
  <c r="S382" i="33" s="1"/>
  <c r="M373" i="33"/>
  <c r="M355" i="33"/>
  <c r="M354" i="33"/>
  <c r="N374" i="33"/>
  <c r="N373" i="33"/>
  <c r="N355" i="33"/>
  <c r="N354" i="33"/>
  <c r="O374" i="33"/>
  <c r="O373" i="33"/>
  <c r="J354" i="33"/>
  <c r="P374" i="33"/>
  <c r="P373" i="33"/>
  <c r="S355" i="33"/>
  <c r="S354" i="33"/>
  <c r="J374" i="33"/>
  <c r="J373" i="33"/>
  <c r="R374" i="33"/>
  <c r="R373" i="33"/>
  <c r="O355" i="33"/>
  <c r="O354" i="33"/>
  <c r="Q374" i="33"/>
  <c r="Q373" i="33"/>
  <c r="R355" i="33"/>
  <c r="R354" i="33"/>
  <c r="K374" i="33"/>
  <c r="K373" i="33"/>
  <c r="S374" i="33"/>
  <c r="L355" i="33"/>
  <c r="L354" i="33"/>
  <c r="K355" i="33"/>
  <c r="K354" i="33"/>
  <c r="Q355" i="33"/>
  <c r="Q354" i="33"/>
  <c r="P355" i="33"/>
  <c r="P354" i="33"/>
  <c r="L374" i="33"/>
  <c r="L373" i="33"/>
  <c r="M374" i="33"/>
  <c r="M470" i="33" l="1"/>
  <c r="J471" i="33"/>
  <c r="Q471" i="33"/>
  <c r="O470" i="33"/>
  <c r="P470" i="33"/>
  <c r="Q470" i="33"/>
  <c r="R470" i="33"/>
  <c r="K470" i="33"/>
  <c r="O471" i="33"/>
  <c r="N471" i="33"/>
  <c r="P471" i="33"/>
  <c r="S470" i="33"/>
  <c r="N470" i="33"/>
  <c r="S471" i="33"/>
  <c r="R471" i="33"/>
  <c r="L471" i="33"/>
  <c r="M471" i="33"/>
  <c r="T373" i="33"/>
  <c r="S373" i="33"/>
  <c r="T400" i="33"/>
  <c r="T374" i="33"/>
  <c r="J400" i="33"/>
  <c r="J355" i="33"/>
  <c r="S400" i="33"/>
  <c r="N400" i="33"/>
  <c r="U355" i="33"/>
  <c r="K400" i="33"/>
  <c r="L400" i="33"/>
  <c r="R400" i="33"/>
  <c r="O400" i="33"/>
  <c r="P400" i="33"/>
  <c r="Q400" i="33"/>
  <c r="M400" i="33"/>
  <c r="K471" i="33"/>
  <c r="T471" i="33"/>
  <c r="W354" i="33"/>
  <c r="W373" i="33"/>
  <c r="L470" i="33"/>
  <c r="U354" i="33"/>
  <c r="U373" i="33"/>
  <c r="J470" i="33"/>
  <c r="Y354" i="33" l="1"/>
  <c r="Y373" i="33"/>
  <c r="X354" i="33"/>
  <c r="X373" i="33"/>
  <c r="B29" i="33" l="1"/>
  <c r="B29" i="18" l="1"/>
  <c r="B637" i="33" s="1"/>
  <c r="B109" i="14"/>
  <c r="B79" i="33" s="1"/>
  <c r="B36" i="33"/>
  <c r="J377" i="33" l="1"/>
  <c r="J380" i="33"/>
  <c r="G20" i="4"/>
  <c r="J49" i="32" l="1"/>
  <c r="J466" i="33" s="1"/>
  <c r="J381" i="33"/>
  <c r="J384" i="33" s="1"/>
  <c r="B490" i="33"/>
  <c r="B489" i="33"/>
  <c r="B486" i="33"/>
  <c r="B485" i="33"/>
  <c r="B482" i="33"/>
  <c r="B481" i="33"/>
  <c r="B54" i="32"/>
  <c r="B53" i="32"/>
  <c r="B470" i="33" s="1"/>
  <c r="B160" i="18"/>
  <c r="B759" i="33" s="1"/>
  <c r="B159" i="18"/>
  <c r="B758" i="33" s="1"/>
  <c r="B143" i="18"/>
  <c r="B744" i="33" s="1"/>
  <c r="B142" i="18"/>
  <c r="B743" i="33" s="1"/>
  <c r="B471" i="33" l="1"/>
  <c r="B58" i="32"/>
  <c r="B475" i="33" s="1"/>
  <c r="H51" i="33"/>
  <c r="H344" i="33" l="1"/>
  <c r="H297" i="33"/>
  <c r="H96" i="33"/>
  <c r="H459" i="33"/>
  <c r="H498" i="33"/>
  <c r="H633" i="33"/>
  <c r="G51" i="33"/>
  <c r="G344" i="33" l="1"/>
  <c r="G297" i="33"/>
  <c r="G498" i="33"/>
  <c r="G459" i="33"/>
  <c r="G633" i="33"/>
  <c r="G96" i="33"/>
  <c r="J64" i="32" l="1"/>
  <c r="J58" i="32"/>
  <c r="J475" i="33" s="1"/>
  <c r="H57" i="32" l="1"/>
  <c r="H474" i="33" s="1"/>
  <c r="I57" i="32"/>
  <c r="I474" i="33" s="1"/>
  <c r="G57" i="32"/>
  <c r="G474" i="33" s="1"/>
  <c r="H65" i="32"/>
  <c r="H481" i="33" s="1"/>
  <c r="I65" i="32"/>
  <c r="I481" i="33" s="1"/>
  <c r="G65" i="32"/>
  <c r="G481" i="33" s="1"/>
  <c r="H69" i="32"/>
  <c r="H485" i="33" s="1"/>
  <c r="I69" i="32"/>
  <c r="I485" i="33" s="1"/>
  <c r="G69" i="32"/>
  <c r="G485" i="33" s="1"/>
  <c r="G66" i="32" l="1"/>
  <c r="G482" i="33" s="1"/>
  <c r="I66" i="32"/>
  <c r="I482" i="33" s="1"/>
  <c r="H66" i="32"/>
  <c r="H482" i="33" s="1"/>
  <c r="G58" i="32"/>
  <c r="G475" i="33" s="1"/>
  <c r="I58" i="32"/>
  <c r="I475" i="33" s="1"/>
  <c r="H70" i="32"/>
  <c r="H486" i="33" s="1"/>
  <c r="G70" i="32"/>
  <c r="G486" i="33" s="1"/>
  <c r="H58" i="32"/>
  <c r="H475" i="33" s="1"/>
  <c r="I70" i="32"/>
  <c r="I486" i="33" s="1"/>
  <c r="I94" i="31" l="1"/>
  <c r="I320" i="33" s="1"/>
  <c r="I86" i="31"/>
  <c r="I312" i="33" s="1"/>
  <c r="I81" i="31"/>
  <c r="I307" i="33" l="1"/>
  <c r="I105" i="31"/>
  <c r="I327" i="33" s="1"/>
  <c r="I332" i="33" s="1"/>
  <c r="I88" i="31"/>
  <c r="I314" i="33" s="1"/>
  <c r="I321" i="33" l="1"/>
  <c r="I315" i="33"/>
  <c r="I95" i="31"/>
  <c r="H44" i="31"/>
  <c r="H45" i="31" s="1"/>
  <c r="H46" i="31" s="1"/>
  <c r="G44" i="31"/>
  <c r="G45" i="31" s="1"/>
  <c r="G46" i="31" s="1"/>
  <c r="I29" i="31"/>
  <c r="H29" i="31"/>
  <c r="G29" i="31"/>
  <c r="H30" i="31" l="1"/>
  <c r="I30" i="31"/>
  <c r="G47" i="31"/>
  <c r="H47" i="31"/>
  <c r="G30" i="31"/>
  <c r="I73" i="32" l="1"/>
  <c r="I74" i="32" s="1"/>
  <c r="I490" i="33" s="1"/>
  <c r="I31" i="31"/>
  <c r="I53" i="32" s="1"/>
  <c r="G73" i="32"/>
  <c r="G489" i="33" s="1"/>
  <c r="G31" i="31"/>
  <c r="H73" i="32"/>
  <c r="H489" i="33" s="1"/>
  <c r="H31" i="31"/>
  <c r="H48" i="31"/>
  <c r="G48" i="31"/>
  <c r="I489" i="33" l="1"/>
  <c r="H74" i="32"/>
  <c r="H490" i="33" s="1"/>
  <c r="G53" i="32"/>
  <c r="G54" i="32" s="1"/>
  <c r="G471" i="33" s="1"/>
  <c r="H53" i="32"/>
  <c r="I54" i="32"/>
  <c r="I471" i="33" s="1"/>
  <c r="I470" i="33"/>
  <c r="H49" i="31"/>
  <c r="H51" i="31" s="1"/>
  <c r="H48" i="32" s="1"/>
  <c r="H465" i="33" s="1"/>
  <c r="G49" i="31"/>
  <c r="G51" i="31" s="1"/>
  <c r="G74" i="32"/>
  <c r="G490" i="33" s="1"/>
  <c r="AD443" i="15"/>
  <c r="AC443" i="15"/>
  <c r="AB443" i="15"/>
  <c r="AA443" i="15"/>
  <c r="Z443" i="15"/>
  <c r="Y443" i="15"/>
  <c r="X443" i="15"/>
  <c r="AD442" i="15"/>
  <c r="AC442" i="15"/>
  <c r="AB442" i="15"/>
  <c r="AA442" i="15"/>
  <c r="Z442" i="15"/>
  <c r="Y442" i="15"/>
  <c r="X442" i="15"/>
  <c r="AD441" i="15"/>
  <c r="AC441" i="15"/>
  <c r="AB441" i="15"/>
  <c r="AA441" i="15"/>
  <c r="Z441" i="15"/>
  <c r="Y441" i="15"/>
  <c r="X441" i="15"/>
  <c r="AD440" i="15"/>
  <c r="AC440" i="15"/>
  <c r="AB440" i="15"/>
  <c r="AA440" i="15"/>
  <c r="Z440" i="15"/>
  <c r="Y440" i="15"/>
  <c r="X440" i="15"/>
  <c r="AD439" i="15"/>
  <c r="AC439" i="15"/>
  <c r="AB439" i="15"/>
  <c r="AA439" i="15"/>
  <c r="Z439" i="15"/>
  <c r="Y439" i="15"/>
  <c r="X439" i="15"/>
  <c r="AD438" i="15"/>
  <c r="AC438" i="15"/>
  <c r="AB438" i="15"/>
  <c r="AA438" i="15"/>
  <c r="Z438" i="15"/>
  <c r="Y438" i="15"/>
  <c r="X438" i="15"/>
  <c r="AD437" i="15"/>
  <c r="AC437" i="15"/>
  <c r="AB437" i="15"/>
  <c r="AA437" i="15"/>
  <c r="Z437" i="15"/>
  <c r="Y437" i="15"/>
  <c r="X437" i="15"/>
  <c r="AD436" i="15"/>
  <c r="AC436" i="15"/>
  <c r="AB436" i="15"/>
  <c r="AA436" i="15"/>
  <c r="Z436" i="15"/>
  <c r="Y436" i="15"/>
  <c r="X436" i="15"/>
  <c r="AD435" i="15"/>
  <c r="AC435" i="15"/>
  <c r="AB435" i="15"/>
  <c r="AA435" i="15"/>
  <c r="Z435" i="15"/>
  <c r="Y435" i="15"/>
  <c r="X435" i="15"/>
  <c r="AD434" i="15"/>
  <c r="AC434" i="15"/>
  <c r="AB434" i="15"/>
  <c r="AA434" i="15"/>
  <c r="Z434" i="15"/>
  <c r="Y434" i="15"/>
  <c r="X434" i="15"/>
  <c r="AD427" i="15"/>
  <c r="AC427" i="15"/>
  <c r="AB427" i="15"/>
  <c r="AA427" i="15"/>
  <c r="Z427" i="15"/>
  <c r="Y427" i="15"/>
  <c r="X427" i="15"/>
  <c r="AD426" i="15"/>
  <c r="AC426" i="15"/>
  <c r="AB426" i="15"/>
  <c r="AA426" i="15"/>
  <c r="Z426" i="15"/>
  <c r="Y426" i="15"/>
  <c r="X426" i="15"/>
  <c r="AD425" i="15"/>
  <c r="AC425" i="15"/>
  <c r="AB425" i="15"/>
  <c r="AA425" i="15"/>
  <c r="Z425" i="15"/>
  <c r="Y425" i="15"/>
  <c r="X425" i="15"/>
  <c r="AD424" i="15"/>
  <c r="AC424" i="15"/>
  <c r="AB424" i="15"/>
  <c r="AA424" i="15"/>
  <c r="Z424" i="15"/>
  <c r="Y424" i="15"/>
  <c r="X424" i="15"/>
  <c r="AD423" i="15"/>
  <c r="AC423" i="15"/>
  <c r="AB423" i="15"/>
  <c r="AA423" i="15"/>
  <c r="Z423" i="15"/>
  <c r="Y423" i="15"/>
  <c r="X423" i="15"/>
  <c r="AD422" i="15"/>
  <c r="AC422" i="15"/>
  <c r="AB422" i="15"/>
  <c r="AA422" i="15"/>
  <c r="Z422" i="15"/>
  <c r="Y422" i="15"/>
  <c r="X422" i="15"/>
  <c r="AD421" i="15"/>
  <c r="AC421" i="15"/>
  <c r="AB421" i="15"/>
  <c r="AA421" i="15"/>
  <c r="Z421" i="15"/>
  <c r="Y421" i="15"/>
  <c r="X421" i="15"/>
  <c r="AD420" i="15"/>
  <c r="AC420" i="15"/>
  <c r="AB420" i="15"/>
  <c r="AA420" i="15"/>
  <c r="Z420" i="15"/>
  <c r="Y420" i="15"/>
  <c r="X420" i="15"/>
  <c r="AD419" i="15"/>
  <c r="AC419" i="15"/>
  <c r="AB419" i="15"/>
  <c r="AA419" i="15"/>
  <c r="Z419" i="15"/>
  <c r="Y419" i="15"/>
  <c r="X419" i="15"/>
  <c r="AD418" i="15"/>
  <c r="AC418" i="15"/>
  <c r="AB418" i="15"/>
  <c r="AA418" i="15"/>
  <c r="Z418" i="15"/>
  <c r="Y418" i="15"/>
  <c r="X418" i="15"/>
  <c r="AD417" i="15"/>
  <c r="AC417" i="15"/>
  <c r="AB417" i="15"/>
  <c r="AA417" i="15"/>
  <c r="Z417" i="15"/>
  <c r="Y417" i="15"/>
  <c r="X417" i="15"/>
  <c r="AD416" i="15"/>
  <c r="AC416" i="15"/>
  <c r="AB416" i="15"/>
  <c r="AA416" i="15"/>
  <c r="Z416" i="15"/>
  <c r="Y416" i="15"/>
  <c r="X416" i="15"/>
  <c r="AD415" i="15"/>
  <c r="AC415" i="15"/>
  <c r="AB415" i="15"/>
  <c r="AA415" i="15"/>
  <c r="Z415" i="15"/>
  <c r="Y415" i="15"/>
  <c r="X415" i="15"/>
  <c r="AD414" i="15"/>
  <c r="AC414" i="15"/>
  <c r="AB414" i="15"/>
  <c r="AA414" i="15"/>
  <c r="Z414" i="15"/>
  <c r="Y414" i="15"/>
  <c r="X414" i="15"/>
  <c r="AD413" i="15"/>
  <c r="AC413" i="15"/>
  <c r="AB413" i="15"/>
  <c r="AA413" i="15"/>
  <c r="Z413" i="15"/>
  <c r="Y413" i="15"/>
  <c r="X413" i="15"/>
  <c r="AD412" i="15"/>
  <c r="AC412" i="15"/>
  <c r="AB412" i="15"/>
  <c r="AA412" i="15"/>
  <c r="Z412" i="15"/>
  <c r="Y412" i="15"/>
  <c r="X412" i="15"/>
  <c r="AD411" i="15"/>
  <c r="AC411" i="15"/>
  <c r="AB411" i="15"/>
  <c r="AA411" i="15"/>
  <c r="Z411" i="15"/>
  <c r="Y411" i="15"/>
  <c r="X411" i="15"/>
  <c r="AD410" i="15"/>
  <c r="AC410" i="15"/>
  <c r="AB410" i="15"/>
  <c r="AA410" i="15"/>
  <c r="Z410" i="15"/>
  <c r="Y410" i="15"/>
  <c r="X410" i="15"/>
  <c r="AD409" i="15"/>
  <c r="AC409" i="15"/>
  <c r="AB409" i="15"/>
  <c r="AA409" i="15"/>
  <c r="Z409" i="15"/>
  <c r="Y409" i="15"/>
  <c r="X409" i="15"/>
  <c r="AD408" i="15"/>
  <c r="AC408" i="15"/>
  <c r="AB408" i="15"/>
  <c r="AA408" i="15"/>
  <c r="Z408" i="15"/>
  <c r="Y408" i="15"/>
  <c r="X408" i="15"/>
  <c r="AD401" i="15"/>
  <c r="AC401" i="15"/>
  <c r="AB401" i="15"/>
  <c r="AA401" i="15"/>
  <c r="Z401" i="15"/>
  <c r="Y401" i="15"/>
  <c r="X401" i="15"/>
  <c r="AD400" i="15"/>
  <c r="AC400" i="15"/>
  <c r="AB400" i="15"/>
  <c r="AA400" i="15"/>
  <c r="Z400" i="15"/>
  <c r="Y400" i="15"/>
  <c r="X400" i="15"/>
  <c r="AD399" i="15"/>
  <c r="AC399" i="15"/>
  <c r="AB399" i="15"/>
  <c r="AA399" i="15"/>
  <c r="Z399" i="15"/>
  <c r="Y399" i="15"/>
  <c r="X399" i="15"/>
  <c r="AD398" i="15"/>
  <c r="AC398" i="15"/>
  <c r="AB398" i="15"/>
  <c r="AA398" i="15"/>
  <c r="Z398" i="15"/>
  <c r="Y398" i="15"/>
  <c r="X398" i="15"/>
  <c r="AD397" i="15"/>
  <c r="AC397" i="15"/>
  <c r="AB397" i="15"/>
  <c r="AA397" i="15"/>
  <c r="Z397" i="15"/>
  <c r="Y397" i="15"/>
  <c r="X397" i="15"/>
  <c r="AD396" i="15"/>
  <c r="AC396" i="15"/>
  <c r="AB396" i="15"/>
  <c r="AA396" i="15"/>
  <c r="Z396" i="15"/>
  <c r="Y396" i="15"/>
  <c r="X396" i="15"/>
  <c r="AD395" i="15"/>
  <c r="AC395" i="15"/>
  <c r="AB395" i="15"/>
  <c r="AA395" i="15"/>
  <c r="Z395" i="15"/>
  <c r="Y395" i="15"/>
  <c r="X395" i="15"/>
  <c r="AD394" i="15"/>
  <c r="AC394" i="15"/>
  <c r="AB394" i="15"/>
  <c r="AA394" i="15"/>
  <c r="Z394" i="15"/>
  <c r="Y394" i="15"/>
  <c r="X394" i="15"/>
  <c r="AD393" i="15"/>
  <c r="AC393" i="15"/>
  <c r="AB393" i="15"/>
  <c r="AA393" i="15"/>
  <c r="Z393" i="15"/>
  <c r="Y393" i="15"/>
  <c r="X393" i="15"/>
  <c r="AD392" i="15"/>
  <c r="AC392" i="15"/>
  <c r="AB392" i="15"/>
  <c r="AA392" i="15"/>
  <c r="Z392" i="15"/>
  <c r="Y392" i="15"/>
  <c r="X392" i="15"/>
  <c r="AD391" i="15"/>
  <c r="AC391" i="15"/>
  <c r="AB391" i="15"/>
  <c r="AA391" i="15"/>
  <c r="Z391" i="15"/>
  <c r="Y391" i="15"/>
  <c r="X391" i="15"/>
  <c r="AD390" i="15"/>
  <c r="AC390" i="15"/>
  <c r="AB390" i="15"/>
  <c r="AA390" i="15"/>
  <c r="Z390" i="15"/>
  <c r="Y390" i="15"/>
  <c r="X390" i="15"/>
  <c r="AD389" i="15"/>
  <c r="AC389" i="15"/>
  <c r="AB389" i="15"/>
  <c r="AA389" i="15"/>
  <c r="Z389" i="15"/>
  <c r="Y389" i="15"/>
  <c r="X389" i="15"/>
  <c r="AD388" i="15"/>
  <c r="AC388" i="15"/>
  <c r="AB388" i="15"/>
  <c r="AA388" i="15"/>
  <c r="Z388" i="15"/>
  <c r="Y388" i="15"/>
  <c r="X388" i="15"/>
  <c r="AD387" i="15"/>
  <c r="AC387" i="15"/>
  <c r="AB387" i="15"/>
  <c r="AA387" i="15"/>
  <c r="Z387" i="15"/>
  <c r="Y387" i="15"/>
  <c r="X387" i="15"/>
  <c r="AD386" i="15"/>
  <c r="AC386" i="15"/>
  <c r="AB386" i="15"/>
  <c r="AA386" i="15"/>
  <c r="Z386" i="15"/>
  <c r="Y386" i="15"/>
  <c r="X386" i="15"/>
  <c r="AD385" i="15"/>
  <c r="AC385" i="15"/>
  <c r="AB385" i="15"/>
  <c r="AA385" i="15"/>
  <c r="Z385" i="15"/>
  <c r="Y385" i="15"/>
  <c r="X385" i="15"/>
  <c r="AD384" i="15"/>
  <c r="AC384" i="15"/>
  <c r="AB384" i="15"/>
  <c r="AA384" i="15"/>
  <c r="Z384" i="15"/>
  <c r="Y384" i="15"/>
  <c r="X384" i="15"/>
  <c r="AD383" i="15"/>
  <c r="AC383" i="15"/>
  <c r="AB383" i="15"/>
  <c r="AA383" i="15"/>
  <c r="Z383" i="15"/>
  <c r="Y383" i="15"/>
  <c r="X383" i="15"/>
  <c r="AD382" i="15"/>
  <c r="AC382" i="15"/>
  <c r="AB382" i="15"/>
  <c r="AA382" i="15"/>
  <c r="Z382" i="15"/>
  <c r="Y382" i="15"/>
  <c r="X382" i="15"/>
  <c r="AD375" i="15"/>
  <c r="AC375" i="15"/>
  <c r="AB375" i="15"/>
  <c r="AA375" i="15"/>
  <c r="Z375" i="15"/>
  <c r="Y375" i="15"/>
  <c r="X375" i="15"/>
  <c r="AD374" i="15"/>
  <c r="AC374" i="15"/>
  <c r="AB374" i="15"/>
  <c r="AA374" i="15"/>
  <c r="Z374" i="15"/>
  <c r="Y374" i="15"/>
  <c r="X374" i="15"/>
  <c r="AD373" i="15"/>
  <c r="AC373" i="15"/>
  <c r="AB373" i="15"/>
  <c r="AA373" i="15"/>
  <c r="Z373" i="15"/>
  <c r="Y373" i="15"/>
  <c r="X373" i="15"/>
  <c r="AD372" i="15"/>
  <c r="AC372" i="15"/>
  <c r="AB372" i="15"/>
  <c r="AA372" i="15"/>
  <c r="Z372" i="15"/>
  <c r="Y372" i="15"/>
  <c r="X372" i="15"/>
  <c r="AD371" i="15"/>
  <c r="AC371" i="15"/>
  <c r="AB371" i="15"/>
  <c r="AA371" i="15"/>
  <c r="Z371" i="15"/>
  <c r="Y371" i="15"/>
  <c r="X371" i="15"/>
  <c r="AD370" i="15"/>
  <c r="AC370" i="15"/>
  <c r="AB370" i="15"/>
  <c r="AA370" i="15"/>
  <c r="Z370" i="15"/>
  <c r="Y370" i="15"/>
  <c r="X370" i="15"/>
  <c r="AD369" i="15"/>
  <c r="AC369" i="15"/>
  <c r="AB369" i="15"/>
  <c r="AA369" i="15"/>
  <c r="Z369" i="15"/>
  <c r="Y369" i="15"/>
  <c r="X369" i="15"/>
  <c r="AD368" i="15"/>
  <c r="AC368" i="15"/>
  <c r="AB368" i="15"/>
  <c r="AA368" i="15"/>
  <c r="Z368" i="15"/>
  <c r="Y368" i="15"/>
  <c r="X368" i="15"/>
  <c r="AD367" i="15"/>
  <c r="AC367" i="15"/>
  <c r="AB367" i="15"/>
  <c r="AA367" i="15"/>
  <c r="Z367" i="15"/>
  <c r="Y367" i="15"/>
  <c r="X367" i="15"/>
  <c r="AD366" i="15"/>
  <c r="AC366" i="15"/>
  <c r="AB366" i="15"/>
  <c r="AA366" i="15"/>
  <c r="Z366" i="15"/>
  <c r="Y366" i="15"/>
  <c r="X366" i="15"/>
  <c r="AD365" i="15"/>
  <c r="AC365" i="15"/>
  <c r="AB365" i="15"/>
  <c r="AA365" i="15"/>
  <c r="Z365" i="15"/>
  <c r="Y365" i="15"/>
  <c r="X365" i="15"/>
  <c r="AD364" i="15"/>
  <c r="AC364" i="15"/>
  <c r="AB364" i="15"/>
  <c r="AA364" i="15"/>
  <c r="Z364" i="15"/>
  <c r="Y364" i="15"/>
  <c r="X364" i="15"/>
  <c r="AD363" i="15"/>
  <c r="AC363" i="15"/>
  <c r="AB363" i="15"/>
  <c r="AA363" i="15"/>
  <c r="Z363" i="15"/>
  <c r="Y363" i="15"/>
  <c r="X363" i="15"/>
  <c r="AD362" i="15"/>
  <c r="AC362" i="15"/>
  <c r="AB362" i="15"/>
  <c r="AA362" i="15"/>
  <c r="Z362" i="15"/>
  <c r="Y362" i="15"/>
  <c r="X362" i="15"/>
  <c r="AD361" i="15"/>
  <c r="AC361" i="15"/>
  <c r="AB361" i="15"/>
  <c r="AA361" i="15"/>
  <c r="Z361" i="15"/>
  <c r="Y361" i="15"/>
  <c r="X361" i="15"/>
  <c r="AD360" i="15"/>
  <c r="AC360" i="15"/>
  <c r="AB360" i="15"/>
  <c r="AA360" i="15"/>
  <c r="Z360" i="15"/>
  <c r="Y360" i="15"/>
  <c r="X360" i="15"/>
  <c r="AD359" i="15"/>
  <c r="AC359" i="15"/>
  <c r="AB359" i="15"/>
  <c r="AA359" i="15"/>
  <c r="Z359" i="15"/>
  <c r="Y359" i="15"/>
  <c r="X359" i="15"/>
  <c r="AD358" i="15"/>
  <c r="AC358" i="15"/>
  <c r="AB358" i="15"/>
  <c r="AA358" i="15"/>
  <c r="Z358" i="15"/>
  <c r="Y358" i="15"/>
  <c r="X358" i="15"/>
  <c r="AD357" i="15"/>
  <c r="AC357" i="15"/>
  <c r="AB357" i="15"/>
  <c r="AA357" i="15"/>
  <c r="Z357" i="15"/>
  <c r="Y357" i="15"/>
  <c r="X357" i="15"/>
  <c r="AD356" i="15"/>
  <c r="AC356" i="15"/>
  <c r="AB356" i="15"/>
  <c r="AA356" i="15"/>
  <c r="Z356" i="15"/>
  <c r="Y356" i="15"/>
  <c r="X356" i="15"/>
  <c r="AD355" i="15"/>
  <c r="AC355" i="15"/>
  <c r="AB355" i="15"/>
  <c r="AA355" i="15"/>
  <c r="Z355" i="15"/>
  <c r="Y355" i="15"/>
  <c r="X355" i="15"/>
  <c r="AD354" i="15"/>
  <c r="AC354" i="15"/>
  <c r="AB354" i="15"/>
  <c r="AA354" i="15"/>
  <c r="Z354" i="15"/>
  <c r="Y354" i="15"/>
  <c r="X354" i="15"/>
  <c r="AD353" i="15"/>
  <c r="AC353" i="15"/>
  <c r="AB353" i="15"/>
  <c r="AA353" i="15"/>
  <c r="Z353" i="15"/>
  <c r="Y353" i="15"/>
  <c r="X353" i="15"/>
  <c r="AD352" i="15"/>
  <c r="AC352" i="15"/>
  <c r="AB352" i="15"/>
  <c r="AA352" i="15"/>
  <c r="Z352" i="15"/>
  <c r="Y352" i="15"/>
  <c r="X352" i="15"/>
  <c r="AD351" i="15"/>
  <c r="AC351" i="15"/>
  <c r="AB351" i="15"/>
  <c r="AA351" i="15"/>
  <c r="Z351" i="15"/>
  <c r="Y351" i="15"/>
  <c r="X351" i="15"/>
  <c r="AD350" i="15"/>
  <c r="AC350" i="15"/>
  <c r="AB350" i="15"/>
  <c r="AA350" i="15"/>
  <c r="Z350" i="15"/>
  <c r="Y350" i="15"/>
  <c r="X350" i="15"/>
  <c r="AD342" i="15"/>
  <c r="AC342" i="15"/>
  <c r="AB342" i="15"/>
  <c r="AA342" i="15"/>
  <c r="Z342" i="15"/>
  <c r="AD341" i="15"/>
  <c r="AC341" i="15"/>
  <c r="AB341" i="15"/>
  <c r="AA341" i="15"/>
  <c r="Z341" i="15"/>
  <c r="AD340" i="15"/>
  <c r="AC340" i="15"/>
  <c r="AB340" i="15"/>
  <c r="AA340" i="15"/>
  <c r="Z340" i="15"/>
  <c r="AD339" i="15"/>
  <c r="AC339" i="15"/>
  <c r="AB339" i="15"/>
  <c r="AA339" i="15"/>
  <c r="Z339" i="15"/>
  <c r="AD338" i="15"/>
  <c r="AC338" i="15"/>
  <c r="AB338" i="15"/>
  <c r="AA338" i="15"/>
  <c r="Z338" i="15"/>
  <c r="AD337" i="15"/>
  <c r="AC337" i="15"/>
  <c r="AB337" i="15"/>
  <c r="AA337" i="15"/>
  <c r="Z337" i="15"/>
  <c r="AD336" i="15"/>
  <c r="AC336" i="15"/>
  <c r="AB336" i="15"/>
  <c r="AA336" i="15"/>
  <c r="Z336" i="15"/>
  <c r="AD335" i="15"/>
  <c r="AC335" i="15"/>
  <c r="AB335" i="15"/>
  <c r="AA335" i="15"/>
  <c r="Z335" i="15"/>
  <c r="AD334" i="15"/>
  <c r="AC334" i="15"/>
  <c r="AB334" i="15"/>
  <c r="AA334" i="15"/>
  <c r="Z334" i="15"/>
  <c r="AD333" i="15"/>
  <c r="AC333" i="15"/>
  <c r="AB333" i="15"/>
  <c r="AA333" i="15"/>
  <c r="Z333" i="15"/>
  <c r="AD332" i="15"/>
  <c r="AC332" i="15"/>
  <c r="AB332" i="15"/>
  <c r="AA332" i="15"/>
  <c r="Z332" i="15"/>
  <c r="AD331" i="15"/>
  <c r="AC331" i="15"/>
  <c r="AB331" i="15"/>
  <c r="AA331" i="15"/>
  <c r="Z331" i="15"/>
  <c r="AD330" i="15"/>
  <c r="AC330" i="15"/>
  <c r="AB330" i="15"/>
  <c r="AA330" i="15"/>
  <c r="Z330" i="15"/>
  <c r="AD329" i="15"/>
  <c r="AC329" i="15"/>
  <c r="AB329" i="15"/>
  <c r="AA329" i="15"/>
  <c r="Z329" i="15"/>
  <c r="AD328" i="15"/>
  <c r="AC328" i="15"/>
  <c r="AB328" i="15"/>
  <c r="AA328" i="15"/>
  <c r="Z328" i="15"/>
  <c r="AD327" i="15"/>
  <c r="AC327" i="15"/>
  <c r="AB327" i="15"/>
  <c r="AA327" i="15"/>
  <c r="Z327" i="15"/>
  <c r="AD326" i="15"/>
  <c r="AC326" i="15"/>
  <c r="AB326" i="15"/>
  <c r="AA326" i="15"/>
  <c r="Z326" i="15"/>
  <c r="AD325" i="15"/>
  <c r="AC325" i="15"/>
  <c r="AB325" i="15"/>
  <c r="AA325" i="15"/>
  <c r="Z325" i="15"/>
  <c r="AD324" i="15"/>
  <c r="AC324" i="15"/>
  <c r="AB324" i="15"/>
  <c r="AA324" i="15"/>
  <c r="Z324" i="15"/>
  <c r="AD323" i="15"/>
  <c r="AC323" i="15"/>
  <c r="AB323" i="15"/>
  <c r="AA323" i="15"/>
  <c r="Z323" i="15"/>
  <c r="AD321" i="15"/>
  <c r="AC321" i="15"/>
  <c r="AB321" i="15"/>
  <c r="AA321" i="15"/>
  <c r="Z321" i="15"/>
  <c r="AD320" i="15"/>
  <c r="AC320" i="15"/>
  <c r="AB320" i="15"/>
  <c r="AA320" i="15"/>
  <c r="Z320" i="15"/>
  <c r="AD319" i="15"/>
  <c r="AC319" i="15"/>
  <c r="AB319" i="15"/>
  <c r="AA319" i="15"/>
  <c r="Z319" i="15"/>
  <c r="AD318" i="15"/>
  <c r="AC318" i="15"/>
  <c r="AB318" i="15"/>
  <c r="AA318" i="15"/>
  <c r="Z318" i="15"/>
  <c r="AD317" i="15"/>
  <c r="AC317" i="15"/>
  <c r="AB317" i="15"/>
  <c r="AA317" i="15"/>
  <c r="Z317" i="15"/>
  <c r="AD316" i="15"/>
  <c r="AC316" i="15"/>
  <c r="AB316" i="15"/>
  <c r="AA316" i="15"/>
  <c r="Z316" i="15"/>
  <c r="AD315" i="15"/>
  <c r="AC315" i="15"/>
  <c r="AB315" i="15"/>
  <c r="AA315" i="15"/>
  <c r="Z315" i="15"/>
  <c r="AD314" i="15"/>
  <c r="AC314" i="15"/>
  <c r="AB314" i="15"/>
  <c r="AA314" i="15"/>
  <c r="Z314" i="15"/>
  <c r="AD313" i="15"/>
  <c r="AC313" i="15"/>
  <c r="AB313" i="15"/>
  <c r="AA313" i="15"/>
  <c r="Z313" i="15"/>
  <c r="AD312" i="15"/>
  <c r="AC312" i="15"/>
  <c r="AB312" i="15"/>
  <c r="AA312" i="15"/>
  <c r="Z312" i="15"/>
  <c r="AD311" i="15"/>
  <c r="AC311" i="15"/>
  <c r="AB311" i="15"/>
  <c r="AA311" i="15"/>
  <c r="Z311" i="15"/>
  <c r="AD310" i="15"/>
  <c r="AC310" i="15"/>
  <c r="AB310" i="15"/>
  <c r="AA310" i="15"/>
  <c r="Z310" i="15"/>
  <c r="AD309" i="15"/>
  <c r="AC309" i="15"/>
  <c r="AB309" i="15"/>
  <c r="AA309" i="15"/>
  <c r="Z309" i="15"/>
  <c r="AD308" i="15"/>
  <c r="AC308" i="15"/>
  <c r="AB308" i="15"/>
  <c r="AA308" i="15"/>
  <c r="Z308" i="15"/>
  <c r="AD307" i="15"/>
  <c r="AC307" i="15"/>
  <c r="AB307" i="15"/>
  <c r="AA307" i="15"/>
  <c r="Z307" i="15"/>
  <c r="AD306" i="15"/>
  <c r="AC306" i="15"/>
  <c r="AB306" i="15"/>
  <c r="AA306" i="15"/>
  <c r="Z306" i="15"/>
  <c r="AD305" i="15"/>
  <c r="AC305" i="15"/>
  <c r="AB305" i="15"/>
  <c r="AA305" i="15"/>
  <c r="Z305" i="15"/>
  <c r="AD304" i="15"/>
  <c r="AC304" i="15"/>
  <c r="AB304" i="15"/>
  <c r="AA304" i="15"/>
  <c r="Z304" i="15"/>
  <c r="AD303" i="15"/>
  <c r="AC303" i="15"/>
  <c r="AB303" i="15"/>
  <c r="AA303" i="15"/>
  <c r="Z303" i="15"/>
  <c r="AD302" i="15"/>
  <c r="AC302" i="15"/>
  <c r="AB302" i="15"/>
  <c r="AA302" i="15"/>
  <c r="Z302" i="15"/>
  <c r="AD300" i="15"/>
  <c r="AC300" i="15"/>
  <c r="AB300" i="15"/>
  <c r="AA300" i="15"/>
  <c r="Z300" i="15"/>
  <c r="AD299" i="15"/>
  <c r="AC299" i="15"/>
  <c r="AB299" i="15"/>
  <c r="AA299" i="15"/>
  <c r="Z299" i="15"/>
  <c r="AD298" i="15"/>
  <c r="AC298" i="15"/>
  <c r="AB298" i="15"/>
  <c r="AA298" i="15"/>
  <c r="Z298" i="15"/>
  <c r="AD297" i="15"/>
  <c r="AC297" i="15"/>
  <c r="AB297" i="15"/>
  <c r="AA297" i="15"/>
  <c r="Z297" i="15"/>
  <c r="AD296" i="15"/>
  <c r="AC296" i="15"/>
  <c r="AB296" i="15"/>
  <c r="AA296" i="15"/>
  <c r="Z296" i="15"/>
  <c r="AD295" i="15"/>
  <c r="AC295" i="15"/>
  <c r="AB295" i="15"/>
  <c r="AA295" i="15"/>
  <c r="Z295" i="15"/>
  <c r="AD294" i="15"/>
  <c r="AC294" i="15"/>
  <c r="AB294" i="15"/>
  <c r="AA294" i="15"/>
  <c r="Z294" i="15"/>
  <c r="AD293" i="15"/>
  <c r="AC293" i="15"/>
  <c r="AB293" i="15"/>
  <c r="AA293" i="15"/>
  <c r="Z293" i="15"/>
  <c r="AD292" i="15"/>
  <c r="AC292" i="15"/>
  <c r="AB292" i="15"/>
  <c r="AA292" i="15"/>
  <c r="Z292" i="15"/>
  <c r="AD291" i="15"/>
  <c r="AC291" i="15"/>
  <c r="AB291" i="15"/>
  <c r="AA291" i="15"/>
  <c r="Z291" i="15"/>
  <c r="AD290" i="15"/>
  <c r="AC290" i="15"/>
  <c r="AB290" i="15"/>
  <c r="AA290" i="15"/>
  <c r="Z290" i="15"/>
  <c r="AD289" i="15"/>
  <c r="AC289" i="15"/>
  <c r="AB289" i="15"/>
  <c r="AA289" i="15"/>
  <c r="Z289" i="15"/>
  <c r="AD288" i="15"/>
  <c r="AC288" i="15"/>
  <c r="AB288" i="15"/>
  <c r="AA288" i="15"/>
  <c r="Z288" i="15"/>
  <c r="AD287" i="15"/>
  <c r="AC287" i="15"/>
  <c r="AB287" i="15"/>
  <c r="AA287" i="15"/>
  <c r="Z287" i="15"/>
  <c r="AD286" i="15"/>
  <c r="AC286" i="15"/>
  <c r="AB286" i="15"/>
  <c r="AA286" i="15"/>
  <c r="Z286" i="15"/>
  <c r="AD285" i="15"/>
  <c r="AC285" i="15"/>
  <c r="AB285" i="15"/>
  <c r="AA285" i="15"/>
  <c r="Z285" i="15"/>
  <c r="AD284" i="15"/>
  <c r="AC284" i="15"/>
  <c r="AB284" i="15"/>
  <c r="AA284" i="15"/>
  <c r="Z284" i="15"/>
  <c r="AD283" i="15"/>
  <c r="AC283" i="15"/>
  <c r="AB283" i="15"/>
  <c r="AA283" i="15"/>
  <c r="Z283" i="15"/>
  <c r="AD282" i="15"/>
  <c r="AC282" i="15"/>
  <c r="AB282" i="15"/>
  <c r="AA282" i="15"/>
  <c r="Z282" i="15"/>
  <c r="AD281" i="15"/>
  <c r="AC281" i="15"/>
  <c r="AB281" i="15"/>
  <c r="AA281" i="15"/>
  <c r="Z281" i="15"/>
  <c r="AD280" i="15"/>
  <c r="AC280" i="15"/>
  <c r="AB280" i="15"/>
  <c r="AA280" i="15"/>
  <c r="Z280" i="15"/>
  <c r="AD279" i="15"/>
  <c r="AC279" i="15"/>
  <c r="AB279" i="15"/>
  <c r="AA279" i="15"/>
  <c r="Z279" i="15"/>
  <c r="AD278" i="15"/>
  <c r="AC278" i="15"/>
  <c r="AB278" i="15"/>
  <c r="AA278" i="15"/>
  <c r="Z278" i="15"/>
  <c r="AD277" i="15"/>
  <c r="AC277" i="15"/>
  <c r="AB277" i="15"/>
  <c r="AA277" i="15"/>
  <c r="Z277" i="15"/>
  <c r="AD276" i="15"/>
  <c r="AC276" i="15"/>
  <c r="AB276" i="15"/>
  <c r="AA276" i="15"/>
  <c r="Z276" i="15"/>
  <c r="AD275" i="15"/>
  <c r="AC275" i="15"/>
  <c r="AB275" i="15"/>
  <c r="AA275" i="15"/>
  <c r="Z275" i="15"/>
  <c r="AD274" i="15"/>
  <c r="AC274" i="15"/>
  <c r="AB274" i="15"/>
  <c r="AA274" i="15"/>
  <c r="Z274" i="15"/>
  <c r="AD273" i="15"/>
  <c r="AC273" i="15"/>
  <c r="AB273" i="15"/>
  <c r="AA273" i="15"/>
  <c r="Z273" i="15"/>
  <c r="AD272" i="15"/>
  <c r="AC272" i="15"/>
  <c r="AB272" i="15"/>
  <c r="AA272" i="15"/>
  <c r="Z272" i="15"/>
  <c r="AD271" i="15"/>
  <c r="AC271" i="15"/>
  <c r="AB271" i="15"/>
  <c r="AA271" i="15"/>
  <c r="Z271" i="15"/>
  <c r="AD270" i="15"/>
  <c r="AC270" i="15"/>
  <c r="AB270" i="15"/>
  <c r="AA270" i="15"/>
  <c r="Z270" i="15"/>
  <c r="AD269" i="15"/>
  <c r="AC269" i="15"/>
  <c r="AB269" i="15"/>
  <c r="AA269" i="15"/>
  <c r="Z269" i="15"/>
  <c r="AD268" i="15"/>
  <c r="AC268" i="15"/>
  <c r="AB268" i="15"/>
  <c r="AA268" i="15"/>
  <c r="Z268" i="15"/>
  <c r="AD267" i="15"/>
  <c r="AC267" i="15"/>
  <c r="AB267" i="15"/>
  <c r="AA267" i="15"/>
  <c r="Z267" i="15"/>
  <c r="AD266" i="15"/>
  <c r="AC266" i="15"/>
  <c r="AB266" i="15"/>
  <c r="AA266" i="15"/>
  <c r="Z266" i="15"/>
  <c r="AD265" i="15"/>
  <c r="AC265" i="15"/>
  <c r="AB265" i="15"/>
  <c r="AA265" i="15"/>
  <c r="Z265" i="15"/>
  <c r="AD264" i="15"/>
  <c r="AC264" i="15"/>
  <c r="AB264" i="15"/>
  <c r="AA264" i="15"/>
  <c r="Z264" i="15"/>
  <c r="AD263" i="15"/>
  <c r="AC263" i="15"/>
  <c r="AB263" i="15"/>
  <c r="AA263" i="15"/>
  <c r="Z263" i="15"/>
  <c r="AD262" i="15"/>
  <c r="AC262" i="15"/>
  <c r="AB262" i="15"/>
  <c r="AA262" i="15"/>
  <c r="Z262" i="15"/>
  <c r="AD261" i="15"/>
  <c r="AC261" i="15"/>
  <c r="AB261" i="15"/>
  <c r="AA261" i="15"/>
  <c r="Z261" i="15"/>
  <c r="AD260" i="15"/>
  <c r="AC260" i="15"/>
  <c r="AB260" i="15"/>
  <c r="AA260" i="15"/>
  <c r="Z260" i="15"/>
  <c r="AD259" i="15"/>
  <c r="AC259" i="15"/>
  <c r="AB259" i="15"/>
  <c r="AA259" i="15"/>
  <c r="Z259" i="15"/>
  <c r="AD258" i="15"/>
  <c r="AC258" i="15"/>
  <c r="AB258" i="15"/>
  <c r="AA258" i="15"/>
  <c r="Z258" i="15"/>
  <c r="AD257" i="15"/>
  <c r="AC257" i="15"/>
  <c r="AB257" i="15"/>
  <c r="AA257" i="15"/>
  <c r="Z257" i="15"/>
  <c r="AD256" i="15"/>
  <c r="AC256" i="15"/>
  <c r="AB256" i="15"/>
  <c r="AA256" i="15"/>
  <c r="Z256" i="15"/>
  <c r="AD254" i="15"/>
  <c r="AC254" i="15"/>
  <c r="AB254" i="15"/>
  <c r="AA254" i="15"/>
  <c r="Z254" i="15"/>
  <c r="AD253" i="15"/>
  <c r="AC253" i="15"/>
  <c r="AB253" i="15"/>
  <c r="AA253" i="15"/>
  <c r="Z253" i="15"/>
  <c r="AD252" i="15"/>
  <c r="AC252" i="15"/>
  <c r="AB252" i="15"/>
  <c r="AA252" i="15"/>
  <c r="Z252" i="15"/>
  <c r="AD251" i="15"/>
  <c r="AC251" i="15"/>
  <c r="AB251" i="15"/>
  <c r="AA251" i="15"/>
  <c r="Z251" i="15"/>
  <c r="AD250" i="15"/>
  <c r="AC250" i="15"/>
  <c r="AB250" i="15"/>
  <c r="AA250" i="15"/>
  <c r="Z250" i="15"/>
  <c r="AD249" i="15"/>
  <c r="AC249" i="15"/>
  <c r="AB249" i="15"/>
  <c r="AA249" i="15"/>
  <c r="Z249" i="15"/>
  <c r="AD248" i="15"/>
  <c r="AC248" i="15"/>
  <c r="AB248" i="15"/>
  <c r="AA248" i="15"/>
  <c r="Z248" i="15"/>
  <c r="AD247" i="15"/>
  <c r="AC247" i="15"/>
  <c r="AB247" i="15"/>
  <c r="AA247" i="15"/>
  <c r="Z247" i="15"/>
  <c r="AD246" i="15"/>
  <c r="AC246" i="15"/>
  <c r="AB246" i="15"/>
  <c r="AA246" i="15"/>
  <c r="Z246" i="15"/>
  <c r="AD245" i="15"/>
  <c r="AC245" i="15"/>
  <c r="AB245" i="15"/>
  <c r="AA245" i="15"/>
  <c r="Z245" i="15"/>
  <c r="AD244" i="15"/>
  <c r="AC244" i="15"/>
  <c r="AB244" i="15"/>
  <c r="AA244" i="15"/>
  <c r="Z244" i="15"/>
  <c r="AD243" i="15"/>
  <c r="AC243" i="15"/>
  <c r="AB243" i="15"/>
  <c r="AA243" i="15"/>
  <c r="Z243" i="15"/>
  <c r="AD242" i="15"/>
  <c r="AC242" i="15"/>
  <c r="AB242" i="15"/>
  <c r="AA242" i="15"/>
  <c r="Z242" i="15"/>
  <c r="AD241" i="15"/>
  <c r="AC241" i="15"/>
  <c r="AB241" i="15"/>
  <c r="AA241" i="15"/>
  <c r="Z241" i="15"/>
  <c r="AD240" i="15"/>
  <c r="AC240" i="15"/>
  <c r="AB240" i="15"/>
  <c r="AA240" i="15"/>
  <c r="Z240" i="15"/>
  <c r="AD239" i="15"/>
  <c r="AC239" i="15"/>
  <c r="AB239" i="15"/>
  <c r="AA239" i="15"/>
  <c r="Z239" i="15"/>
  <c r="AD238" i="15"/>
  <c r="AC238" i="15"/>
  <c r="AB238" i="15"/>
  <c r="AA238" i="15"/>
  <c r="Z238" i="15"/>
  <c r="AD237" i="15"/>
  <c r="AC237" i="15"/>
  <c r="AB237" i="15"/>
  <c r="AA237" i="15"/>
  <c r="Z237" i="15"/>
  <c r="AD236" i="15"/>
  <c r="AC236" i="15"/>
  <c r="AB236" i="15"/>
  <c r="AA236" i="15"/>
  <c r="Z236" i="15"/>
  <c r="AD235" i="15"/>
  <c r="AC235" i="15"/>
  <c r="AB235" i="15"/>
  <c r="AA235" i="15"/>
  <c r="Z235" i="15"/>
  <c r="AD234" i="15"/>
  <c r="AC234" i="15"/>
  <c r="AB234" i="15"/>
  <c r="AA234" i="15"/>
  <c r="Z234" i="15"/>
  <c r="AD233" i="15"/>
  <c r="AC233" i="15"/>
  <c r="AB233" i="15"/>
  <c r="AA233" i="15"/>
  <c r="Z233" i="15"/>
  <c r="AD232" i="15"/>
  <c r="AC232" i="15"/>
  <c r="AB232" i="15"/>
  <c r="AA232" i="15"/>
  <c r="Z232" i="15"/>
  <c r="AD231" i="15"/>
  <c r="AC231" i="15"/>
  <c r="AB231" i="15"/>
  <c r="AA231" i="15"/>
  <c r="Z231" i="15"/>
  <c r="AD230" i="15"/>
  <c r="AC230" i="15"/>
  <c r="AB230" i="15"/>
  <c r="AA230" i="15"/>
  <c r="Z230" i="15"/>
  <c r="AD229" i="15"/>
  <c r="AC229" i="15"/>
  <c r="AB229" i="15"/>
  <c r="AA229" i="15"/>
  <c r="Z229" i="15"/>
  <c r="AD228" i="15"/>
  <c r="AC228" i="15"/>
  <c r="AB228" i="15"/>
  <c r="AA228" i="15"/>
  <c r="Z228" i="15"/>
  <c r="AD227" i="15"/>
  <c r="AC227" i="15"/>
  <c r="AB227" i="15"/>
  <c r="AA227" i="15"/>
  <c r="Z227" i="15"/>
  <c r="AD226" i="15"/>
  <c r="AC226" i="15"/>
  <c r="AB226" i="15"/>
  <c r="AA226" i="15"/>
  <c r="Z226" i="15"/>
  <c r="AD225" i="15"/>
  <c r="AC225" i="15"/>
  <c r="AB225" i="15"/>
  <c r="AA225" i="15"/>
  <c r="Z225" i="15"/>
  <c r="AD32" i="15"/>
  <c r="AC32" i="15"/>
  <c r="AB32" i="15"/>
  <c r="AA32" i="15"/>
  <c r="Z32" i="15"/>
  <c r="Y32" i="15"/>
  <c r="X32" i="15"/>
  <c r="AD31" i="15"/>
  <c r="AC31" i="15"/>
  <c r="AB31" i="15"/>
  <c r="AA31" i="15"/>
  <c r="Z31" i="15"/>
  <c r="Y31" i="15"/>
  <c r="X31" i="15"/>
  <c r="AD30" i="15"/>
  <c r="AC30" i="15"/>
  <c r="AB30" i="15"/>
  <c r="AA30" i="15"/>
  <c r="Z30" i="15"/>
  <c r="Y30" i="15"/>
  <c r="X30" i="15"/>
  <c r="AD29" i="15"/>
  <c r="AC29" i="15"/>
  <c r="AB29" i="15"/>
  <c r="AA29" i="15"/>
  <c r="Z29" i="15"/>
  <c r="Y29" i="15"/>
  <c r="AD28" i="15"/>
  <c r="AC28" i="15"/>
  <c r="AB28" i="15"/>
  <c r="AA28" i="15"/>
  <c r="Z28" i="15"/>
  <c r="Y28" i="15"/>
  <c r="G23" i="3"/>
  <c r="G526" i="33" s="1"/>
  <c r="G24" i="3"/>
  <c r="G527" i="33" s="1"/>
  <c r="G25" i="3"/>
  <c r="G528" i="33" s="1"/>
  <c r="G26" i="3"/>
  <c r="G529" i="33" s="1"/>
  <c r="G27" i="3"/>
  <c r="G530" i="33" s="1"/>
  <c r="G28" i="3"/>
  <c r="G531" i="33" s="1"/>
  <c r="G29" i="3"/>
  <c r="G532" i="33" s="1"/>
  <c r="G30" i="3"/>
  <c r="G533" i="33" s="1"/>
  <c r="G31" i="3"/>
  <c r="G534" i="33" s="1"/>
  <c r="G32" i="3"/>
  <c r="G535" i="33" s="1"/>
  <c r="G33" i="3"/>
  <c r="G536" i="33" s="1"/>
  <c r="G34" i="3"/>
  <c r="G537" i="33" s="1"/>
  <c r="G35" i="3"/>
  <c r="G538" i="33" s="1"/>
  <c r="G36" i="3"/>
  <c r="G539" i="33" s="1"/>
  <c r="G37" i="3"/>
  <c r="G540" i="33" s="1"/>
  <c r="G38" i="3"/>
  <c r="G541" i="33" s="1"/>
  <c r="G39" i="3"/>
  <c r="G542" i="33" s="1"/>
  <c r="G40" i="3"/>
  <c r="G543" i="33" s="1"/>
  <c r="G45" i="3"/>
  <c r="G548" i="33" s="1"/>
  <c r="G46" i="3"/>
  <c r="G549" i="33" s="1"/>
  <c r="G47" i="3"/>
  <c r="G550" i="33" s="1"/>
  <c r="G48" i="3"/>
  <c r="G551" i="33" s="1"/>
  <c r="G49" i="3"/>
  <c r="G552" i="33" s="1"/>
  <c r="G50" i="3"/>
  <c r="G553" i="33" s="1"/>
  <c r="G51" i="3"/>
  <c r="G554" i="33" s="1"/>
  <c r="G52" i="3"/>
  <c r="G555" i="33" s="1"/>
  <c r="G53" i="3"/>
  <c r="G556" i="33" s="1"/>
  <c r="G54" i="3"/>
  <c r="G557" i="33" s="1"/>
  <c r="G55" i="3"/>
  <c r="G558" i="33" s="1"/>
  <c r="G56" i="3"/>
  <c r="G559" i="33" s="1"/>
  <c r="G57" i="3"/>
  <c r="G560" i="33" s="1"/>
  <c r="G58" i="3"/>
  <c r="G561" i="33" s="1"/>
  <c r="G59" i="3"/>
  <c r="G562" i="33" s="1"/>
  <c r="G60" i="3"/>
  <c r="G563" i="33" s="1"/>
  <c r="G61" i="3"/>
  <c r="G564" i="33" s="1"/>
  <c r="G62" i="3"/>
  <c r="G565" i="33" s="1"/>
  <c r="G63" i="3"/>
  <c r="G566" i="33" s="1"/>
  <c r="G64" i="3"/>
  <c r="G567" i="33" s="1"/>
  <c r="G65" i="3"/>
  <c r="G568" i="33" s="1"/>
  <c r="G66" i="3"/>
  <c r="G569" i="33" s="1"/>
  <c r="G69" i="3"/>
  <c r="G572" i="33" s="1"/>
  <c r="G70" i="3"/>
  <c r="G573" i="33" s="1"/>
  <c r="G71" i="3"/>
  <c r="G574" i="33" s="1"/>
  <c r="G72" i="3"/>
  <c r="G575" i="33" s="1"/>
  <c r="G73" i="3"/>
  <c r="G576" i="33" s="1"/>
  <c r="G74" i="3"/>
  <c r="G577" i="33" s="1"/>
  <c r="G75" i="3"/>
  <c r="G578" i="33" s="1"/>
  <c r="G76" i="3"/>
  <c r="G579" i="33" s="1"/>
  <c r="G77" i="3"/>
  <c r="G580" i="33" s="1"/>
  <c r="G79" i="3"/>
  <c r="G582" i="33" s="1"/>
  <c r="G80" i="3"/>
  <c r="G583" i="33" s="1"/>
  <c r="G81" i="3"/>
  <c r="G584" i="33" s="1"/>
  <c r="G82" i="3"/>
  <c r="G585" i="33" s="1"/>
  <c r="G83" i="3"/>
  <c r="G586" i="33" s="1"/>
  <c r="G84" i="3"/>
  <c r="G587" i="33" s="1"/>
  <c r="G85" i="3"/>
  <c r="G588" i="33" s="1"/>
  <c r="G86" i="3"/>
  <c r="G589" i="33" s="1"/>
  <c r="G87" i="3"/>
  <c r="G590" i="33" s="1"/>
  <c r="G88" i="3"/>
  <c r="G591" i="33" s="1"/>
  <c r="G592" i="33"/>
  <c r="L156" i="4"/>
  <c r="L155" i="4"/>
  <c r="L154" i="4"/>
  <c r="L153" i="4"/>
  <c r="L152" i="4"/>
  <c r="L151" i="4"/>
  <c r="L150" i="4"/>
  <c r="L149" i="4"/>
  <c r="L142" i="4"/>
  <c r="K218" i="15" s="1"/>
  <c r="L141" i="4"/>
  <c r="K217" i="15" s="1"/>
  <c r="L140" i="4"/>
  <c r="K216" i="15" s="1"/>
  <c r="L139" i="4"/>
  <c r="K215" i="15" s="1"/>
  <c r="L138" i="4"/>
  <c r="K214" i="15" s="1"/>
  <c r="L137" i="4"/>
  <c r="K213" i="15" s="1"/>
  <c r="L136" i="4"/>
  <c r="K212" i="15" s="1"/>
  <c r="L135" i="4"/>
  <c r="K211" i="15" s="1"/>
  <c r="L134" i="4"/>
  <c r="K210" i="15" s="1"/>
  <c r="L133" i="4"/>
  <c r="K209" i="15" s="1"/>
  <c r="L132" i="4"/>
  <c r="K197" i="15" s="1"/>
  <c r="L131" i="4"/>
  <c r="K196" i="15" s="1"/>
  <c r="L130" i="4"/>
  <c r="K195" i="15" s="1"/>
  <c r="L129" i="4"/>
  <c r="K194" i="15" s="1"/>
  <c r="L128" i="4"/>
  <c r="K193" i="15" s="1"/>
  <c r="L127" i="4"/>
  <c r="K192" i="15" s="1"/>
  <c r="L126" i="4"/>
  <c r="K191" i="15" s="1"/>
  <c r="L125" i="4"/>
  <c r="K190" i="15" s="1"/>
  <c r="L124" i="4"/>
  <c r="K189" i="15" s="1"/>
  <c r="L123" i="4"/>
  <c r="K188" i="15" s="1"/>
  <c r="L122" i="4"/>
  <c r="K176" i="15" s="1"/>
  <c r="L121" i="4"/>
  <c r="K175" i="15" s="1"/>
  <c r="L120" i="4"/>
  <c r="K174" i="15" s="1"/>
  <c r="L119" i="4"/>
  <c r="K173" i="15" s="1"/>
  <c r="L118" i="4"/>
  <c r="K172" i="15" s="1"/>
  <c r="L117" i="4"/>
  <c r="K171" i="15" s="1"/>
  <c r="L116" i="4"/>
  <c r="K170" i="15" s="1"/>
  <c r="L115" i="4"/>
  <c r="K169" i="15" s="1"/>
  <c r="L114" i="4"/>
  <c r="K168" i="15" s="1"/>
  <c r="L113" i="4"/>
  <c r="K167" i="15" s="1"/>
  <c r="L112" i="4"/>
  <c r="K166" i="15" s="1"/>
  <c r="L111" i="4"/>
  <c r="K165" i="15" s="1"/>
  <c r="L110" i="4"/>
  <c r="K164" i="15" s="1"/>
  <c r="L109" i="4"/>
  <c r="K163" i="15" s="1"/>
  <c r="L108" i="4"/>
  <c r="K162" i="15" s="1"/>
  <c r="L107" i="4"/>
  <c r="K161" i="15" s="1"/>
  <c r="L106" i="4"/>
  <c r="K160" i="15" s="1"/>
  <c r="L105" i="4"/>
  <c r="K159" i="15" s="1"/>
  <c r="L104" i="4"/>
  <c r="K158" i="15" s="1"/>
  <c r="L103" i="4"/>
  <c r="K157" i="15" s="1"/>
  <c r="L102" i="4"/>
  <c r="K130" i="15" s="1"/>
  <c r="L101" i="4"/>
  <c r="K129" i="15" s="1"/>
  <c r="L100" i="4"/>
  <c r="K128" i="15" s="1"/>
  <c r="L99" i="4"/>
  <c r="K127" i="15" s="1"/>
  <c r="L98" i="4"/>
  <c r="K126" i="15" s="1"/>
  <c r="L97" i="4"/>
  <c r="K125" i="15" s="1"/>
  <c r="L96" i="4"/>
  <c r="K124" i="15" s="1"/>
  <c r="L95" i="4"/>
  <c r="K123" i="15" s="1"/>
  <c r="L94" i="4"/>
  <c r="K122" i="15" s="1"/>
  <c r="L93" i="4"/>
  <c r="K121" i="15" s="1"/>
  <c r="L85" i="4"/>
  <c r="K208" i="15" s="1"/>
  <c r="L84" i="4"/>
  <c r="K207" i="15" s="1"/>
  <c r="L83" i="4"/>
  <c r="K206" i="15" s="1"/>
  <c r="L82" i="4"/>
  <c r="K205" i="15" s="1"/>
  <c r="L81" i="4"/>
  <c r="K204" i="15" s="1"/>
  <c r="L80" i="4"/>
  <c r="K203" i="15" s="1"/>
  <c r="L79" i="4"/>
  <c r="K202" i="15" s="1"/>
  <c r="L78" i="4"/>
  <c r="K201" i="15" s="1"/>
  <c r="L77" i="4"/>
  <c r="K200" i="15" s="1"/>
  <c r="L76" i="4"/>
  <c r="K199" i="15" s="1"/>
  <c r="L74" i="4"/>
  <c r="K187" i="15" s="1"/>
  <c r="L73" i="4"/>
  <c r="K186" i="15" s="1"/>
  <c r="L72" i="4"/>
  <c r="K185" i="15" s="1"/>
  <c r="L71" i="4"/>
  <c r="K184" i="15" s="1"/>
  <c r="L70" i="4"/>
  <c r="K183" i="15" s="1"/>
  <c r="L69" i="4"/>
  <c r="K182" i="15" s="1"/>
  <c r="L68" i="4"/>
  <c r="K181" i="15" s="1"/>
  <c r="L67" i="4"/>
  <c r="K180" i="15" s="1"/>
  <c r="L66" i="4"/>
  <c r="K179" i="15" s="1"/>
  <c r="L65" i="4"/>
  <c r="K178" i="15" s="1"/>
  <c r="L63" i="4"/>
  <c r="K156" i="15" s="1"/>
  <c r="L62" i="4"/>
  <c r="K155" i="15" s="1"/>
  <c r="L61" i="4"/>
  <c r="K154" i="15" s="1"/>
  <c r="L60" i="4"/>
  <c r="K153" i="15" s="1"/>
  <c r="L59" i="4"/>
  <c r="K152" i="15" s="1"/>
  <c r="L58" i="4"/>
  <c r="K151" i="15" s="1"/>
  <c r="L57" i="4"/>
  <c r="K150" i="15" s="1"/>
  <c r="L56" i="4"/>
  <c r="K149" i="15" s="1"/>
  <c r="L55" i="4"/>
  <c r="K148" i="15" s="1"/>
  <c r="L54" i="4"/>
  <c r="K147" i="15" s="1"/>
  <c r="L53" i="4"/>
  <c r="K146" i="15" s="1"/>
  <c r="L52" i="4"/>
  <c r="K145" i="15" s="1"/>
  <c r="L51" i="4"/>
  <c r="K144" i="15" s="1"/>
  <c r="L50" i="4"/>
  <c r="K143" i="15" s="1"/>
  <c r="L49" i="4"/>
  <c r="K142" i="15" s="1"/>
  <c r="L48" i="4"/>
  <c r="K141" i="15" s="1"/>
  <c r="L47" i="4"/>
  <c r="K140" i="15" s="1"/>
  <c r="L46" i="4"/>
  <c r="K139" i="15" s="1"/>
  <c r="L45" i="4"/>
  <c r="K138" i="15" s="1"/>
  <c r="L44" i="4"/>
  <c r="K137" i="15" s="1"/>
  <c r="L43" i="4"/>
  <c r="K136" i="15" s="1"/>
  <c r="L42" i="4"/>
  <c r="K135" i="15" s="1"/>
  <c r="L41" i="4"/>
  <c r="K134" i="15" s="1"/>
  <c r="L40" i="4"/>
  <c r="K133" i="15" s="1"/>
  <c r="L39" i="4"/>
  <c r="K132" i="15" s="1"/>
  <c r="L37" i="4"/>
  <c r="K120" i="15" s="1"/>
  <c r="L36" i="4"/>
  <c r="K119" i="15" s="1"/>
  <c r="L35" i="4"/>
  <c r="K118" i="15" s="1"/>
  <c r="L34" i="4"/>
  <c r="K117" i="15" s="1"/>
  <c r="L33" i="4"/>
  <c r="K116" i="15" s="1"/>
  <c r="L32" i="4"/>
  <c r="K115" i="15" s="1"/>
  <c r="L31" i="4"/>
  <c r="K114" i="15" s="1"/>
  <c r="L30" i="4"/>
  <c r="K113" i="15" s="1"/>
  <c r="L29" i="4"/>
  <c r="K112" i="15" s="1"/>
  <c r="L28" i="4"/>
  <c r="K111" i="15" s="1"/>
  <c r="L27" i="4"/>
  <c r="K110" i="15" s="1"/>
  <c r="L26" i="4"/>
  <c r="K109" i="15" s="1"/>
  <c r="L25" i="4"/>
  <c r="K108" i="15" s="1"/>
  <c r="L24" i="4"/>
  <c r="K107" i="15" s="1"/>
  <c r="L23" i="4"/>
  <c r="K106" i="15" s="1"/>
  <c r="L22" i="4"/>
  <c r="K105" i="15" s="1"/>
  <c r="L21" i="4"/>
  <c r="K104" i="15" s="1"/>
  <c r="L20" i="4"/>
  <c r="K103" i="15" s="1"/>
  <c r="L19" i="4"/>
  <c r="G19" i="4" s="1"/>
  <c r="G41" i="4"/>
  <c r="G42" i="4"/>
  <c r="G43" i="4"/>
  <c r="G44" i="4"/>
  <c r="G45" i="4"/>
  <c r="G46" i="4"/>
  <c r="G47" i="4"/>
  <c r="G48" i="4"/>
  <c r="G49" i="4"/>
  <c r="G50" i="4"/>
  <c r="G51" i="4"/>
  <c r="G52" i="4"/>
  <c r="G53" i="4"/>
  <c r="G54" i="4"/>
  <c r="G55" i="4"/>
  <c r="G56" i="4"/>
  <c r="G57" i="4"/>
  <c r="G58" i="4"/>
  <c r="G59" i="4"/>
  <c r="G60" i="4"/>
  <c r="G61" i="4"/>
  <c r="G62" i="4"/>
  <c r="G63" i="4"/>
  <c r="G21" i="4"/>
  <c r="G22" i="4"/>
  <c r="G23" i="4"/>
  <c r="G24" i="4"/>
  <c r="G25" i="4"/>
  <c r="G26" i="4"/>
  <c r="G27" i="4"/>
  <c r="G28" i="4"/>
  <c r="G29" i="4"/>
  <c r="G30" i="4"/>
  <c r="G31" i="4"/>
  <c r="G32" i="4"/>
  <c r="G33" i="4"/>
  <c r="G34" i="4"/>
  <c r="G35" i="4"/>
  <c r="G36" i="4"/>
  <c r="G37"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2" i="4"/>
  <c r="G101" i="4"/>
  <c r="G100" i="4"/>
  <c r="G98" i="4"/>
  <c r="G97" i="4"/>
  <c r="G96" i="4"/>
  <c r="G95" i="4"/>
  <c r="G85" i="4"/>
  <c r="G84" i="4"/>
  <c r="G83" i="4"/>
  <c r="G82" i="4"/>
  <c r="G81" i="4"/>
  <c r="G80" i="4"/>
  <c r="G79" i="4"/>
  <c r="G78" i="4"/>
  <c r="G77" i="4"/>
  <c r="G76" i="4"/>
  <c r="G74" i="4"/>
  <c r="G73" i="4"/>
  <c r="G72" i="4"/>
  <c r="G71" i="4"/>
  <c r="G70" i="4"/>
  <c r="G69" i="4"/>
  <c r="G68" i="4"/>
  <c r="G67" i="4"/>
  <c r="G66" i="4"/>
  <c r="L40" i="3"/>
  <c r="L39" i="3"/>
  <c r="L38" i="3"/>
  <c r="L37" i="3"/>
  <c r="L36" i="3"/>
  <c r="L35" i="3"/>
  <c r="L34" i="3"/>
  <c r="L33" i="3"/>
  <c r="L32" i="3"/>
  <c r="L31" i="3"/>
  <c r="L30" i="3"/>
  <c r="L29" i="3"/>
  <c r="L28" i="3"/>
  <c r="L27" i="3"/>
  <c r="L26" i="3"/>
  <c r="L24" i="3"/>
  <c r="L23" i="3"/>
  <c r="L22" i="3"/>
  <c r="L66" i="3"/>
  <c r="L65" i="3"/>
  <c r="L64" i="3"/>
  <c r="L63" i="3"/>
  <c r="L62" i="3"/>
  <c r="L61" i="3"/>
  <c r="L60" i="3"/>
  <c r="L59" i="3"/>
  <c r="L58" i="3"/>
  <c r="L57" i="3"/>
  <c r="L56" i="3"/>
  <c r="L55" i="3"/>
  <c r="L54" i="3"/>
  <c r="L53" i="3"/>
  <c r="L52" i="3"/>
  <c r="L51" i="3"/>
  <c r="L50" i="3"/>
  <c r="L49" i="3"/>
  <c r="L48" i="3"/>
  <c r="L47" i="3"/>
  <c r="L46" i="3"/>
  <c r="L45" i="3"/>
  <c r="L44" i="3"/>
  <c r="L43" i="3"/>
  <c r="G43" i="3" s="1"/>
  <c r="G546" i="33" s="1"/>
  <c r="L42" i="3"/>
  <c r="G42" i="3" s="1"/>
  <c r="G545" i="33" s="1"/>
  <c r="L68" i="3"/>
  <c r="L69" i="3"/>
  <c r="L70" i="3"/>
  <c r="L71" i="3"/>
  <c r="L72" i="3"/>
  <c r="L73" i="3"/>
  <c r="L74" i="3"/>
  <c r="L75" i="3"/>
  <c r="L76" i="3"/>
  <c r="L77" i="3"/>
  <c r="L79" i="3"/>
  <c r="L80" i="3"/>
  <c r="L81" i="3"/>
  <c r="L82" i="3"/>
  <c r="L83" i="3"/>
  <c r="L84" i="3"/>
  <c r="L85" i="3"/>
  <c r="L86" i="3"/>
  <c r="L87" i="3"/>
  <c r="L88" i="3"/>
  <c r="L96" i="3"/>
  <c r="J121" i="15" s="1"/>
  <c r="L97" i="3"/>
  <c r="J122" i="15" s="1"/>
  <c r="L98" i="3"/>
  <c r="J123" i="15" s="1"/>
  <c r="L99" i="3"/>
  <c r="J124" i="15" s="1"/>
  <c r="L100" i="3"/>
  <c r="J125" i="15" s="1"/>
  <c r="L101" i="3"/>
  <c r="J126" i="15" s="1"/>
  <c r="L102" i="3"/>
  <c r="J127" i="15" s="1"/>
  <c r="L103" i="3"/>
  <c r="J128" i="15" s="1"/>
  <c r="L104" i="3"/>
  <c r="J129" i="15" s="1"/>
  <c r="L105" i="3"/>
  <c r="J130" i="15" s="1"/>
  <c r="L106" i="3"/>
  <c r="J157" i="15" s="1"/>
  <c r="L107" i="3"/>
  <c r="J158" i="15" s="1"/>
  <c r="L108" i="3"/>
  <c r="J159" i="15" s="1"/>
  <c r="L109" i="3"/>
  <c r="J160" i="15" s="1"/>
  <c r="L110" i="3"/>
  <c r="J161" i="15" s="1"/>
  <c r="L111" i="3"/>
  <c r="J162" i="15" s="1"/>
  <c r="L112" i="3"/>
  <c r="J163" i="15" s="1"/>
  <c r="L113" i="3"/>
  <c r="J164" i="15" s="1"/>
  <c r="L114" i="3"/>
  <c r="J165" i="15" s="1"/>
  <c r="L115" i="3"/>
  <c r="J166" i="15" s="1"/>
  <c r="L116" i="3"/>
  <c r="J167" i="15" s="1"/>
  <c r="L117" i="3"/>
  <c r="J168" i="15" s="1"/>
  <c r="L118" i="3"/>
  <c r="J169" i="15" s="1"/>
  <c r="L119" i="3"/>
  <c r="J170" i="15" s="1"/>
  <c r="L120" i="3"/>
  <c r="J171" i="15" s="1"/>
  <c r="L121" i="3"/>
  <c r="J172" i="15" s="1"/>
  <c r="L122" i="3"/>
  <c r="J173" i="15" s="1"/>
  <c r="L123" i="3"/>
  <c r="J174" i="15" s="1"/>
  <c r="L124" i="3"/>
  <c r="J175" i="15" s="1"/>
  <c r="L125" i="3"/>
  <c r="J176" i="15" s="1"/>
  <c r="L126" i="3"/>
  <c r="J188" i="15" s="1"/>
  <c r="L127" i="3"/>
  <c r="J189" i="15" s="1"/>
  <c r="L128" i="3"/>
  <c r="J190" i="15" s="1"/>
  <c r="L129" i="3"/>
  <c r="J191" i="15" s="1"/>
  <c r="L130" i="3"/>
  <c r="J192" i="15" s="1"/>
  <c r="L131" i="3"/>
  <c r="J193" i="15" s="1"/>
  <c r="L132" i="3"/>
  <c r="J194" i="15" s="1"/>
  <c r="L133" i="3"/>
  <c r="J195" i="15" s="1"/>
  <c r="L134" i="3"/>
  <c r="J196" i="15" s="1"/>
  <c r="L135" i="3"/>
  <c r="J197" i="15" s="1"/>
  <c r="L136" i="3"/>
  <c r="J209" i="15" s="1"/>
  <c r="L137" i="3"/>
  <c r="J210" i="15" s="1"/>
  <c r="L138" i="3"/>
  <c r="J211" i="15" s="1"/>
  <c r="L139" i="3"/>
  <c r="J212" i="15" s="1"/>
  <c r="L140" i="3"/>
  <c r="J213" i="15" s="1"/>
  <c r="L141" i="3"/>
  <c r="J214" i="15" s="1"/>
  <c r="L142" i="3"/>
  <c r="J215" i="15" s="1"/>
  <c r="L143" i="3"/>
  <c r="J216" i="15" s="1"/>
  <c r="L144" i="3"/>
  <c r="J217" i="15" s="1"/>
  <c r="L145" i="3"/>
  <c r="J218" i="15" s="1"/>
  <c r="L153" i="3"/>
  <c r="L154" i="3"/>
  <c r="L155" i="3"/>
  <c r="L156" i="3"/>
  <c r="L157" i="3"/>
  <c r="L158" i="3"/>
  <c r="L159" i="3"/>
  <c r="L152" i="3"/>
  <c r="G65" i="4" l="1"/>
  <c r="J205" i="15"/>
  <c r="BB205" i="15" s="1"/>
  <c r="L588" i="33"/>
  <c r="J109" i="15"/>
  <c r="BA109" i="15" s="1"/>
  <c r="L532" i="33"/>
  <c r="J204" i="15"/>
  <c r="AY204" i="15" s="1"/>
  <c r="L587" i="33"/>
  <c r="J185" i="15"/>
  <c r="X185" i="15" s="1"/>
  <c r="L578" i="33"/>
  <c r="J140" i="15"/>
  <c r="AZ140" i="15" s="1"/>
  <c r="L553" i="33"/>
  <c r="J148" i="15"/>
  <c r="AY148" i="15" s="1"/>
  <c r="L561" i="33"/>
  <c r="J156" i="15"/>
  <c r="X156" i="15" s="1"/>
  <c r="L569" i="33"/>
  <c r="J110" i="15"/>
  <c r="X110" i="15" s="1"/>
  <c r="L533" i="33"/>
  <c r="J118" i="15"/>
  <c r="AX118" i="15" s="1"/>
  <c r="L541" i="33"/>
  <c r="J186" i="15"/>
  <c r="AX186" i="15" s="1"/>
  <c r="L579" i="33"/>
  <c r="J155" i="15"/>
  <c r="BA155" i="15" s="1"/>
  <c r="L568" i="33"/>
  <c r="J203" i="15"/>
  <c r="AF203" i="15" s="1"/>
  <c r="L586" i="33"/>
  <c r="J141" i="15"/>
  <c r="AZ141" i="15" s="1"/>
  <c r="L554" i="33"/>
  <c r="J150" i="15"/>
  <c r="BA150" i="15" s="1"/>
  <c r="L563" i="33"/>
  <c r="J119" i="15"/>
  <c r="AV119" i="15" s="1"/>
  <c r="L542" i="33"/>
  <c r="J142" i="15"/>
  <c r="AW142" i="15" s="1"/>
  <c r="L555" i="33"/>
  <c r="J201" i="15"/>
  <c r="BB201" i="15" s="1"/>
  <c r="L584" i="33"/>
  <c r="J182" i="15"/>
  <c r="AY182" i="15" s="1"/>
  <c r="L575" i="33"/>
  <c r="J143" i="15"/>
  <c r="BB143" i="15" s="1"/>
  <c r="L556" i="33"/>
  <c r="J151" i="15"/>
  <c r="BB151" i="15" s="1"/>
  <c r="L564" i="33"/>
  <c r="J113" i="15"/>
  <c r="AZ113" i="15" s="1"/>
  <c r="L536" i="33"/>
  <c r="J147" i="15"/>
  <c r="AW147" i="15" s="1"/>
  <c r="L560" i="33"/>
  <c r="J184" i="15"/>
  <c r="AF184" i="15" s="1"/>
  <c r="L577" i="33"/>
  <c r="J111" i="15"/>
  <c r="J177" i="33" s="1"/>
  <c r="L534" i="33"/>
  <c r="J202" i="15"/>
  <c r="AW202" i="15" s="1"/>
  <c r="L585" i="33"/>
  <c r="J120" i="15"/>
  <c r="AF120" i="15" s="1"/>
  <c r="L543" i="33"/>
  <c r="J208" i="15"/>
  <c r="BA208" i="15" s="1"/>
  <c r="L591" i="33"/>
  <c r="J200" i="15"/>
  <c r="J266" i="33" s="1"/>
  <c r="L583" i="33"/>
  <c r="J181" i="15"/>
  <c r="AY181" i="15" s="1"/>
  <c r="L574" i="33"/>
  <c r="J144" i="15"/>
  <c r="AZ144" i="15" s="1"/>
  <c r="L557" i="33"/>
  <c r="J152" i="15"/>
  <c r="AZ152" i="15" s="1"/>
  <c r="L565" i="33"/>
  <c r="J114" i="15"/>
  <c r="AV114" i="15" s="1"/>
  <c r="L537" i="33"/>
  <c r="J139" i="15"/>
  <c r="X139" i="15" s="1"/>
  <c r="L552" i="33"/>
  <c r="J183" i="15"/>
  <c r="AW183" i="15" s="1"/>
  <c r="L576" i="33"/>
  <c r="J207" i="15"/>
  <c r="AW207" i="15" s="1"/>
  <c r="L590" i="33"/>
  <c r="J180" i="15"/>
  <c r="J246" i="33" s="1"/>
  <c r="L573" i="33"/>
  <c r="J145" i="15"/>
  <c r="AY145" i="15" s="1"/>
  <c r="L558" i="33"/>
  <c r="J153" i="15"/>
  <c r="AW153" i="15" s="1"/>
  <c r="L566" i="33"/>
  <c r="J115" i="15"/>
  <c r="AZ115" i="15" s="1"/>
  <c r="L538" i="33"/>
  <c r="J117" i="15"/>
  <c r="BB117" i="15" s="1"/>
  <c r="L540" i="33"/>
  <c r="J149" i="15"/>
  <c r="AW149" i="15" s="1"/>
  <c r="L562" i="33"/>
  <c r="J112" i="15"/>
  <c r="AV112" i="15" s="1"/>
  <c r="L535" i="33"/>
  <c r="J206" i="15"/>
  <c r="BB206" i="15" s="1"/>
  <c r="L589" i="33"/>
  <c r="J187" i="15"/>
  <c r="AV187" i="15" s="1"/>
  <c r="L580" i="33"/>
  <c r="J179" i="15"/>
  <c r="X179" i="15" s="1"/>
  <c r="L572" i="33"/>
  <c r="J138" i="15"/>
  <c r="BA138" i="15" s="1"/>
  <c r="L551" i="33"/>
  <c r="J146" i="15"/>
  <c r="X146" i="15" s="1"/>
  <c r="L559" i="33"/>
  <c r="J154" i="15"/>
  <c r="BB154" i="15" s="1"/>
  <c r="L567" i="33"/>
  <c r="J116" i="15"/>
  <c r="AV116" i="15" s="1"/>
  <c r="L539" i="33"/>
  <c r="AG119" i="15"/>
  <c r="Y119" i="15"/>
  <c r="J279" i="33"/>
  <c r="AZ213" i="15"/>
  <c r="AY213" i="15"/>
  <c r="AW213" i="15"/>
  <c r="BB213" i="15"/>
  <c r="BA213" i="15"/>
  <c r="AX213" i="15"/>
  <c r="X213" i="15"/>
  <c r="J260" i="33"/>
  <c r="AW194" i="15"/>
  <c r="BB194" i="15"/>
  <c r="AZ194" i="15"/>
  <c r="BA194" i="15"/>
  <c r="AY194" i="15"/>
  <c r="AX194" i="15"/>
  <c r="X194" i="15"/>
  <c r="J241" i="33"/>
  <c r="BB175" i="15"/>
  <c r="AZ175" i="15"/>
  <c r="AX175" i="15"/>
  <c r="BA175" i="15"/>
  <c r="AY175" i="15"/>
  <c r="AW175" i="15"/>
  <c r="X175" i="15"/>
  <c r="J233" i="33"/>
  <c r="BB167" i="15"/>
  <c r="AZ167" i="15"/>
  <c r="AW167" i="15"/>
  <c r="AX167" i="15"/>
  <c r="BA167" i="15"/>
  <c r="AY167" i="15"/>
  <c r="X167" i="15"/>
  <c r="J271" i="33"/>
  <c r="AY205" i="15"/>
  <c r="AX205" i="15"/>
  <c r="AW205" i="15"/>
  <c r="BA205" i="15"/>
  <c r="X205" i="15"/>
  <c r="J252" i="33"/>
  <c r="AG112" i="15"/>
  <c r="Y112" i="15"/>
  <c r="AG120" i="15"/>
  <c r="Y120" i="15"/>
  <c r="AG139" i="15"/>
  <c r="Y139" i="15"/>
  <c r="AG147" i="15"/>
  <c r="Y147" i="15"/>
  <c r="AG155" i="15"/>
  <c r="Y155" i="15"/>
  <c r="AG184" i="15"/>
  <c r="Y184" i="15"/>
  <c r="AG203" i="15"/>
  <c r="AV165" i="15"/>
  <c r="AG165" i="15"/>
  <c r="AF165" i="15"/>
  <c r="Y165" i="15"/>
  <c r="AG173" i="15"/>
  <c r="AF173" i="15"/>
  <c r="AV173" i="15"/>
  <c r="Y173" i="15"/>
  <c r="AV192" i="15"/>
  <c r="AF192" i="15"/>
  <c r="AG192" i="15"/>
  <c r="Y192" i="15"/>
  <c r="AV211" i="15"/>
  <c r="AG211" i="15"/>
  <c r="AF211" i="15"/>
  <c r="Y211" i="15"/>
  <c r="J242" i="33"/>
  <c r="BA176" i="15"/>
  <c r="AX176" i="15"/>
  <c r="AW176" i="15"/>
  <c r="AY176" i="15"/>
  <c r="BB176" i="15"/>
  <c r="AZ176" i="15"/>
  <c r="X176" i="15"/>
  <c r="AG146" i="15"/>
  <c r="Y146" i="15"/>
  <c r="AV210" i="15"/>
  <c r="AG210" i="15"/>
  <c r="AF210" i="15"/>
  <c r="Y210" i="15"/>
  <c r="J259" i="33"/>
  <c r="BA193" i="15"/>
  <c r="AZ193" i="15"/>
  <c r="AY193" i="15"/>
  <c r="BB193" i="15"/>
  <c r="AW193" i="15"/>
  <c r="AX193" i="15"/>
  <c r="X193" i="15"/>
  <c r="J240" i="33"/>
  <c r="BB174" i="15"/>
  <c r="BA174" i="15"/>
  <c r="AY174" i="15"/>
  <c r="AX174" i="15"/>
  <c r="AW174" i="15"/>
  <c r="AZ174" i="15"/>
  <c r="X174" i="15"/>
  <c r="J232" i="33"/>
  <c r="BB166" i="15"/>
  <c r="BA166" i="15"/>
  <c r="AY166" i="15"/>
  <c r="AW166" i="15"/>
  <c r="AZ166" i="15"/>
  <c r="AX166" i="15"/>
  <c r="X166" i="15"/>
  <c r="AV113" i="15"/>
  <c r="AG113" i="15"/>
  <c r="Y113" i="15"/>
  <c r="AG140" i="15"/>
  <c r="Y140" i="15"/>
  <c r="AG148" i="15"/>
  <c r="Y148" i="15"/>
  <c r="AG156" i="15"/>
  <c r="Y156" i="15"/>
  <c r="AG185" i="15"/>
  <c r="Y185" i="15"/>
  <c r="AG204" i="15"/>
  <c r="Y204" i="15"/>
  <c r="AG166" i="15"/>
  <c r="AV166" i="15"/>
  <c r="AF166" i="15"/>
  <c r="Y166" i="15"/>
  <c r="AG174" i="15"/>
  <c r="AV174" i="15"/>
  <c r="AF174" i="15"/>
  <c r="Y174" i="15"/>
  <c r="AV193" i="15"/>
  <c r="AF193" i="15"/>
  <c r="AG193" i="15"/>
  <c r="Y193" i="15"/>
  <c r="AV212" i="15"/>
  <c r="AG212" i="15"/>
  <c r="AF212" i="15"/>
  <c r="Y212" i="15"/>
  <c r="AG111" i="15"/>
  <c r="Y111" i="15"/>
  <c r="AV191" i="15"/>
  <c r="AF191" i="15"/>
  <c r="AG191" i="15"/>
  <c r="Y191" i="15"/>
  <c r="J239" i="33"/>
  <c r="BA173" i="15"/>
  <c r="AZ173" i="15"/>
  <c r="AX173" i="15"/>
  <c r="AY173" i="15"/>
  <c r="BB173" i="15"/>
  <c r="AW173" i="15"/>
  <c r="X173" i="15"/>
  <c r="J231" i="33"/>
  <c r="BA165" i="15"/>
  <c r="AZ165" i="15"/>
  <c r="AX165" i="15"/>
  <c r="AW165" i="15"/>
  <c r="AY165" i="15"/>
  <c r="BB165" i="15"/>
  <c r="X165" i="15"/>
  <c r="AG114" i="15"/>
  <c r="Y114" i="15"/>
  <c r="AG141" i="15"/>
  <c r="Y141" i="15"/>
  <c r="AG149" i="15"/>
  <c r="Y149" i="15"/>
  <c r="K244" i="33"/>
  <c r="AG178" i="15"/>
  <c r="Y178" i="15"/>
  <c r="AG186" i="15"/>
  <c r="Y186" i="15"/>
  <c r="AV205" i="15"/>
  <c r="AG205" i="15"/>
  <c r="AF205" i="15"/>
  <c r="Y205" i="15"/>
  <c r="AV167" i="15"/>
  <c r="AF167" i="15"/>
  <c r="AG167" i="15"/>
  <c r="Y167" i="15"/>
  <c r="AF175" i="15"/>
  <c r="AV175" i="15"/>
  <c r="AG175" i="15"/>
  <c r="Y175" i="15"/>
  <c r="AV194" i="15"/>
  <c r="AG194" i="15"/>
  <c r="AF194" i="15"/>
  <c r="Y194" i="15"/>
  <c r="AV213" i="15"/>
  <c r="AG213" i="15"/>
  <c r="AF213" i="15"/>
  <c r="Y213" i="15"/>
  <c r="J280" i="33"/>
  <c r="BA214" i="15"/>
  <c r="AZ214" i="15"/>
  <c r="AX214" i="15"/>
  <c r="AW214" i="15"/>
  <c r="BB214" i="15"/>
  <c r="AY214" i="15"/>
  <c r="X214" i="15"/>
  <c r="AG183" i="15"/>
  <c r="Y183" i="15"/>
  <c r="AV164" i="15"/>
  <c r="AG164" i="15"/>
  <c r="AF164" i="15"/>
  <c r="Y164" i="15"/>
  <c r="J284" i="33"/>
  <c r="AW218" i="15"/>
  <c r="BB218" i="15"/>
  <c r="BA218" i="15"/>
  <c r="AY218" i="15"/>
  <c r="AX218" i="15"/>
  <c r="AZ218" i="15"/>
  <c r="X218" i="15"/>
  <c r="J276" i="33"/>
  <c r="AZ210" i="15"/>
  <c r="AW210" i="15"/>
  <c r="BB210" i="15"/>
  <c r="BA210" i="15"/>
  <c r="AY210" i="15"/>
  <c r="AX210" i="15"/>
  <c r="X210" i="15"/>
  <c r="J257" i="33"/>
  <c r="BB191" i="15"/>
  <c r="BA191" i="15"/>
  <c r="AY191" i="15"/>
  <c r="AZ191" i="15"/>
  <c r="AX191" i="15"/>
  <c r="AW191" i="15"/>
  <c r="X191" i="15"/>
  <c r="J238" i="33"/>
  <c r="AZ172" i="15"/>
  <c r="AY172" i="15"/>
  <c r="AW172" i="15"/>
  <c r="BA172" i="15"/>
  <c r="AX172" i="15"/>
  <c r="BB172" i="15"/>
  <c r="X172" i="15"/>
  <c r="J230" i="33"/>
  <c r="AZ164" i="15"/>
  <c r="AY164" i="15"/>
  <c r="AW164" i="15"/>
  <c r="AX164" i="15"/>
  <c r="BB164" i="15"/>
  <c r="BA164" i="15"/>
  <c r="X164" i="15"/>
  <c r="AG107" i="15"/>
  <c r="Y107" i="15"/>
  <c r="AG115" i="15"/>
  <c r="Y115" i="15"/>
  <c r="AG142" i="15"/>
  <c r="Y142" i="15"/>
  <c r="AG150" i="15"/>
  <c r="Y150" i="15"/>
  <c r="AG179" i="15"/>
  <c r="Y179" i="15"/>
  <c r="AG187" i="15"/>
  <c r="Y187" i="15"/>
  <c r="AG206" i="15"/>
  <c r="Y206" i="15"/>
  <c r="AV168" i="15"/>
  <c r="AF168" i="15"/>
  <c r="AG168" i="15"/>
  <c r="Y168" i="15"/>
  <c r="AV176" i="15"/>
  <c r="AF176" i="15"/>
  <c r="AG176" i="15"/>
  <c r="Y176" i="15"/>
  <c r="AG195" i="15"/>
  <c r="AV195" i="15"/>
  <c r="AF195" i="15"/>
  <c r="Y195" i="15"/>
  <c r="AV214" i="15"/>
  <c r="AG214" i="15"/>
  <c r="AF214" i="15"/>
  <c r="Y214" i="15"/>
  <c r="J234" i="33"/>
  <c r="BA168" i="15"/>
  <c r="BB168" i="15"/>
  <c r="AZ168" i="15"/>
  <c r="AW168" i="15"/>
  <c r="AY168" i="15"/>
  <c r="AX168" i="15"/>
  <c r="X168" i="15"/>
  <c r="AG138" i="15"/>
  <c r="Y138" i="15"/>
  <c r="J277" i="33"/>
  <c r="BA211" i="15"/>
  <c r="AX211" i="15"/>
  <c r="AW211" i="15"/>
  <c r="AY211" i="15"/>
  <c r="BB211" i="15"/>
  <c r="AZ211" i="15"/>
  <c r="X211" i="15"/>
  <c r="J283" i="33"/>
  <c r="BA217" i="15"/>
  <c r="AZ217" i="15"/>
  <c r="AX217" i="15"/>
  <c r="AW217" i="15"/>
  <c r="AY217" i="15"/>
  <c r="BB217" i="15"/>
  <c r="X217" i="15"/>
  <c r="J275" i="33"/>
  <c r="AY209" i="15"/>
  <c r="BB209" i="15"/>
  <c r="BA209" i="15"/>
  <c r="AX209" i="15"/>
  <c r="AZ209" i="15"/>
  <c r="AW209" i="15"/>
  <c r="X209" i="15"/>
  <c r="J256" i="33"/>
  <c r="BA190" i="15"/>
  <c r="AZ190" i="15"/>
  <c r="AX190" i="15"/>
  <c r="AW190" i="15"/>
  <c r="BB190" i="15"/>
  <c r="AY190" i="15"/>
  <c r="X190" i="15"/>
  <c r="J237" i="33"/>
  <c r="AY171" i="15"/>
  <c r="AX171" i="15"/>
  <c r="BA171" i="15"/>
  <c r="BB171" i="15"/>
  <c r="AZ171" i="15"/>
  <c r="AW171" i="15"/>
  <c r="X171" i="15"/>
  <c r="J229" i="33"/>
  <c r="AY163" i="15"/>
  <c r="AX163" i="15"/>
  <c r="AZ163" i="15"/>
  <c r="AW163" i="15"/>
  <c r="BA163" i="15"/>
  <c r="BB163" i="15"/>
  <c r="AG108" i="15"/>
  <c r="Y108" i="15"/>
  <c r="AG116" i="15"/>
  <c r="Y116" i="15"/>
  <c r="AG143" i="15"/>
  <c r="Y143" i="15"/>
  <c r="AG151" i="15"/>
  <c r="Y151" i="15"/>
  <c r="AG180" i="15"/>
  <c r="AG199" i="15"/>
  <c r="AG207" i="15"/>
  <c r="Y207" i="15"/>
  <c r="AV169" i="15"/>
  <c r="AG169" i="15"/>
  <c r="AF169" i="15"/>
  <c r="Y169" i="15"/>
  <c r="AV188" i="15"/>
  <c r="AG188" i="15"/>
  <c r="AF188" i="15"/>
  <c r="Y188" i="15"/>
  <c r="AV196" i="15"/>
  <c r="AG196" i="15"/>
  <c r="AF196" i="15"/>
  <c r="Y196" i="15"/>
  <c r="AV215" i="15"/>
  <c r="AF215" i="15"/>
  <c r="AG215" i="15"/>
  <c r="Y215" i="15"/>
  <c r="AG202" i="15"/>
  <c r="Y202" i="15"/>
  <c r="AV172" i="15"/>
  <c r="AG172" i="15"/>
  <c r="AF172" i="15"/>
  <c r="Y172" i="15"/>
  <c r="J258" i="33"/>
  <c r="BB192" i="15"/>
  <c r="AZ192" i="15"/>
  <c r="BA192" i="15"/>
  <c r="AW192" i="15"/>
  <c r="AY192" i="15"/>
  <c r="AX192" i="15"/>
  <c r="X192" i="15"/>
  <c r="J282" i="33"/>
  <c r="BB216" i="15"/>
  <c r="AZ216" i="15"/>
  <c r="AY216" i="15"/>
  <c r="AW216" i="15"/>
  <c r="BA216" i="15"/>
  <c r="AX216" i="15"/>
  <c r="X216" i="15"/>
  <c r="J263" i="33"/>
  <c r="AZ197" i="15"/>
  <c r="AY197" i="15"/>
  <c r="AW197" i="15"/>
  <c r="AX197" i="15"/>
  <c r="BA197" i="15"/>
  <c r="BB197" i="15"/>
  <c r="X197" i="15"/>
  <c r="J255" i="33"/>
  <c r="AZ189" i="15"/>
  <c r="AY189" i="15"/>
  <c r="AW189" i="15"/>
  <c r="BB189" i="15"/>
  <c r="BA189" i="15"/>
  <c r="AX189" i="15"/>
  <c r="X189" i="15"/>
  <c r="J236" i="33"/>
  <c r="AX170" i="15"/>
  <c r="AW170" i="15"/>
  <c r="BA170" i="15"/>
  <c r="AZ170" i="15"/>
  <c r="BB170" i="15"/>
  <c r="AY170" i="15"/>
  <c r="X170" i="15"/>
  <c r="J228" i="33"/>
  <c r="AW162" i="15"/>
  <c r="BB162" i="15"/>
  <c r="AY162" i="15"/>
  <c r="BA162" i="15"/>
  <c r="AZ162" i="15"/>
  <c r="AX162" i="15"/>
  <c r="AV109" i="15"/>
  <c r="AG109" i="15"/>
  <c r="AF109" i="15"/>
  <c r="Y109" i="15"/>
  <c r="AG117" i="15"/>
  <c r="Y117" i="15"/>
  <c r="AG144" i="15"/>
  <c r="Y144" i="15"/>
  <c r="AG152" i="15"/>
  <c r="Y152" i="15"/>
  <c r="AG181" i="15"/>
  <c r="AG200" i="15"/>
  <c r="Y200" i="15"/>
  <c r="AG208" i="15"/>
  <c r="Y208" i="15"/>
  <c r="AG170" i="15"/>
  <c r="AF170" i="15"/>
  <c r="AV170" i="15"/>
  <c r="Y170" i="15"/>
  <c r="AV189" i="15"/>
  <c r="AG189" i="15"/>
  <c r="AF189" i="15"/>
  <c r="Y189" i="15"/>
  <c r="AV197" i="15"/>
  <c r="AG197" i="15"/>
  <c r="AF197" i="15"/>
  <c r="Y197" i="15"/>
  <c r="AV216" i="15"/>
  <c r="AF216" i="15"/>
  <c r="AG216" i="15"/>
  <c r="Y216" i="15"/>
  <c r="J261" i="33"/>
  <c r="AX195" i="15"/>
  <c r="AW195" i="15"/>
  <c r="AZ195" i="15"/>
  <c r="AY195" i="15"/>
  <c r="BA195" i="15"/>
  <c r="BB195" i="15"/>
  <c r="X195" i="15"/>
  <c r="AG154" i="15"/>
  <c r="Y154" i="15"/>
  <c r="AV218" i="15"/>
  <c r="AG218" i="15"/>
  <c r="AF218" i="15"/>
  <c r="Y218" i="15"/>
  <c r="J278" i="33"/>
  <c r="BB212" i="15"/>
  <c r="AY212" i="15"/>
  <c r="AX212" i="15"/>
  <c r="AW212" i="15"/>
  <c r="AZ212" i="15"/>
  <c r="BA212" i="15"/>
  <c r="X212" i="15"/>
  <c r="J281" i="33"/>
  <c r="BB215" i="15"/>
  <c r="BA215" i="15"/>
  <c r="AY215" i="15"/>
  <c r="AX215" i="15"/>
  <c r="AZ215" i="15"/>
  <c r="AW215" i="15"/>
  <c r="X215" i="15"/>
  <c r="J262" i="33"/>
  <c r="AY196" i="15"/>
  <c r="AX196" i="15"/>
  <c r="AZ196" i="15"/>
  <c r="BB196" i="15"/>
  <c r="BA196" i="15"/>
  <c r="AW196" i="15"/>
  <c r="X196" i="15"/>
  <c r="J254" i="33"/>
  <c r="AY188" i="15"/>
  <c r="AX188" i="15"/>
  <c r="AW188" i="15"/>
  <c r="AZ188" i="15"/>
  <c r="BB188" i="15"/>
  <c r="BA188" i="15"/>
  <c r="X188" i="15"/>
  <c r="J235" i="33"/>
  <c r="AW169" i="15"/>
  <c r="BB169" i="15"/>
  <c r="BA169" i="15"/>
  <c r="AX169" i="15"/>
  <c r="AZ169" i="15"/>
  <c r="AY169" i="15"/>
  <c r="X169" i="15"/>
  <c r="AG110" i="15"/>
  <c r="Y110" i="15"/>
  <c r="AG118" i="15"/>
  <c r="Y118" i="15"/>
  <c r="AG137" i="15"/>
  <c r="Y137" i="15"/>
  <c r="AG145" i="15"/>
  <c r="Y145" i="15"/>
  <c r="AG153" i="15"/>
  <c r="Y153" i="15"/>
  <c r="AG182" i="15"/>
  <c r="Y182" i="15"/>
  <c r="AG201" i="15"/>
  <c r="Y201" i="15"/>
  <c r="AV171" i="15"/>
  <c r="AG171" i="15"/>
  <c r="AF171" i="15"/>
  <c r="Y171" i="15"/>
  <c r="AV190" i="15"/>
  <c r="AG190" i="15"/>
  <c r="AF190" i="15"/>
  <c r="Y190" i="15"/>
  <c r="AV209" i="15"/>
  <c r="AF209" i="15"/>
  <c r="AG209" i="15"/>
  <c r="Y209" i="15"/>
  <c r="AV217" i="15"/>
  <c r="AF217" i="15"/>
  <c r="AG217" i="15"/>
  <c r="Y217" i="15"/>
  <c r="AF162" i="15"/>
  <c r="AV162" i="15"/>
  <c r="AG162" i="15"/>
  <c r="Y162" i="15"/>
  <c r="X162" i="15"/>
  <c r="AG163" i="15"/>
  <c r="AF163" i="15"/>
  <c r="AV163" i="15"/>
  <c r="Y163" i="15"/>
  <c r="X163" i="15"/>
  <c r="K188" i="33"/>
  <c r="AG122" i="15"/>
  <c r="Y122" i="15"/>
  <c r="AG130" i="15"/>
  <c r="Y130" i="15"/>
  <c r="AG123" i="15"/>
  <c r="Y123" i="15"/>
  <c r="K223" i="33"/>
  <c r="AG157" i="15"/>
  <c r="Y157" i="15"/>
  <c r="AG124" i="15"/>
  <c r="Y124" i="15"/>
  <c r="K224" i="33"/>
  <c r="AG158" i="15"/>
  <c r="Y158" i="15"/>
  <c r="AG125" i="15"/>
  <c r="Y125" i="15"/>
  <c r="K225" i="33"/>
  <c r="AG159" i="15"/>
  <c r="Y159" i="15"/>
  <c r="AG126" i="15"/>
  <c r="Y126" i="15"/>
  <c r="K226" i="33"/>
  <c r="AG160" i="15"/>
  <c r="Y160" i="15"/>
  <c r="AG127" i="15"/>
  <c r="Y127" i="15"/>
  <c r="AG161" i="15"/>
  <c r="Y161" i="15"/>
  <c r="AG128" i="15"/>
  <c r="Y128" i="15"/>
  <c r="K187" i="33"/>
  <c r="AG121" i="15"/>
  <c r="Y121" i="15"/>
  <c r="AG129" i="15"/>
  <c r="Y129" i="15"/>
  <c r="K198" i="33"/>
  <c r="AG132" i="15"/>
  <c r="Y132" i="15"/>
  <c r="AG133" i="15"/>
  <c r="Y133" i="15"/>
  <c r="K200" i="33"/>
  <c r="AG134" i="15"/>
  <c r="Y134" i="15"/>
  <c r="AG135" i="15"/>
  <c r="Y135" i="15"/>
  <c r="AG136" i="15"/>
  <c r="Y136" i="15"/>
  <c r="AG103" i="15"/>
  <c r="Y103" i="15"/>
  <c r="AG104" i="15"/>
  <c r="Y104" i="15"/>
  <c r="AG105" i="15"/>
  <c r="Y105" i="15"/>
  <c r="AG106" i="15"/>
  <c r="Y106" i="15"/>
  <c r="J226" i="33"/>
  <c r="AW160" i="15"/>
  <c r="AV160" i="15"/>
  <c r="BB160" i="15"/>
  <c r="BA160" i="15"/>
  <c r="AZ160" i="15"/>
  <c r="AY160" i="15"/>
  <c r="AX160" i="15"/>
  <c r="AF160" i="15"/>
  <c r="X160" i="15"/>
  <c r="J192" i="33"/>
  <c r="BB126" i="15"/>
  <c r="AF126" i="15"/>
  <c r="BA126" i="15"/>
  <c r="AZ126" i="15"/>
  <c r="AY126" i="15"/>
  <c r="AX126" i="15"/>
  <c r="AW126" i="15"/>
  <c r="AV126" i="15"/>
  <c r="X126" i="15"/>
  <c r="J225" i="33"/>
  <c r="AV159" i="15"/>
  <c r="BB159" i="15"/>
  <c r="BA159" i="15"/>
  <c r="AZ159" i="15"/>
  <c r="AY159" i="15"/>
  <c r="AX159" i="15"/>
  <c r="AF159" i="15"/>
  <c r="AW159" i="15"/>
  <c r="X159" i="15"/>
  <c r="J191" i="33"/>
  <c r="BA125" i="15"/>
  <c r="AZ125" i="15"/>
  <c r="AY125" i="15"/>
  <c r="AX125" i="15"/>
  <c r="AW125" i="15"/>
  <c r="AV125" i="15"/>
  <c r="BB125" i="15"/>
  <c r="AF125" i="15"/>
  <c r="X125" i="15"/>
  <c r="J224" i="33"/>
  <c r="BB158" i="15"/>
  <c r="BA158" i="15"/>
  <c r="AZ158" i="15"/>
  <c r="AY158" i="15"/>
  <c r="AX158" i="15"/>
  <c r="AF158" i="15"/>
  <c r="AW158" i="15"/>
  <c r="AV158" i="15"/>
  <c r="X158" i="15"/>
  <c r="J190" i="33"/>
  <c r="AZ124" i="15"/>
  <c r="AY124" i="15"/>
  <c r="AX124" i="15"/>
  <c r="AW124" i="15"/>
  <c r="AV124" i="15"/>
  <c r="BB124" i="15"/>
  <c r="AF124" i="15"/>
  <c r="BA124" i="15"/>
  <c r="X124" i="15"/>
  <c r="J223" i="33"/>
  <c r="BB157" i="15"/>
  <c r="BA157" i="15"/>
  <c r="AZ157" i="15"/>
  <c r="AY157" i="15"/>
  <c r="AX157" i="15"/>
  <c r="AF157" i="15"/>
  <c r="AW157" i="15"/>
  <c r="AV157" i="15"/>
  <c r="X157" i="15"/>
  <c r="J189" i="33"/>
  <c r="AY123" i="15"/>
  <c r="AX123" i="15"/>
  <c r="AW123" i="15"/>
  <c r="AV123" i="15"/>
  <c r="BB123" i="15"/>
  <c r="AF123" i="15"/>
  <c r="BA123" i="15"/>
  <c r="AZ123" i="15"/>
  <c r="X123" i="15"/>
  <c r="J196" i="33"/>
  <c r="AX130" i="15"/>
  <c r="AW130" i="15"/>
  <c r="AV130" i="15"/>
  <c r="BB130" i="15"/>
  <c r="AF130" i="15"/>
  <c r="BA130" i="15"/>
  <c r="AZ130" i="15"/>
  <c r="AY130" i="15"/>
  <c r="X130" i="15"/>
  <c r="J188" i="33"/>
  <c r="AX122" i="15"/>
  <c r="AW122" i="15"/>
  <c r="AV122" i="15"/>
  <c r="BB122" i="15"/>
  <c r="AF122" i="15"/>
  <c r="BA122" i="15"/>
  <c r="AZ122" i="15"/>
  <c r="AY122" i="15"/>
  <c r="X122" i="15"/>
  <c r="J195" i="33"/>
  <c r="AW129" i="15"/>
  <c r="AV129" i="15"/>
  <c r="BB129" i="15"/>
  <c r="AF129" i="15"/>
  <c r="BA129" i="15"/>
  <c r="AZ129" i="15"/>
  <c r="AY129" i="15"/>
  <c r="AX129" i="15"/>
  <c r="X129" i="15"/>
  <c r="J187" i="33"/>
  <c r="AW121" i="15"/>
  <c r="AV121" i="15"/>
  <c r="BB121" i="15"/>
  <c r="AF121" i="15"/>
  <c r="BA121" i="15"/>
  <c r="AZ121" i="15"/>
  <c r="AY121" i="15"/>
  <c r="AX121" i="15"/>
  <c r="X121" i="15"/>
  <c r="J194" i="33"/>
  <c r="AV128" i="15"/>
  <c r="BB128" i="15"/>
  <c r="AF128" i="15"/>
  <c r="BA128" i="15"/>
  <c r="AZ128" i="15"/>
  <c r="AY128" i="15"/>
  <c r="AX128" i="15"/>
  <c r="AW128" i="15"/>
  <c r="X128" i="15"/>
  <c r="J227" i="33"/>
  <c r="AX161" i="15"/>
  <c r="AF161" i="15"/>
  <c r="AW161" i="15"/>
  <c r="AV161" i="15"/>
  <c r="BB161" i="15"/>
  <c r="BA161" i="15"/>
  <c r="AZ161" i="15"/>
  <c r="AY161" i="15"/>
  <c r="X161" i="15"/>
  <c r="J193" i="33"/>
  <c r="BB127" i="15"/>
  <c r="AF127" i="15"/>
  <c r="BA127" i="15"/>
  <c r="AZ127" i="15"/>
  <c r="AY127" i="15"/>
  <c r="AX127" i="15"/>
  <c r="AW127" i="15"/>
  <c r="AV127" i="15"/>
  <c r="X127" i="15"/>
  <c r="AN127" i="15" s="1"/>
  <c r="J137" i="15"/>
  <c r="L550" i="33"/>
  <c r="Y203" i="15"/>
  <c r="Y181" i="15"/>
  <c r="K265" i="33"/>
  <c r="Y199" i="15"/>
  <c r="K246" i="33"/>
  <c r="Y180" i="15"/>
  <c r="G470" i="33"/>
  <c r="H54" i="32"/>
  <c r="H471" i="33" s="1"/>
  <c r="H470" i="33"/>
  <c r="G99" i="4"/>
  <c r="G39" i="4"/>
  <c r="G40" i="4"/>
  <c r="J135" i="15"/>
  <c r="L548" i="33"/>
  <c r="J136" i="15"/>
  <c r="L549" i="33"/>
  <c r="J134" i="15"/>
  <c r="L547" i="33"/>
  <c r="G44" i="3"/>
  <c r="G547" i="33" s="1"/>
  <c r="J132" i="15"/>
  <c r="L545" i="33"/>
  <c r="J133" i="15"/>
  <c r="L546" i="33"/>
  <c r="J108" i="15"/>
  <c r="AF108" i="15" s="1"/>
  <c r="L531" i="33"/>
  <c r="J104" i="15"/>
  <c r="L527" i="33"/>
  <c r="J103" i="15"/>
  <c r="L526" i="33"/>
  <c r="J105" i="15"/>
  <c r="L528" i="33"/>
  <c r="J106" i="15"/>
  <c r="L529" i="33"/>
  <c r="J107" i="15"/>
  <c r="AF107" i="15" s="1"/>
  <c r="L530" i="33"/>
  <c r="J102" i="15"/>
  <c r="L525" i="33"/>
  <c r="J199" i="15"/>
  <c r="L582" i="33"/>
  <c r="J178" i="15"/>
  <c r="AV178" i="15" s="1"/>
  <c r="L571" i="33"/>
  <c r="K256" i="33"/>
  <c r="K275" i="33"/>
  <c r="K283" i="33"/>
  <c r="K210" i="33"/>
  <c r="K274" i="33"/>
  <c r="K282" i="33"/>
  <c r="K176" i="33"/>
  <c r="K204" i="33"/>
  <c r="K238" i="33"/>
  <c r="K170" i="33"/>
  <c r="K178" i="33"/>
  <c r="K186" i="33"/>
  <c r="K205" i="33"/>
  <c r="K213" i="33"/>
  <c r="K221" i="33"/>
  <c r="K250" i="33"/>
  <c r="K269" i="33"/>
  <c r="K189" i="33"/>
  <c r="K231" i="33"/>
  <c r="K239" i="33"/>
  <c r="K258" i="33"/>
  <c r="K277" i="33"/>
  <c r="K175" i="33"/>
  <c r="K218" i="33"/>
  <c r="K194" i="33"/>
  <c r="K263" i="33"/>
  <c r="K211" i="33"/>
  <c r="K267" i="33"/>
  <c r="K237" i="33"/>
  <c r="K185" i="33"/>
  <c r="K249" i="33"/>
  <c r="K196" i="33"/>
  <c r="K284" i="33"/>
  <c r="K171" i="33"/>
  <c r="K179" i="33"/>
  <c r="K206" i="33"/>
  <c r="K214" i="33"/>
  <c r="K222" i="33"/>
  <c r="K251" i="33"/>
  <c r="K270" i="33"/>
  <c r="K190" i="33"/>
  <c r="K232" i="33"/>
  <c r="K240" i="33"/>
  <c r="K259" i="33"/>
  <c r="K278" i="33"/>
  <c r="K202" i="33"/>
  <c r="K266" i="33"/>
  <c r="K236" i="33"/>
  <c r="K184" i="33"/>
  <c r="K195" i="33"/>
  <c r="K177" i="33"/>
  <c r="K257" i="33"/>
  <c r="K172" i="33"/>
  <c r="K180" i="33"/>
  <c r="K199" i="33"/>
  <c r="K207" i="33"/>
  <c r="K215" i="33"/>
  <c r="K252" i="33"/>
  <c r="K271" i="33"/>
  <c r="K191" i="33"/>
  <c r="K233" i="33"/>
  <c r="K241" i="33"/>
  <c r="K260" i="33"/>
  <c r="K279" i="33"/>
  <c r="K203" i="33"/>
  <c r="K212" i="33"/>
  <c r="K173" i="33"/>
  <c r="K181" i="33"/>
  <c r="K208" i="33"/>
  <c r="K216" i="33"/>
  <c r="K245" i="33"/>
  <c r="K253" i="33"/>
  <c r="K272" i="33"/>
  <c r="K192" i="33"/>
  <c r="K234" i="33"/>
  <c r="K242" i="33"/>
  <c r="K261" i="33"/>
  <c r="K280" i="33"/>
  <c r="K183" i="33"/>
  <c r="K247" i="33"/>
  <c r="K228" i="33"/>
  <c r="K255" i="33"/>
  <c r="K219" i="33"/>
  <c r="K248" i="33"/>
  <c r="K229" i="33"/>
  <c r="K169" i="33"/>
  <c r="K220" i="33"/>
  <c r="K268" i="33"/>
  <c r="K230" i="33"/>
  <c r="K276" i="33"/>
  <c r="K174" i="33"/>
  <c r="K182" i="33"/>
  <c r="K201" i="33"/>
  <c r="K209" i="33"/>
  <c r="K217" i="33"/>
  <c r="K273" i="33"/>
  <c r="K193" i="33"/>
  <c r="K227" i="33"/>
  <c r="K235" i="33"/>
  <c r="K254" i="33"/>
  <c r="K262" i="33"/>
  <c r="K281" i="33"/>
  <c r="H50" i="32"/>
  <c r="H467" i="33" s="1"/>
  <c r="G93" i="4"/>
  <c r="G103" i="4"/>
  <c r="G94" i="4"/>
  <c r="G48" i="32"/>
  <c r="G465" i="33" s="1"/>
  <c r="H49" i="32"/>
  <c r="H466" i="33" s="1"/>
  <c r="K102" i="15"/>
  <c r="G22" i="3"/>
  <c r="G525" i="33" s="1"/>
  <c r="G68" i="3"/>
  <c r="G571" i="33" s="1"/>
  <c r="AY109" i="15" l="1"/>
  <c r="AW109" i="15"/>
  <c r="BB109" i="15"/>
  <c r="J218" i="33"/>
  <c r="J175" i="33"/>
  <c r="X208" i="15"/>
  <c r="AW115" i="15"/>
  <c r="AW201" i="15"/>
  <c r="BB140" i="15"/>
  <c r="AF206" i="15"/>
  <c r="AX142" i="15"/>
  <c r="BB116" i="15"/>
  <c r="AY150" i="15"/>
  <c r="J184" i="33"/>
  <c r="AX109" i="15"/>
  <c r="AZ181" i="15"/>
  <c r="X148" i="15"/>
  <c r="AV145" i="15"/>
  <c r="AZ145" i="15"/>
  <c r="J249" i="33"/>
  <c r="AZ179" i="15"/>
  <c r="BA149" i="15"/>
  <c r="AV201" i="15"/>
  <c r="J268" i="33"/>
  <c r="BA141" i="15"/>
  <c r="X181" i="15"/>
  <c r="AZ184" i="15"/>
  <c r="J221" i="33"/>
  <c r="BA113" i="15"/>
  <c r="X182" i="15"/>
  <c r="X109" i="15"/>
  <c r="AX200" i="15"/>
  <c r="X142" i="15"/>
  <c r="AW187" i="15"/>
  <c r="X200" i="15"/>
  <c r="AF139" i="15"/>
  <c r="AF202" i="15"/>
  <c r="J179" i="33"/>
  <c r="X145" i="15"/>
  <c r="BA116" i="15"/>
  <c r="X113" i="15"/>
  <c r="J267" i="33"/>
  <c r="AF179" i="15"/>
  <c r="AX202" i="15"/>
  <c r="AY179" i="15"/>
  <c r="AF149" i="15"/>
  <c r="X149" i="15"/>
  <c r="X141" i="15"/>
  <c r="AF140" i="15"/>
  <c r="AZ118" i="15"/>
  <c r="X140" i="15"/>
  <c r="AY116" i="15"/>
  <c r="BA201" i="15"/>
  <c r="J215" i="33"/>
  <c r="BB145" i="15"/>
  <c r="AX181" i="15"/>
  <c r="AV202" i="15"/>
  <c r="J182" i="33"/>
  <c r="AW113" i="15"/>
  <c r="X201" i="15"/>
  <c r="AY202" i="15"/>
  <c r="BB179" i="15"/>
  <c r="AV149" i="15"/>
  <c r="AY149" i="15"/>
  <c r="AW141" i="15"/>
  <c r="BA118" i="15"/>
  <c r="AX140" i="15"/>
  <c r="BA179" i="15"/>
  <c r="J207" i="33"/>
  <c r="J206" i="33"/>
  <c r="AV118" i="15"/>
  <c r="BA145" i="15"/>
  <c r="BA181" i="15"/>
  <c r="X116" i="15"/>
  <c r="AY113" i="15"/>
  <c r="AY201" i="15"/>
  <c r="AV179" i="15"/>
  <c r="AZ202" i="15"/>
  <c r="AW179" i="15"/>
  <c r="AZ149" i="15"/>
  <c r="AX141" i="15"/>
  <c r="AV140" i="15"/>
  <c r="AY118" i="15"/>
  <c r="AY140" i="15"/>
  <c r="J211" i="33"/>
  <c r="J247" i="33"/>
  <c r="X202" i="15"/>
  <c r="X118" i="15"/>
  <c r="AF118" i="15"/>
  <c r="AX145" i="15"/>
  <c r="BB181" i="15"/>
  <c r="AW116" i="15"/>
  <c r="BB113" i="15"/>
  <c r="AZ201" i="15"/>
  <c r="BA202" i="15"/>
  <c r="AX179" i="15"/>
  <c r="AX149" i="15"/>
  <c r="BB141" i="15"/>
  <c r="BB118" i="15"/>
  <c r="AW140" i="15"/>
  <c r="J205" i="33"/>
  <c r="AF181" i="15"/>
  <c r="AW181" i="15"/>
  <c r="AX116" i="15"/>
  <c r="AF116" i="15"/>
  <c r="AX113" i="15"/>
  <c r="AX201" i="15"/>
  <c r="BB202" i="15"/>
  <c r="J245" i="33"/>
  <c r="AF141" i="15"/>
  <c r="BB149" i="15"/>
  <c r="AY141" i="15"/>
  <c r="AF113" i="15"/>
  <c r="AW118" i="15"/>
  <c r="BA140" i="15"/>
  <c r="AF145" i="15"/>
  <c r="AW145" i="15"/>
  <c r="AF201" i="15"/>
  <c r="AV181" i="15"/>
  <c r="AZ116" i="15"/>
  <c r="AV141" i="15"/>
  <c r="AX207" i="15"/>
  <c r="AZ109" i="15"/>
  <c r="AY152" i="15"/>
  <c r="X203" i="15"/>
  <c r="AZ200" i="15"/>
  <c r="X151" i="15"/>
  <c r="AW180" i="15"/>
  <c r="AW151" i="15"/>
  <c r="AZ180" i="15"/>
  <c r="AV154" i="15"/>
  <c r="AW114" i="15"/>
  <c r="AW111" i="15"/>
  <c r="AY180" i="15"/>
  <c r="AF200" i="15"/>
  <c r="AX114" i="15"/>
  <c r="X187" i="15"/>
  <c r="AF117" i="15"/>
  <c r="BB114" i="15"/>
  <c r="BB203" i="15"/>
  <c r="AW185" i="15"/>
  <c r="AZ187" i="15"/>
  <c r="AV180" i="15"/>
  <c r="AX185" i="15"/>
  <c r="BB153" i="15"/>
  <c r="BA144" i="15"/>
  <c r="BB182" i="15"/>
  <c r="BB150" i="15"/>
  <c r="AW148" i="15"/>
  <c r="AY153" i="15"/>
  <c r="AX144" i="15"/>
  <c r="AX182" i="15"/>
  <c r="AF150" i="15"/>
  <c r="AX120" i="15"/>
  <c r="AW150" i="15"/>
  <c r="BA148" i="15"/>
  <c r="AZ182" i="15"/>
  <c r="AV150" i="15"/>
  <c r="AX112" i="15"/>
  <c r="J216" i="33"/>
  <c r="AF186" i="15"/>
  <c r="AV148" i="15"/>
  <c r="AZ148" i="15"/>
  <c r="BA182" i="15"/>
  <c r="X150" i="15"/>
  <c r="BB148" i="15"/>
  <c r="J248" i="33"/>
  <c r="AX150" i="15"/>
  <c r="AV183" i="15"/>
  <c r="AV186" i="15"/>
  <c r="AF148" i="15"/>
  <c r="J214" i="33"/>
  <c r="X186" i="15"/>
  <c r="AV182" i="15"/>
  <c r="AW182" i="15"/>
  <c r="AZ150" i="15"/>
  <c r="AX148" i="15"/>
  <c r="AF182" i="15"/>
  <c r="AY139" i="15"/>
  <c r="AZ139" i="15"/>
  <c r="BA139" i="15"/>
  <c r="AX138" i="15"/>
  <c r="J204" i="33"/>
  <c r="AV138" i="15"/>
  <c r="AZ153" i="15"/>
  <c r="AY144" i="15"/>
  <c r="X138" i="15"/>
  <c r="AY120" i="15"/>
  <c r="AY112" i="15"/>
  <c r="AZ183" i="15"/>
  <c r="AW120" i="15"/>
  <c r="AW112" i="15"/>
  <c r="AX183" i="15"/>
  <c r="J219" i="33"/>
  <c r="J210" i="33"/>
  <c r="AY138" i="15"/>
  <c r="AZ120" i="15"/>
  <c r="AZ112" i="15"/>
  <c r="AY183" i="15"/>
  <c r="AV153" i="15"/>
  <c r="X153" i="15"/>
  <c r="J186" i="33"/>
  <c r="J178" i="33"/>
  <c r="BA183" i="15"/>
  <c r="AF183" i="15"/>
  <c r="X144" i="15"/>
  <c r="BB138" i="15"/>
  <c r="AF153" i="15"/>
  <c r="AX153" i="15"/>
  <c r="AF144" i="15"/>
  <c r="AW144" i="15"/>
  <c r="AW138" i="15"/>
  <c r="X120" i="15"/>
  <c r="X112" i="15"/>
  <c r="BB183" i="15"/>
  <c r="AZ147" i="15"/>
  <c r="BA186" i="15"/>
  <c r="BA153" i="15"/>
  <c r="AV144" i="15"/>
  <c r="BB144" i="15"/>
  <c r="AZ138" i="15"/>
  <c r="BA120" i="15"/>
  <c r="BA112" i="15"/>
  <c r="X183" i="15"/>
  <c r="J213" i="33"/>
  <c r="BA147" i="15"/>
  <c r="AF138" i="15"/>
  <c r="BB120" i="15"/>
  <c r="BB112" i="15"/>
  <c r="X180" i="15"/>
  <c r="BA180" i="15"/>
  <c r="BA187" i="15"/>
  <c r="AV117" i="15"/>
  <c r="AZ114" i="15"/>
  <c r="AY200" i="15"/>
  <c r="AY151" i="15"/>
  <c r="AF142" i="15"/>
  <c r="BB142" i="15"/>
  <c r="AV139" i="15"/>
  <c r="AW139" i="15"/>
  <c r="BB186" i="15"/>
  <c r="AZ205" i="15"/>
  <c r="BB180" i="15"/>
  <c r="AY187" i="15"/>
  <c r="AV200" i="15"/>
  <c r="AY114" i="15"/>
  <c r="AW200" i="15"/>
  <c r="AZ151" i="15"/>
  <c r="AV142" i="15"/>
  <c r="J208" i="33"/>
  <c r="AY203" i="15"/>
  <c r="AF110" i="15"/>
  <c r="AX180" i="15"/>
  <c r="BB187" i="15"/>
  <c r="BA114" i="15"/>
  <c r="BA200" i="15"/>
  <c r="AF180" i="15"/>
  <c r="BA151" i="15"/>
  <c r="AZ203" i="15"/>
  <c r="AV110" i="15"/>
  <c r="AF154" i="15"/>
  <c r="AX187" i="15"/>
  <c r="J180" i="33"/>
  <c r="BB200" i="15"/>
  <c r="AX151" i="15"/>
  <c r="BA110" i="15"/>
  <c r="BB139" i="15"/>
  <c r="J253" i="33"/>
  <c r="X114" i="15"/>
  <c r="AF151" i="15"/>
  <c r="J217" i="33"/>
  <c r="AY110" i="15"/>
  <c r="AV147" i="15"/>
  <c r="AY186" i="15"/>
  <c r="AW186" i="15"/>
  <c r="AZ186" i="15"/>
  <c r="AV120" i="15"/>
  <c r="X119" i="15"/>
  <c r="X204" i="15"/>
  <c r="AY207" i="15"/>
  <c r="BA119" i="15"/>
  <c r="AW204" i="15"/>
  <c r="AF208" i="15"/>
  <c r="J274" i="33"/>
  <c r="BB184" i="15"/>
  <c r="AW156" i="15"/>
  <c r="AF207" i="15"/>
  <c r="AZ143" i="15"/>
  <c r="AX156" i="15"/>
  <c r="AV155" i="15"/>
  <c r="AW143" i="15"/>
  <c r="AY206" i="15"/>
  <c r="X115" i="15"/>
  <c r="AZ206" i="15"/>
  <c r="X111" i="15"/>
  <c r="AZ185" i="15"/>
  <c r="AZ111" i="15"/>
  <c r="AZ110" i="15"/>
  <c r="AV203" i="15"/>
  <c r="J212" i="33"/>
  <c r="BB115" i="15"/>
  <c r="J273" i="33"/>
  <c r="BA152" i="15"/>
  <c r="BB208" i="15"/>
  <c r="BA143" i="15"/>
  <c r="AY119" i="15"/>
  <c r="AX184" i="15"/>
  <c r="AW206" i="15"/>
  <c r="BA156" i="15"/>
  <c r="BB204" i="15"/>
  <c r="AW146" i="15"/>
  <c r="AW155" i="15"/>
  <c r="J181" i="33"/>
  <c r="X207" i="15"/>
  <c r="AX152" i="15"/>
  <c r="AX208" i="15"/>
  <c r="AY143" i="15"/>
  <c r="J185" i="33"/>
  <c r="AY184" i="15"/>
  <c r="AX206" i="15"/>
  <c r="AV204" i="15"/>
  <c r="AY156" i="15"/>
  <c r="J270" i="33"/>
  <c r="AX146" i="15"/>
  <c r="AF155" i="15"/>
  <c r="BB155" i="15"/>
  <c r="BA115" i="15"/>
  <c r="AZ207" i="15"/>
  <c r="AV208" i="15"/>
  <c r="X152" i="15"/>
  <c r="AY208" i="15"/>
  <c r="AX143" i="15"/>
  <c r="AV206" i="15"/>
  <c r="AV115" i="15"/>
  <c r="BB119" i="15"/>
  <c r="J250" i="33"/>
  <c r="BA206" i="15"/>
  <c r="AZ156" i="15"/>
  <c r="AZ204" i="15"/>
  <c r="AX115" i="15"/>
  <c r="BA207" i="15"/>
  <c r="AF152" i="15"/>
  <c r="AW152" i="15"/>
  <c r="AW208" i="15"/>
  <c r="AV207" i="15"/>
  <c r="J209" i="33"/>
  <c r="AZ119" i="15"/>
  <c r="X184" i="15"/>
  <c r="J272" i="33"/>
  <c r="AF156" i="15"/>
  <c r="BB156" i="15"/>
  <c r="BA204" i="15"/>
  <c r="AY115" i="15"/>
  <c r="BB207" i="15"/>
  <c r="BB152" i="15"/>
  <c r="AZ208" i="15"/>
  <c r="AV143" i="15"/>
  <c r="X143" i="15"/>
  <c r="AF115" i="15"/>
  <c r="AW119" i="15"/>
  <c r="AW184" i="15"/>
  <c r="X206" i="15"/>
  <c r="J222" i="33"/>
  <c r="AX204" i="15"/>
  <c r="AV152" i="15"/>
  <c r="AF143" i="15"/>
  <c r="AX119" i="15"/>
  <c r="BA184" i="15"/>
  <c r="AF204" i="15"/>
  <c r="AV156" i="15"/>
  <c r="X155" i="15"/>
  <c r="AF112" i="15"/>
  <c r="AX139" i="15"/>
  <c r="AY146" i="15"/>
  <c r="AY147" i="15"/>
  <c r="AF147" i="15"/>
  <c r="BB147" i="15"/>
  <c r="X147" i="15"/>
  <c r="AX147" i="15"/>
  <c r="BB146" i="15"/>
  <c r="AW117" i="15"/>
  <c r="X117" i="15"/>
  <c r="AW154" i="15"/>
  <c r="J183" i="33"/>
  <c r="AY154" i="15"/>
  <c r="AX154" i="15"/>
  <c r="AY142" i="15"/>
  <c r="BA111" i="15"/>
  <c r="BA203" i="15"/>
  <c r="BB110" i="15"/>
  <c r="BB185" i="15"/>
  <c r="BA117" i="15"/>
  <c r="AZ154" i="15"/>
  <c r="AF187" i="15"/>
  <c r="BA142" i="15"/>
  <c r="BB111" i="15"/>
  <c r="AW203" i="15"/>
  <c r="AF111" i="15"/>
  <c r="AW110" i="15"/>
  <c r="AY185" i="15"/>
  <c r="AF146" i="15"/>
  <c r="AZ146" i="15"/>
  <c r="AV184" i="15"/>
  <c r="AZ117" i="15"/>
  <c r="AZ155" i="15"/>
  <c r="AF119" i="15"/>
  <c r="BA154" i="15"/>
  <c r="AZ142" i="15"/>
  <c r="AF114" i="15"/>
  <c r="AX111" i="15"/>
  <c r="AX203" i="15"/>
  <c r="AF185" i="15"/>
  <c r="AX110" i="15"/>
  <c r="BA185" i="15"/>
  <c r="AV146" i="15"/>
  <c r="BA146" i="15"/>
  <c r="AX117" i="15"/>
  <c r="AX155" i="15"/>
  <c r="J220" i="33"/>
  <c r="AY111" i="15"/>
  <c r="J269" i="33"/>
  <c r="AV111" i="15"/>
  <c r="AV185" i="15"/>
  <c r="J176" i="33"/>
  <c r="J251" i="33"/>
  <c r="AY117" i="15"/>
  <c r="AY155" i="15"/>
  <c r="X154" i="15"/>
  <c r="AV151" i="15"/>
  <c r="AV108" i="15"/>
  <c r="J265" i="33"/>
  <c r="BB199" i="15"/>
  <c r="BA199" i="15"/>
  <c r="AY199" i="15"/>
  <c r="AW199" i="15"/>
  <c r="AX199" i="15"/>
  <c r="AZ199" i="15"/>
  <c r="AF178" i="15"/>
  <c r="AF199" i="15"/>
  <c r="J174" i="33"/>
  <c r="BA108" i="15"/>
  <c r="AX108" i="15"/>
  <c r="AW108" i="15"/>
  <c r="AY108" i="15"/>
  <c r="BB108" i="15"/>
  <c r="AZ108" i="15"/>
  <c r="X108" i="15"/>
  <c r="X199" i="15"/>
  <c r="J173" i="33"/>
  <c r="BB107" i="15"/>
  <c r="AZ107" i="15"/>
  <c r="AX107" i="15"/>
  <c r="BA107" i="15"/>
  <c r="AY107" i="15"/>
  <c r="AW107" i="15"/>
  <c r="X107" i="15"/>
  <c r="AV199" i="15"/>
  <c r="AV107" i="15"/>
  <c r="J244" i="33"/>
  <c r="AW178" i="15"/>
  <c r="BB178" i="15"/>
  <c r="BA178" i="15"/>
  <c r="AX178" i="15"/>
  <c r="AZ178" i="15"/>
  <c r="AY178" i="15"/>
  <c r="X178" i="15"/>
  <c r="AG102" i="15"/>
  <c r="Y102" i="15"/>
  <c r="J200" i="33"/>
  <c r="AX134" i="15"/>
  <c r="AW134" i="15"/>
  <c r="AF134" i="15"/>
  <c r="AV134" i="15"/>
  <c r="BB134" i="15"/>
  <c r="BA134" i="15"/>
  <c r="AZ134" i="15"/>
  <c r="AY134" i="15"/>
  <c r="X134" i="15"/>
  <c r="J202" i="33"/>
  <c r="AZ136" i="15"/>
  <c r="AY136" i="15"/>
  <c r="AX136" i="15"/>
  <c r="AW136" i="15"/>
  <c r="AF136" i="15"/>
  <c r="AV136" i="15"/>
  <c r="BB136" i="15"/>
  <c r="BA136" i="15"/>
  <c r="X136" i="15"/>
  <c r="J199" i="33"/>
  <c r="AW133" i="15"/>
  <c r="AF133" i="15"/>
  <c r="AV133" i="15"/>
  <c r="BB133" i="15"/>
  <c r="BA133" i="15"/>
  <c r="AZ133" i="15"/>
  <c r="AY133" i="15"/>
  <c r="AX133" i="15"/>
  <c r="X133" i="15"/>
  <c r="J201" i="33"/>
  <c r="AY135" i="15"/>
  <c r="AX135" i="15"/>
  <c r="AW135" i="15"/>
  <c r="AF135" i="15"/>
  <c r="AV135" i="15"/>
  <c r="BB135" i="15"/>
  <c r="BA135" i="15"/>
  <c r="AZ135" i="15"/>
  <c r="X135" i="15"/>
  <c r="J198" i="33"/>
  <c r="AV132" i="15"/>
  <c r="BB132" i="15"/>
  <c r="BA132" i="15"/>
  <c r="AZ132" i="15"/>
  <c r="AY132" i="15"/>
  <c r="AX132" i="15"/>
  <c r="AW132" i="15"/>
  <c r="AF132" i="15"/>
  <c r="X132" i="15"/>
  <c r="J203" i="33"/>
  <c r="BA137" i="15"/>
  <c r="AZ137" i="15"/>
  <c r="AY137" i="15"/>
  <c r="AX137" i="15"/>
  <c r="AW137" i="15"/>
  <c r="AF137" i="15"/>
  <c r="AV137" i="15"/>
  <c r="BB137" i="15"/>
  <c r="X137" i="15"/>
  <c r="J169" i="33"/>
  <c r="BB103" i="15"/>
  <c r="BA103" i="15"/>
  <c r="AZ103" i="15"/>
  <c r="AY103" i="15"/>
  <c r="AX103" i="15"/>
  <c r="AW103" i="15"/>
  <c r="AF103" i="15"/>
  <c r="AV103" i="15"/>
  <c r="X103" i="15"/>
  <c r="J168" i="33"/>
  <c r="BB102" i="15"/>
  <c r="BA102" i="15"/>
  <c r="AZ102" i="15"/>
  <c r="AY102" i="15"/>
  <c r="AX102" i="15"/>
  <c r="AW102" i="15"/>
  <c r="AF102" i="15"/>
  <c r="AV102" i="15"/>
  <c r="X102" i="15"/>
  <c r="J170" i="33"/>
  <c r="AV104" i="15"/>
  <c r="BB104" i="15"/>
  <c r="BA104" i="15"/>
  <c r="AZ104" i="15"/>
  <c r="AY104" i="15"/>
  <c r="AX104" i="15"/>
  <c r="AW104" i="15"/>
  <c r="AF104" i="15"/>
  <c r="X104" i="15"/>
  <c r="J172" i="33"/>
  <c r="AX106" i="15"/>
  <c r="AW106" i="15"/>
  <c r="AV106" i="15"/>
  <c r="AF106" i="15"/>
  <c r="BB106" i="15"/>
  <c r="BA106" i="15"/>
  <c r="AZ106" i="15"/>
  <c r="AY106" i="15"/>
  <c r="X106" i="15"/>
  <c r="AW105" i="15"/>
  <c r="AV105" i="15"/>
  <c r="BB105" i="15"/>
  <c r="BA105" i="15"/>
  <c r="AZ105" i="15"/>
  <c r="AF105" i="15"/>
  <c r="AY105" i="15"/>
  <c r="AX105" i="15"/>
  <c r="J171" i="33"/>
  <c r="X105" i="15"/>
  <c r="K168" i="33"/>
  <c r="G50" i="32"/>
  <c r="G467" i="33" s="1"/>
  <c r="G49" i="32"/>
  <c r="G466" i="33" s="1"/>
  <c r="G145" i="3" l="1"/>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C218" i="15"/>
  <c r="C284" i="33" s="1"/>
  <c r="C217" i="15"/>
  <c r="C283" i="33" s="1"/>
  <c r="C216" i="15"/>
  <c r="C282" i="33" s="1"/>
  <c r="C215" i="15"/>
  <c r="C281" i="33" s="1"/>
  <c r="C214" i="15"/>
  <c r="C280" i="33" s="1"/>
  <c r="C213" i="15"/>
  <c r="C279" i="33" s="1"/>
  <c r="C212" i="15"/>
  <c r="C278" i="33" s="1"/>
  <c r="C211" i="15"/>
  <c r="C277" i="33" s="1"/>
  <c r="C210" i="15"/>
  <c r="C276" i="33" s="1"/>
  <c r="C209" i="15"/>
  <c r="C275" i="33" s="1"/>
  <c r="C208" i="15"/>
  <c r="C274" i="33" s="1"/>
  <c r="C207" i="15"/>
  <c r="C273" i="33" s="1"/>
  <c r="C206" i="15"/>
  <c r="C272" i="33" s="1"/>
  <c r="C205" i="15"/>
  <c r="C271" i="33" s="1"/>
  <c r="C204" i="15"/>
  <c r="C270" i="33" s="1"/>
  <c r="C203" i="15"/>
  <c r="C269" i="33" s="1"/>
  <c r="C202" i="15"/>
  <c r="C268" i="33" s="1"/>
  <c r="C201" i="15"/>
  <c r="C267" i="33" s="1"/>
  <c r="C200" i="15"/>
  <c r="C266" i="33" s="1"/>
  <c r="C199" i="15"/>
  <c r="C265" i="33" s="1"/>
  <c r="C197" i="15"/>
  <c r="C263" i="33" s="1"/>
  <c r="C196" i="15"/>
  <c r="C262" i="33" s="1"/>
  <c r="C195" i="15"/>
  <c r="C261" i="33" s="1"/>
  <c r="C194" i="15"/>
  <c r="C260" i="33" s="1"/>
  <c r="C193" i="15"/>
  <c r="C259" i="33" s="1"/>
  <c r="C192" i="15"/>
  <c r="C258" i="33" s="1"/>
  <c r="C191" i="15"/>
  <c r="C257" i="33" s="1"/>
  <c r="C190" i="15"/>
  <c r="C256" i="33" s="1"/>
  <c r="C189" i="15"/>
  <c r="C255" i="33" s="1"/>
  <c r="C188" i="15"/>
  <c r="C254" i="33" s="1"/>
  <c r="C187" i="15"/>
  <c r="C253" i="33" s="1"/>
  <c r="C186" i="15"/>
  <c r="C252" i="33" s="1"/>
  <c r="C185" i="15"/>
  <c r="C251" i="33" s="1"/>
  <c r="C184" i="15"/>
  <c r="C250" i="33" s="1"/>
  <c r="C183" i="15"/>
  <c r="C249" i="33" s="1"/>
  <c r="C182" i="15"/>
  <c r="C248" i="33" s="1"/>
  <c r="C181" i="15"/>
  <c r="C247" i="33" s="1"/>
  <c r="C180" i="15"/>
  <c r="C246" i="33" s="1"/>
  <c r="C179" i="15"/>
  <c r="C245" i="33" s="1"/>
  <c r="C178" i="15"/>
  <c r="C244" i="33" s="1"/>
  <c r="C176" i="15"/>
  <c r="C242" i="33" s="1"/>
  <c r="C175" i="15"/>
  <c r="C241" i="33" s="1"/>
  <c r="C174" i="15"/>
  <c r="C240" i="33" s="1"/>
  <c r="C173" i="15"/>
  <c r="C239" i="33" s="1"/>
  <c r="C172" i="15"/>
  <c r="C238" i="33" s="1"/>
  <c r="C171" i="15"/>
  <c r="C237" i="33" s="1"/>
  <c r="C170" i="15"/>
  <c r="C236" i="33" s="1"/>
  <c r="C169" i="15"/>
  <c r="C235" i="33" s="1"/>
  <c r="C168" i="15"/>
  <c r="C234" i="33" s="1"/>
  <c r="C167" i="15"/>
  <c r="C233" i="33" s="1"/>
  <c r="C166" i="15"/>
  <c r="C232" i="33" s="1"/>
  <c r="C165" i="15"/>
  <c r="C231" i="33" s="1"/>
  <c r="C164" i="15"/>
  <c r="C230" i="33" s="1"/>
  <c r="C163" i="15"/>
  <c r="C229" i="33" s="1"/>
  <c r="C162" i="15"/>
  <c r="C228" i="33" s="1"/>
  <c r="C161" i="15"/>
  <c r="C227" i="33" s="1"/>
  <c r="C160" i="15"/>
  <c r="C226" i="33" s="1"/>
  <c r="C159" i="15"/>
  <c r="C225" i="33" s="1"/>
  <c r="C158" i="15"/>
  <c r="C224" i="33" s="1"/>
  <c r="C157" i="15"/>
  <c r="C223" i="33" s="1"/>
  <c r="C156" i="15"/>
  <c r="C222" i="33" s="1"/>
  <c r="C155" i="15"/>
  <c r="C221" i="33" s="1"/>
  <c r="C154" i="15"/>
  <c r="C220" i="33" s="1"/>
  <c r="C153" i="15"/>
  <c r="C219" i="33" s="1"/>
  <c r="C152" i="15"/>
  <c r="C218" i="33" s="1"/>
  <c r="C151" i="15"/>
  <c r="C217" i="33" s="1"/>
  <c r="C150" i="15"/>
  <c r="C216" i="33" s="1"/>
  <c r="C149" i="15"/>
  <c r="C215" i="33" s="1"/>
  <c r="C148" i="15"/>
  <c r="C214" i="33" s="1"/>
  <c r="C147" i="15"/>
  <c r="C213" i="33" s="1"/>
  <c r="C146" i="15"/>
  <c r="C212" i="33" s="1"/>
  <c r="C145" i="15"/>
  <c r="C211" i="33" s="1"/>
  <c r="C144" i="15"/>
  <c r="C210" i="33" s="1"/>
  <c r="C143" i="15"/>
  <c r="C209" i="33" s="1"/>
  <c r="C142" i="15"/>
  <c r="C208" i="33" s="1"/>
  <c r="C141" i="15"/>
  <c r="C207" i="33" s="1"/>
  <c r="C140" i="15"/>
  <c r="C206" i="33" s="1"/>
  <c r="C139" i="15"/>
  <c r="C205" i="33" s="1"/>
  <c r="C138" i="15"/>
  <c r="C204" i="33" s="1"/>
  <c r="C137" i="15"/>
  <c r="C203" i="33" s="1"/>
  <c r="C136" i="15"/>
  <c r="C202" i="33" s="1"/>
  <c r="C135" i="15"/>
  <c r="C201" i="33" s="1"/>
  <c r="C134" i="15"/>
  <c r="C200" i="33" s="1"/>
  <c r="C133" i="15"/>
  <c r="C199" i="33" s="1"/>
  <c r="C132" i="15"/>
  <c r="C198" i="33" s="1"/>
  <c r="C130" i="15"/>
  <c r="C196" i="33" s="1"/>
  <c r="C129" i="15"/>
  <c r="C195" i="33" s="1"/>
  <c r="C128" i="15"/>
  <c r="C194" i="33" s="1"/>
  <c r="C127" i="15"/>
  <c r="C193" i="33" s="1"/>
  <c r="C126" i="15"/>
  <c r="C192" i="33" s="1"/>
  <c r="C125" i="15"/>
  <c r="C191" i="33" s="1"/>
  <c r="C124" i="15"/>
  <c r="C190" i="33" s="1"/>
  <c r="C123" i="15"/>
  <c r="C189" i="33" s="1"/>
  <c r="C122" i="15"/>
  <c r="C188" i="33" s="1"/>
  <c r="C121" i="15"/>
  <c r="C187" i="33" s="1"/>
  <c r="C120" i="15"/>
  <c r="C186" i="33" s="1"/>
  <c r="C119" i="15"/>
  <c r="C185" i="33" s="1"/>
  <c r="C118" i="15"/>
  <c r="C184" i="33" s="1"/>
  <c r="C117" i="15"/>
  <c r="C183" i="33" s="1"/>
  <c r="C116" i="15"/>
  <c r="C182" i="33" s="1"/>
  <c r="C115" i="15"/>
  <c r="C181" i="33" s="1"/>
  <c r="C114" i="15"/>
  <c r="C180" i="33" s="1"/>
  <c r="C113" i="15"/>
  <c r="C179" i="33" s="1"/>
  <c r="C112" i="15"/>
  <c r="C178" i="33" s="1"/>
  <c r="C111" i="15"/>
  <c r="C177" i="33" s="1"/>
  <c r="C110" i="15"/>
  <c r="C176" i="33" s="1"/>
  <c r="C109" i="15"/>
  <c r="C175" i="33" s="1"/>
  <c r="C108" i="15"/>
  <c r="C174" i="33" s="1"/>
  <c r="C107" i="15"/>
  <c r="C173" i="33" s="1"/>
  <c r="C106" i="15"/>
  <c r="C172" i="33" s="1"/>
  <c r="C105" i="15"/>
  <c r="C171" i="33" s="1"/>
  <c r="C104" i="15"/>
  <c r="C170" i="33" s="1"/>
  <c r="C103" i="15"/>
  <c r="C169" i="33" s="1"/>
  <c r="C102" i="15"/>
  <c r="C168" i="33" s="1"/>
  <c r="C101" i="15"/>
  <c r="C167" i="33" s="1"/>
  <c r="B787" i="33" l="1"/>
  <c r="B786" i="33"/>
  <c r="B784" i="33"/>
  <c r="B783" i="33"/>
  <c r="B781" i="33"/>
  <c r="B780" i="33"/>
  <c r="B778" i="33"/>
  <c r="B777" i="33"/>
  <c r="B393" i="33"/>
  <c r="J358" i="33"/>
  <c r="D106" i="14"/>
  <c r="D76" i="33" s="1"/>
  <c r="J55" i="22"/>
  <c r="J92" i="37" l="1"/>
  <c r="J83" i="37"/>
  <c r="J51" i="33"/>
  <c r="J79" i="14"/>
  <c r="J22" i="21"/>
  <c r="R358" i="33"/>
  <c r="P361" i="33"/>
  <c r="P358" i="33"/>
  <c r="O361" i="33"/>
  <c r="O358" i="33"/>
  <c r="N361" i="33"/>
  <c r="N358" i="33"/>
  <c r="M361" i="33"/>
  <c r="M358" i="33"/>
  <c r="T361" i="33"/>
  <c r="T358" i="33"/>
  <c r="L361" i="33"/>
  <c r="L358" i="33"/>
  <c r="Q358" i="33"/>
  <c r="S358" i="33"/>
  <c r="K358" i="33"/>
  <c r="R361" i="33"/>
  <c r="S361" i="33"/>
  <c r="K361" i="33"/>
  <c r="J362" i="33"/>
  <c r="J365" i="33" s="1"/>
  <c r="D90" i="14"/>
  <c r="D89" i="14"/>
  <c r="D59" i="33" s="1"/>
  <c r="T387" i="33"/>
  <c r="L387" i="33"/>
  <c r="S387" i="33"/>
  <c r="K387" i="33"/>
  <c r="P387" i="33"/>
  <c r="R387" i="33"/>
  <c r="J387" i="33"/>
  <c r="O387" i="33"/>
  <c r="M387" i="33"/>
  <c r="Q387" i="33"/>
  <c r="J44" i="32"/>
  <c r="N387" i="33"/>
  <c r="I44" i="31"/>
  <c r="I45" i="31" s="1"/>
  <c r="I46" i="31" s="1"/>
  <c r="J409" i="33" l="1"/>
  <c r="D92" i="14"/>
  <c r="D62" i="33" s="1"/>
  <c r="D60" i="33"/>
  <c r="J76" i="21"/>
  <c r="J222" i="21"/>
  <c r="J80" i="32"/>
  <c r="J610" i="33"/>
  <c r="J389" i="21"/>
  <c r="J168" i="21"/>
  <c r="J335" i="21"/>
  <c r="J498" i="33"/>
  <c r="J96" i="33"/>
  <c r="J344" i="33"/>
  <c r="J297" i="33"/>
  <c r="J633" i="33"/>
  <c r="Q361" i="33"/>
  <c r="J48" i="32"/>
  <c r="J465" i="33" s="1"/>
  <c r="K48" i="32"/>
  <c r="K465" i="33" s="1"/>
  <c r="K362" i="33"/>
  <c r="K365" i="33" s="1"/>
  <c r="S48" i="32"/>
  <c r="S465" i="33" s="1"/>
  <c r="S362" i="33"/>
  <c r="S365" i="33" s="1"/>
  <c r="L48" i="32"/>
  <c r="L465" i="33" s="1"/>
  <c r="L362" i="33"/>
  <c r="L365" i="33" s="1"/>
  <c r="M48" i="32"/>
  <c r="M465" i="33" s="1"/>
  <c r="M362" i="33"/>
  <c r="M365" i="33" s="1"/>
  <c r="R48" i="32"/>
  <c r="R465" i="33" s="1"/>
  <c r="R362" i="33"/>
  <c r="R365" i="33" s="1"/>
  <c r="J361" i="33"/>
  <c r="P48" i="32"/>
  <c r="P465" i="33" s="1"/>
  <c r="P362" i="33"/>
  <c r="P365" i="33" s="1"/>
  <c r="O362" i="33"/>
  <c r="O365" i="33" s="1"/>
  <c r="N48" i="32"/>
  <c r="N465" i="33" s="1"/>
  <c r="N362" i="33"/>
  <c r="N365" i="33" s="1"/>
  <c r="Q48" i="32"/>
  <c r="Q465" i="33" s="1"/>
  <c r="Q362" i="33"/>
  <c r="Q365" i="33" s="1"/>
  <c r="K389" i="33"/>
  <c r="O48" i="32"/>
  <c r="O465" i="33" s="1"/>
  <c r="K388" i="33"/>
  <c r="Q389" i="33"/>
  <c r="Q388" i="33"/>
  <c r="S389" i="33"/>
  <c r="S388" i="33"/>
  <c r="M389" i="33"/>
  <c r="M388" i="33"/>
  <c r="L389" i="33"/>
  <c r="L388" i="33"/>
  <c r="N389" i="33"/>
  <c r="N388" i="33"/>
  <c r="J389" i="33"/>
  <c r="J388" i="33"/>
  <c r="O389" i="33"/>
  <c r="O388" i="33"/>
  <c r="T389" i="33"/>
  <c r="T388" i="33"/>
  <c r="R389" i="33"/>
  <c r="R388" i="33"/>
  <c r="P389" i="33"/>
  <c r="P388" i="33"/>
  <c r="I49" i="31"/>
  <c r="I48" i="31"/>
  <c r="I47" i="31"/>
  <c r="Y388" i="33" l="1"/>
  <c r="T48" i="32"/>
  <c r="T465" i="33" s="1"/>
  <c r="T362" i="33"/>
  <c r="T365" i="33" s="1"/>
  <c r="X361" i="33"/>
  <c r="X364" i="33" s="1"/>
  <c r="W361" i="33"/>
  <c r="U388" i="33"/>
  <c r="I51" i="31"/>
  <c r="I48" i="32" s="1"/>
  <c r="I465" i="33" s="1"/>
  <c r="K20" i="18"/>
  <c r="K19" i="18"/>
  <c r="AT443" i="15"/>
  <c r="AS443" i="15"/>
  <c r="AR443" i="15"/>
  <c r="AQ443" i="15"/>
  <c r="AP443" i="15"/>
  <c r="AO443" i="15"/>
  <c r="AN443" i="15"/>
  <c r="AT442" i="15"/>
  <c r="AS442" i="15"/>
  <c r="AR442" i="15"/>
  <c r="AQ442" i="15"/>
  <c r="AP442" i="15"/>
  <c r="AO442" i="15"/>
  <c r="AN442" i="15"/>
  <c r="AT441" i="15"/>
  <c r="AS441" i="15"/>
  <c r="AR441" i="15"/>
  <c r="AQ441" i="15"/>
  <c r="AP441" i="15"/>
  <c r="AO441" i="15"/>
  <c r="AN441" i="15"/>
  <c r="AT440" i="15"/>
  <c r="AS440" i="15"/>
  <c r="AR440" i="15"/>
  <c r="AQ440" i="15"/>
  <c r="AP440" i="15"/>
  <c r="AO440" i="15"/>
  <c r="AN440" i="15"/>
  <c r="AT439" i="15"/>
  <c r="AS439" i="15"/>
  <c r="AR439" i="15"/>
  <c r="AQ439" i="15"/>
  <c r="AP439" i="15"/>
  <c r="AO439" i="15"/>
  <c r="AN439" i="15"/>
  <c r="AT438" i="15"/>
  <c r="AS438" i="15"/>
  <c r="AR438" i="15"/>
  <c r="AQ438" i="15"/>
  <c r="AP438" i="15"/>
  <c r="AO438" i="15"/>
  <c r="AN438" i="15"/>
  <c r="AT437" i="15"/>
  <c r="AS437" i="15"/>
  <c r="AR437" i="15"/>
  <c r="AQ437" i="15"/>
  <c r="AP437" i="15"/>
  <c r="AO437" i="15"/>
  <c r="AN437" i="15"/>
  <c r="AT436" i="15"/>
  <c r="AS436" i="15"/>
  <c r="AR436" i="15"/>
  <c r="AQ436" i="15"/>
  <c r="AP436" i="15"/>
  <c r="AO436" i="15"/>
  <c r="AN436" i="15"/>
  <c r="AO434" i="15"/>
  <c r="X432" i="15"/>
  <c r="AV431" i="15"/>
  <c r="AN431" i="15"/>
  <c r="AF431" i="15"/>
  <c r="X431" i="15"/>
  <c r="AT427" i="15"/>
  <c r="AS427" i="15"/>
  <c r="AR427" i="15"/>
  <c r="AQ427" i="15"/>
  <c r="AP427" i="15"/>
  <c r="AO427" i="15"/>
  <c r="AN427" i="15"/>
  <c r="AT426" i="15"/>
  <c r="AS426" i="15"/>
  <c r="AR426" i="15"/>
  <c r="AQ426" i="15"/>
  <c r="AP426" i="15"/>
  <c r="AO426" i="15"/>
  <c r="AN426" i="15"/>
  <c r="AT425" i="15"/>
  <c r="AS425" i="15"/>
  <c r="AR425" i="15"/>
  <c r="AQ425" i="15"/>
  <c r="AP425" i="15"/>
  <c r="AO425" i="15"/>
  <c r="AN425" i="15"/>
  <c r="AT424" i="15"/>
  <c r="AS424" i="15"/>
  <c r="AR424" i="15"/>
  <c r="AQ424" i="15"/>
  <c r="AP424" i="15"/>
  <c r="AO424" i="15"/>
  <c r="AN424" i="15"/>
  <c r="AT423" i="15"/>
  <c r="AS423" i="15"/>
  <c r="AR423" i="15"/>
  <c r="AQ423" i="15"/>
  <c r="AP423" i="15"/>
  <c r="AO423" i="15"/>
  <c r="AN423" i="15"/>
  <c r="AT422" i="15"/>
  <c r="AS422" i="15"/>
  <c r="AR422" i="15"/>
  <c r="AQ422" i="15"/>
  <c r="AP422" i="15"/>
  <c r="AO422" i="15"/>
  <c r="AN422" i="15"/>
  <c r="AT421" i="15"/>
  <c r="AS421" i="15"/>
  <c r="AR421" i="15"/>
  <c r="AQ421" i="15"/>
  <c r="AP421" i="15"/>
  <c r="AO421" i="15"/>
  <c r="AN421" i="15"/>
  <c r="AT420" i="15"/>
  <c r="AS420" i="15"/>
  <c r="AR420" i="15"/>
  <c r="AQ420" i="15"/>
  <c r="AP420" i="15"/>
  <c r="AO420" i="15"/>
  <c r="AN420" i="15"/>
  <c r="AT419" i="15"/>
  <c r="AS419" i="15"/>
  <c r="AR419" i="15"/>
  <c r="AQ419" i="15"/>
  <c r="AP419" i="15"/>
  <c r="AO419" i="15"/>
  <c r="AN419" i="15"/>
  <c r="AT418" i="15"/>
  <c r="AS418" i="15"/>
  <c r="AR418" i="15"/>
  <c r="AQ418" i="15"/>
  <c r="AP418" i="15"/>
  <c r="AO418" i="15"/>
  <c r="AN418" i="15"/>
  <c r="AT417" i="15"/>
  <c r="AS417" i="15"/>
  <c r="AR417" i="15"/>
  <c r="AQ417" i="15"/>
  <c r="AP417" i="15"/>
  <c r="AO417" i="15"/>
  <c r="AN417" i="15"/>
  <c r="AT416" i="15"/>
  <c r="AS416" i="15"/>
  <c r="AR416" i="15"/>
  <c r="AQ416" i="15"/>
  <c r="AP416" i="15"/>
  <c r="AO416" i="15"/>
  <c r="AN416" i="15"/>
  <c r="AT415" i="15"/>
  <c r="AS415" i="15"/>
  <c r="AR415" i="15"/>
  <c r="AQ415" i="15"/>
  <c r="AP415" i="15"/>
  <c r="AO415" i="15"/>
  <c r="AN415" i="15"/>
  <c r="AT414" i="15"/>
  <c r="AS414" i="15"/>
  <c r="AR414" i="15"/>
  <c r="AQ414" i="15"/>
  <c r="AP414" i="15"/>
  <c r="AO414" i="15"/>
  <c r="AN414" i="15"/>
  <c r="AT413" i="15"/>
  <c r="AS413" i="15"/>
  <c r="AR413" i="15"/>
  <c r="AQ413" i="15"/>
  <c r="AP413" i="15"/>
  <c r="AO413" i="15"/>
  <c r="AN413" i="15"/>
  <c r="AT412" i="15"/>
  <c r="AS412" i="15"/>
  <c r="AR412" i="15"/>
  <c r="AQ412" i="15"/>
  <c r="AP412" i="15"/>
  <c r="AO412" i="15"/>
  <c r="AN412" i="15"/>
  <c r="AT411" i="15"/>
  <c r="AS411" i="15"/>
  <c r="AR411" i="15"/>
  <c r="AQ411" i="15"/>
  <c r="AP411" i="15"/>
  <c r="AO411" i="15"/>
  <c r="AN411" i="15"/>
  <c r="AT410" i="15"/>
  <c r="AS410" i="15"/>
  <c r="AR410" i="15"/>
  <c r="AQ410" i="15"/>
  <c r="AP410" i="15"/>
  <c r="AO410" i="15"/>
  <c r="AN410" i="15"/>
  <c r="AT409" i="15"/>
  <c r="AS409" i="15"/>
  <c r="AR409" i="15"/>
  <c r="AQ409" i="15"/>
  <c r="AP409" i="15"/>
  <c r="AO409" i="15"/>
  <c r="AN409" i="15"/>
  <c r="AT408" i="15"/>
  <c r="AS408" i="15"/>
  <c r="AR408" i="15"/>
  <c r="AQ408" i="15"/>
  <c r="AP408" i="15"/>
  <c r="AO408" i="15"/>
  <c r="AN408" i="15"/>
  <c r="X406" i="15"/>
  <c r="AV406" i="15" s="1"/>
  <c r="AV405" i="15"/>
  <c r="AN405" i="15"/>
  <c r="AF405" i="15"/>
  <c r="X405" i="15"/>
  <c r="AT401" i="15"/>
  <c r="AS401" i="15"/>
  <c r="AR401" i="15"/>
  <c r="AQ401" i="15"/>
  <c r="AP401" i="15"/>
  <c r="AO401" i="15"/>
  <c r="AN401" i="15"/>
  <c r="AT400" i="15"/>
  <c r="AS400" i="15"/>
  <c r="AR400" i="15"/>
  <c r="AQ400" i="15"/>
  <c r="AP400" i="15"/>
  <c r="AO400" i="15"/>
  <c r="AN400" i="15"/>
  <c r="AT399" i="15"/>
  <c r="AS399" i="15"/>
  <c r="AR399" i="15"/>
  <c r="AQ399" i="15"/>
  <c r="AP399" i="15"/>
  <c r="AO399" i="15"/>
  <c r="AN399" i="15"/>
  <c r="AT398" i="15"/>
  <c r="AS398" i="15"/>
  <c r="AR398" i="15"/>
  <c r="AQ398" i="15"/>
  <c r="AP398" i="15"/>
  <c r="AO398" i="15"/>
  <c r="AN398" i="15"/>
  <c r="AT397" i="15"/>
  <c r="AS397" i="15"/>
  <c r="AR397" i="15"/>
  <c r="AQ397" i="15"/>
  <c r="AP397" i="15"/>
  <c r="AO397" i="15"/>
  <c r="AN397" i="15"/>
  <c r="AT396" i="15"/>
  <c r="AS396" i="15"/>
  <c r="AR396" i="15"/>
  <c r="AQ396" i="15"/>
  <c r="AP396" i="15"/>
  <c r="AO396" i="15"/>
  <c r="AN396" i="15"/>
  <c r="AT395" i="15"/>
  <c r="AS395" i="15"/>
  <c r="AR395" i="15"/>
  <c r="AQ395" i="15"/>
  <c r="AP395" i="15"/>
  <c r="AO395" i="15"/>
  <c r="AN395" i="15"/>
  <c r="AT394" i="15"/>
  <c r="AS394" i="15"/>
  <c r="AR394" i="15"/>
  <c r="AQ394" i="15"/>
  <c r="AP394" i="15"/>
  <c r="AO394" i="15"/>
  <c r="AN394" i="15"/>
  <c r="AT393" i="15"/>
  <c r="AS393" i="15"/>
  <c r="AR393" i="15"/>
  <c r="AQ393" i="15"/>
  <c r="AP393" i="15"/>
  <c r="AO393" i="15"/>
  <c r="AN393" i="15"/>
  <c r="AT392" i="15"/>
  <c r="AS392" i="15"/>
  <c r="AR392" i="15"/>
  <c r="AQ392" i="15"/>
  <c r="AP392" i="15"/>
  <c r="AO392" i="15"/>
  <c r="AN392" i="15"/>
  <c r="AT391" i="15"/>
  <c r="AS391" i="15"/>
  <c r="AR391" i="15"/>
  <c r="AQ391" i="15"/>
  <c r="AP391" i="15"/>
  <c r="AO391" i="15"/>
  <c r="AN391" i="15"/>
  <c r="AT390" i="15"/>
  <c r="AS390" i="15"/>
  <c r="AR390" i="15"/>
  <c r="AQ390" i="15"/>
  <c r="AP390" i="15"/>
  <c r="AO390" i="15"/>
  <c r="AN390" i="15"/>
  <c r="AT389" i="15"/>
  <c r="AS389" i="15"/>
  <c r="AR389" i="15"/>
  <c r="AQ389" i="15"/>
  <c r="AP389" i="15"/>
  <c r="AO389" i="15"/>
  <c r="AN389" i="15"/>
  <c r="AT388" i="15"/>
  <c r="AS388" i="15"/>
  <c r="AR388" i="15"/>
  <c r="AQ388" i="15"/>
  <c r="AP388" i="15"/>
  <c r="AO388" i="15"/>
  <c r="AN388" i="15"/>
  <c r="AT387" i="15"/>
  <c r="AS387" i="15"/>
  <c r="AR387" i="15"/>
  <c r="AQ387" i="15"/>
  <c r="AP387" i="15"/>
  <c r="AO387" i="15"/>
  <c r="AN387" i="15"/>
  <c r="AT386" i="15"/>
  <c r="AS386" i="15"/>
  <c r="AR386" i="15"/>
  <c r="AQ386" i="15"/>
  <c r="AP386" i="15"/>
  <c r="AO386" i="15"/>
  <c r="AN386" i="15"/>
  <c r="AT385" i="15"/>
  <c r="AS385" i="15"/>
  <c r="AR385" i="15"/>
  <c r="AQ385" i="15"/>
  <c r="AP385" i="15"/>
  <c r="AO385" i="15"/>
  <c r="AN385" i="15"/>
  <c r="AT384" i="15"/>
  <c r="AS384" i="15"/>
  <c r="AR384" i="15"/>
  <c r="AQ384" i="15"/>
  <c r="AP384" i="15"/>
  <c r="AO384" i="15"/>
  <c r="AN384" i="15"/>
  <c r="AT383" i="15"/>
  <c r="AS383" i="15"/>
  <c r="AR383" i="15"/>
  <c r="AQ383" i="15"/>
  <c r="AP383" i="15"/>
  <c r="AO383" i="15"/>
  <c r="AN383" i="15"/>
  <c r="AT382" i="15"/>
  <c r="AS382" i="15"/>
  <c r="AR382" i="15"/>
  <c r="AQ382" i="15"/>
  <c r="AP382" i="15"/>
  <c r="AO382" i="15"/>
  <c r="AN382" i="15"/>
  <c r="X380" i="15"/>
  <c r="AF380" i="15" s="1"/>
  <c r="AV379" i="15"/>
  <c r="AN379" i="15"/>
  <c r="AF379" i="15"/>
  <c r="X379" i="15"/>
  <c r="AT375" i="15"/>
  <c r="AS375" i="15"/>
  <c r="AR375" i="15"/>
  <c r="AQ375" i="15"/>
  <c r="AP375" i="15"/>
  <c r="AO375" i="15"/>
  <c r="AN375" i="15"/>
  <c r="AT374" i="15"/>
  <c r="AS374" i="15"/>
  <c r="AR374" i="15"/>
  <c r="AQ374" i="15"/>
  <c r="AP374" i="15"/>
  <c r="AO374" i="15"/>
  <c r="AN374" i="15"/>
  <c r="AT373" i="15"/>
  <c r="AS373" i="15"/>
  <c r="AR373" i="15"/>
  <c r="AQ373" i="15"/>
  <c r="AP373" i="15"/>
  <c r="AO373" i="15"/>
  <c r="AN373" i="15"/>
  <c r="AT372" i="15"/>
  <c r="AS372" i="15"/>
  <c r="AR372" i="15"/>
  <c r="AQ372" i="15"/>
  <c r="AP372" i="15"/>
  <c r="AO372" i="15"/>
  <c r="AN372" i="15"/>
  <c r="AT371" i="15"/>
  <c r="AS371" i="15"/>
  <c r="AR371" i="15"/>
  <c r="AQ371" i="15"/>
  <c r="AP371" i="15"/>
  <c r="AO371" i="15"/>
  <c r="AN371" i="15"/>
  <c r="AT370" i="15"/>
  <c r="AS370" i="15"/>
  <c r="AR370" i="15"/>
  <c r="AQ370" i="15"/>
  <c r="AP370" i="15"/>
  <c r="AO370" i="15"/>
  <c r="AN370" i="15"/>
  <c r="AT369" i="15"/>
  <c r="AS369" i="15"/>
  <c r="AR369" i="15"/>
  <c r="AQ369" i="15"/>
  <c r="AP369" i="15"/>
  <c r="AO369" i="15"/>
  <c r="AN369" i="15"/>
  <c r="AT368" i="15"/>
  <c r="AS368" i="15"/>
  <c r="AR368" i="15"/>
  <c r="AQ368" i="15"/>
  <c r="AP368" i="15"/>
  <c r="AO368" i="15"/>
  <c r="AN368" i="15"/>
  <c r="AT367" i="15"/>
  <c r="AS367" i="15"/>
  <c r="AR367" i="15"/>
  <c r="AQ367" i="15"/>
  <c r="AP367" i="15"/>
  <c r="AO367" i="15"/>
  <c r="AN367" i="15"/>
  <c r="AT366" i="15"/>
  <c r="AS366" i="15"/>
  <c r="AR366" i="15"/>
  <c r="AQ366" i="15"/>
  <c r="AP366" i="15"/>
  <c r="AO366" i="15"/>
  <c r="AN366" i="15"/>
  <c r="AT365" i="15"/>
  <c r="AS365" i="15"/>
  <c r="AR365" i="15"/>
  <c r="AQ365" i="15"/>
  <c r="AP365" i="15"/>
  <c r="AO365" i="15"/>
  <c r="AN365" i="15"/>
  <c r="AT364" i="15"/>
  <c r="AS364" i="15"/>
  <c r="AR364" i="15"/>
  <c r="AQ364" i="15"/>
  <c r="AP364" i="15"/>
  <c r="AO364" i="15"/>
  <c r="AN364" i="15"/>
  <c r="AT363" i="15"/>
  <c r="AS363" i="15"/>
  <c r="AR363" i="15"/>
  <c r="AQ363" i="15"/>
  <c r="AP363" i="15"/>
  <c r="AO363" i="15"/>
  <c r="AN363" i="15"/>
  <c r="AT362" i="15"/>
  <c r="AS362" i="15"/>
  <c r="AR362" i="15"/>
  <c r="AQ362" i="15"/>
  <c r="AP362" i="15"/>
  <c r="AO362" i="15"/>
  <c r="AN362" i="15"/>
  <c r="AT361" i="15"/>
  <c r="AS361" i="15"/>
  <c r="AR361" i="15"/>
  <c r="AQ361" i="15"/>
  <c r="AP361" i="15"/>
  <c r="AO361" i="15"/>
  <c r="AN361" i="15"/>
  <c r="AT360" i="15"/>
  <c r="AS360" i="15"/>
  <c r="AR360" i="15"/>
  <c r="AQ360" i="15"/>
  <c r="AP360" i="15"/>
  <c r="AO360" i="15"/>
  <c r="AN360" i="15"/>
  <c r="AT359" i="15"/>
  <c r="AS359" i="15"/>
  <c r="AR359" i="15"/>
  <c r="AQ359" i="15"/>
  <c r="AP359" i="15"/>
  <c r="AO359" i="15"/>
  <c r="AN359" i="15"/>
  <c r="AT358" i="15"/>
  <c r="AS358" i="15"/>
  <c r="AR358" i="15"/>
  <c r="AQ358" i="15"/>
  <c r="AP358" i="15"/>
  <c r="AO358" i="15"/>
  <c r="AN358" i="15"/>
  <c r="AN356" i="15"/>
  <c r="AN354" i="15"/>
  <c r="AN353" i="15"/>
  <c r="AN352" i="15"/>
  <c r="AN351" i="15"/>
  <c r="AN350" i="15"/>
  <c r="X348" i="15"/>
  <c r="AV348" i="15" s="1"/>
  <c r="AV347" i="15"/>
  <c r="AN347" i="15"/>
  <c r="AF347" i="15"/>
  <c r="X347" i="15"/>
  <c r="AT342" i="15"/>
  <c r="AS342" i="15"/>
  <c r="AR342" i="15"/>
  <c r="AQ342" i="15"/>
  <c r="AP342" i="15"/>
  <c r="AO342" i="15"/>
  <c r="AN342" i="15"/>
  <c r="B342" i="15"/>
  <c r="AT341" i="15"/>
  <c r="AS341" i="15"/>
  <c r="AR341" i="15"/>
  <c r="AQ341" i="15"/>
  <c r="AP341" i="15"/>
  <c r="AO341" i="15"/>
  <c r="AN341" i="15"/>
  <c r="B341" i="15"/>
  <c r="AT340" i="15"/>
  <c r="AS340" i="15"/>
  <c r="AR340" i="15"/>
  <c r="AQ340" i="15"/>
  <c r="AP340" i="15"/>
  <c r="AO340" i="15"/>
  <c r="AN340" i="15"/>
  <c r="B340" i="15"/>
  <c r="AT339" i="15"/>
  <c r="AS339" i="15"/>
  <c r="AR339" i="15"/>
  <c r="AQ339" i="15"/>
  <c r="AP339" i="15"/>
  <c r="AO339" i="15"/>
  <c r="AN339" i="15"/>
  <c r="B339" i="15"/>
  <c r="AT338" i="15"/>
  <c r="AS338" i="15"/>
  <c r="AR338" i="15"/>
  <c r="AQ338" i="15"/>
  <c r="AP338" i="15"/>
  <c r="AO338" i="15"/>
  <c r="AN338" i="15"/>
  <c r="B338" i="15"/>
  <c r="AT337" i="15"/>
  <c r="AS337" i="15"/>
  <c r="AR337" i="15"/>
  <c r="AQ337" i="15"/>
  <c r="AP337" i="15"/>
  <c r="AO337" i="15"/>
  <c r="AN337" i="15"/>
  <c r="B337" i="15"/>
  <c r="AT336" i="15"/>
  <c r="AS336" i="15"/>
  <c r="AR336" i="15"/>
  <c r="AQ336" i="15"/>
  <c r="AP336" i="15"/>
  <c r="AO336" i="15"/>
  <c r="AN336" i="15"/>
  <c r="B336" i="15"/>
  <c r="AT335" i="15"/>
  <c r="AS335" i="15"/>
  <c r="AR335" i="15"/>
  <c r="AQ335" i="15"/>
  <c r="AP335" i="15"/>
  <c r="AO335" i="15"/>
  <c r="AN335" i="15"/>
  <c r="B335" i="15"/>
  <c r="AT334" i="15"/>
  <c r="AS334" i="15"/>
  <c r="AR334" i="15"/>
  <c r="AQ334" i="15"/>
  <c r="AP334" i="15"/>
  <c r="AO334" i="15"/>
  <c r="AN334" i="15"/>
  <c r="B334" i="15"/>
  <c r="AT333" i="15"/>
  <c r="AS333" i="15"/>
  <c r="AR333" i="15"/>
  <c r="AQ333" i="15"/>
  <c r="AP333" i="15"/>
  <c r="AO333" i="15"/>
  <c r="AN333" i="15"/>
  <c r="B333" i="15"/>
  <c r="AT332" i="15"/>
  <c r="AS332" i="15"/>
  <c r="AR332" i="15"/>
  <c r="AQ332" i="15"/>
  <c r="AP332" i="15"/>
  <c r="AO332" i="15"/>
  <c r="AN332" i="15"/>
  <c r="B332" i="15"/>
  <c r="AT331" i="15"/>
  <c r="AS331" i="15"/>
  <c r="AR331" i="15"/>
  <c r="AQ331" i="15"/>
  <c r="AP331" i="15"/>
  <c r="AO331" i="15"/>
  <c r="AN331" i="15"/>
  <c r="B331" i="15"/>
  <c r="AT330" i="15"/>
  <c r="AS330" i="15"/>
  <c r="AR330" i="15"/>
  <c r="AQ330" i="15"/>
  <c r="AP330" i="15"/>
  <c r="AO330" i="15"/>
  <c r="AN330" i="15"/>
  <c r="B330" i="15"/>
  <c r="AT329" i="15"/>
  <c r="AS329" i="15"/>
  <c r="AR329" i="15"/>
  <c r="AQ329" i="15"/>
  <c r="AP329" i="15"/>
  <c r="AO329" i="15"/>
  <c r="AN329" i="15"/>
  <c r="B329" i="15"/>
  <c r="AT328" i="15"/>
  <c r="AS328" i="15"/>
  <c r="AR328" i="15"/>
  <c r="AQ328" i="15"/>
  <c r="AP328" i="15"/>
  <c r="AO328" i="15"/>
  <c r="AN328" i="15"/>
  <c r="B328" i="15"/>
  <c r="AT327" i="15"/>
  <c r="AS327" i="15"/>
  <c r="AR327" i="15"/>
  <c r="AQ327" i="15"/>
  <c r="AP327" i="15"/>
  <c r="AO327" i="15"/>
  <c r="AN327" i="15"/>
  <c r="B327" i="15"/>
  <c r="AT326" i="15"/>
  <c r="AS326" i="15"/>
  <c r="AR326" i="15"/>
  <c r="AQ326" i="15"/>
  <c r="AP326" i="15"/>
  <c r="AO326" i="15"/>
  <c r="AN326" i="15"/>
  <c r="B326" i="15"/>
  <c r="AT325" i="15"/>
  <c r="AS325" i="15"/>
  <c r="AR325" i="15"/>
  <c r="AQ325" i="15"/>
  <c r="AP325" i="15"/>
  <c r="AO325" i="15"/>
  <c r="AN325" i="15"/>
  <c r="B325" i="15"/>
  <c r="AT324" i="15"/>
  <c r="AS324" i="15"/>
  <c r="AR324" i="15"/>
  <c r="AQ324" i="15"/>
  <c r="AP324" i="15"/>
  <c r="AO324" i="15"/>
  <c r="AN324" i="15"/>
  <c r="B324" i="15"/>
  <c r="AT323" i="15"/>
  <c r="AS323" i="15"/>
  <c r="AR323" i="15"/>
  <c r="AQ323" i="15"/>
  <c r="AP323" i="15"/>
  <c r="AO323" i="15"/>
  <c r="AN323" i="15"/>
  <c r="B323" i="15"/>
  <c r="B291" i="33" s="1"/>
  <c r="AT321" i="15"/>
  <c r="AS321" i="15"/>
  <c r="AR321" i="15"/>
  <c r="AQ321" i="15"/>
  <c r="AP321" i="15"/>
  <c r="AO321" i="15"/>
  <c r="AN321" i="15"/>
  <c r="B321" i="15"/>
  <c r="AT320" i="15"/>
  <c r="AS320" i="15"/>
  <c r="AR320" i="15"/>
  <c r="AQ320" i="15"/>
  <c r="AP320" i="15"/>
  <c r="AO320" i="15"/>
  <c r="AN320" i="15"/>
  <c r="B320" i="15"/>
  <c r="AT319" i="15"/>
  <c r="AS319" i="15"/>
  <c r="AR319" i="15"/>
  <c r="AQ319" i="15"/>
  <c r="AP319" i="15"/>
  <c r="AO319" i="15"/>
  <c r="AN319" i="15"/>
  <c r="B319" i="15"/>
  <c r="AT318" i="15"/>
  <c r="AS318" i="15"/>
  <c r="AR318" i="15"/>
  <c r="AQ318" i="15"/>
  <c r="AP318" i="15"/>
  <c r="AO318" i="15"/>
  <c r="AN318" i="15"/>
  <c r="B318" i="15"/>
  <c r="AT317" i="15"/>
  <c r="AS317" i="15"/>
  <c r="AR317" i="15"/>
  <c r="AQ317" i="15"/>
  <c r="AP317" i="15"/>
  <c r="AO317" i="15"/>
  <c r="AN317" i="15"/>
  <c r="B317" i="15"/>
  <c r="AT316" i="15"/>
  <c r="AS316" i="15"/>
  <c r="AR316" i="15"/>
  <c r="AQ316" i="15"/>
  <c r="AP316" i="15"/>
  <c r="AO316" i="15"/>
  <c r="AN316" i="15"/>
  <c r="B316" i="15"/>
  <c r="AT315" i="15"/>
  <c r="AS315" i="15"/>
  <c r="AR315" i="15"/>
  <c r="AQ315" i="15"/>
  <c r="AP315" i="15"/>
  <c r="AO315" i="15"/>
  <c r="AN315" i="15"/>
  <c r="B315" i="15"/>
  <c r="AT314" i="15"/>
  <c r="AS314" i="15"/>
  <c r="AR314" i="15"/>
  <c r="AQ314" i="15"/>
  <c r="AP314" i="15"/>
  <c r="AO314" i="15"/>
  <c r="AN314" i="15"/>
  <c r="B314" i="15"/>
  <c r="AT313" i="15"/>
  <c r="AS313" i="15"/>
  <c r="AR313" i="15"/>
  <c r="AQ313" i="15"/>
  <c r="AP313" i="15"/>
  <c r="AO313" i="15"/>
  <c r="AN313" i="15"/>
  <c r="B313" i="15"/>
  <c r="AT312" i="15"/>
  <c r="AS312" i="15"/>
  <c r="AR312" i="15"/>
  <c r="AQ312" i="15"/>
  <c r="AP312" i="15"/>
  <c r="AO312" i="15"/>
  <c r="AN312" i="15"/>
  <c r="B312" i="15"/>
  <c r="AT311" i="15"/>
  <c r="AS311" i="15"/>
  <c r="AR311" i="15"/>
  <c r="AQ311" i="15"/>
  <c r="AP311" i="15"/>
  <c r="AO311" i="15"/>
  <c r="AN311" i="15"/>
  <c r="B311" i="15"/>
  <c r="AT310" i="15"/>
  <c r="AS310" i="15"/>
  <c r="AR310" i="15"/>
  <c r="AQ310" i="15"/>
  <c r="AP310" i="15"/>
  <c r="AO310" i="15"/>
  <c r="AN310" i="15"/>
  <c r="B310" i="15"/>
  <c r="AT309" i="15"/>
  <c r="AS309" i="15"/>
  <c r="AR309" i="15"/>
  <c r="AQ309" i="15"/>
  <c r="AP309" i="15"/>
  <c r="AO309" i="15"/>
  <c r="AN309" i="15"/>
  <c r="B309" i="15"/>
  <c r="AT308" i="15"/>
  <c r="AS308" i="15"/>
  <c r="AR308" i="15"/>
  <c r="AQ308" i="15"/>
  <c r="AP308" i="15"/>
  <c r="AO308" i="15"/>
  <c r="AN308" i="15"/>
  <c r="B308" i="15"/>
  <c r="AT307" i="15"/>
  <c r="AS307" i="15"/>
  <c r="AR307" i="15"/>
  <c r="AQ307" i="15"/>
  <c r="AP307" i="15"/>
  <c r="AO307" i="15"/>
  <c r="AN307" i="15"/>
  <c r="B307" i="15"/>
  <c r="AT306" i="15"/>
  <c r="AS306" i="15"/>
  <c r="AR306" i="15"/>
  <c r="AQ306" i="15"/>
  <c r="AP306" i="15"/>
  <c r="AO306" i="15"/>
  <c r="AN306" i="15"/>
  <c r="B306" i="15"/>
  <c r="AT305" i="15"/>
  <c r="AS305" i="15"/>
  <c r="AR305" i="15"/>
  <c r="AQ305" i="15"/>
  <c r="AP305" i="15"/>
  <c r="AO305" i="15"/>
  <c r="AN305" i="15"/>
  <c r="B305" i="15"/>
  <c r="AT304" i="15"/>
  <c r="AS304" i="15"/>
  <c r="AR304" i="15"/>
  <c r="AQ304" i="15"/>
  <c r="AP304" i="15"/>
  <c r="AO304" i="15"/>
  <c r="AN304" i="15"/>
  <c r="B304" i="15"/>
  <c r="AT303" i="15"/>
  <c r="AS303" i="15"/>
  <c r="AR303" i="15"/>
  <c r="AQ303" i="15"/>
  <c r="AP303" i="15"/>
  <c r="AO303" i="15"/>
  <c r="AN303" i="15"/>
  <c r="B303" i="15"/>
  <c r="B302" i="15"/>
  <c r="B290" i="33" s="1"/>
  <c r="AT300" i="15"/>
  <c r="AS300" i="15"/>
  <c r="AR300" i="15"/>
  <c r="AQ300" i="15"/>
  <c r="AP300" i="15"/>
  <c r="AO300" i="15"/>
  <c r="AN300" i="15"/>
  <c r="B300" i="15"/>
  <c r="AT299" i="15"/>
  <c r="AS299" i="15"/>
  <c r="AR299" i="15"/>
  <c r="AQ299" i="15"/>
  <c r="AP299" i="15"/>
  <c r="AO299" i="15"/>
  <c r="AN299" i="15"/>
  <c r="B299" i="15"/>
  <c r="AT298" i="15"/>
  <c r="AS298" i="15"/>
  <c r="AR298" i="15"/>
  <c r="AQ298" i="15"/>
  <c r="AP298" i="15"/>
  <c r="AO298" i="15"/>
  <c r="AN298" i="15"/>
  <c r="B298" i="15"/>
  <c r="AT297" i="15"/>
  <c r="AS297" i="15"/>
  <c r="AR297" i="15"/>
  <c r="AQ297" i="15"/>
  <c r="AP297" i="15"/>
  <c r="AO297" i="15"/>
  <c r="AN297" i="15"/>
  <c r="B297" i="15"/>
  <c r="AT296" i="15"/>
  <c r="AS296" i="15"/>
  <c r="AR296" i="15"/>
  <c r="AQ296" i="15"/>
  <c r="AP296" i="15"/>
  <c r="AO296" i="15"/>
  <c r="AN296" i="15"/>
  <c r="B296" i="15"/>
  <c r="AT295" i="15"/>
  <c r="AS295" i="15"/>
  <c r="AR295" i="15"/>
  <c r="AQ295" i="15"/>
  <c r="AP295" i="15"/>
  <c r="AO295" i="15"/>
  <c r="AN295" i="15"/>
  <c r="B295" i="15"/>
  <c r="AT294" i="15"/>
  <c r="AS294" i="15"/>
  <c r="AR294" i="15"/>
  <c r="AQ294" i="15"/>
  <c r="AP294" i="15"/>
  <c r="AO294" i="15"/>
  <c r="AN294" i="15"/>
  <c r="B294" i="15"/>
  <c r="AT293" i="15"/>
  <c r="AS293" i="15"/>
  <c r="AR293" i="15"/>
  <c r="AQ293" i="15"/>
  <c r="AP293" i="15"/>
  <c r="AO293" i="15"/>
  <c r="AN293" i="15"/>
  <c r="B293" i="15"/>
  <c r="AT292" i="15"/>
  <c r="AS292" i="15"/>
  <c r="AR292" i="15"/>
  <c r="AQ292" i="15"/>
  <c r="AP292" i="15"/>
  <c r="AO292" i="15"/>
  <c r="AN292" i="15"/>
  <c r="B292" i="15"/>
  <c r="AT291" i="15"/>
  <c r="AS291" i="15"/>
  <c r="AR291" i="15"/>
  <c r="AQ291" i="15"/>
  <c r="AP291" i="15"/>
  <c r="AO291" i="15"/>
  <c r="AN291" i="15"/>
  <c r="B291" i="15"/>
  <c r="AT290" i="15"/>
  <c r="AS290" i="15"/>
  <c r="AR290" i="15"/>
  <c r="AQ290" i="15"/>
  <c r="AP290" i="15"/>
  <c r="AO290" i="15"/>
  <c r="AN290" i="15"/>
  <c r="B290" i="15"/>
  <c r="AT289" i="15"/>
  <c r="AS289" i="15"/>
  <c r="AR289" i="15"/>
  <c r="AQ289" i="15"/>
  <c r="AP289" i="15"/>
  <c r="AO289" i="15"/>
  <c r="AN289" i="15"/>
  <c r="B289" i="15"/>
  <c r="AT288" i="15"/>
  <c r="AS288" i="15"/>
  <c r="AR288" i="15"/>
  <c r="AQ288" i="15"/>
  <c r="AP288" i="15"/>
  <c r="AO288" i="15"/>
  <c r="AN288" i="15"/>
  <c r="B288" i="15"/>
  <c r="AT287" i="15"/>
  <c r="AS287" i="15"/>
  <c r="AR287" i="15"/>
  <c r="AQ287" i="15"/>
  <c r="AP287" i="15"/>
  <c r="AO287" i="15"/>
  <c r="AN287" i="15"/>
  <c r="B287" i="15"/>
  <c r="AT286" i="15"/>
  <c r="AS286" i="15"/>
  <c r="AR286" i="15"/>
  <c r="AQ286" i="15"/>
  <c r="AP286" i="15"/>
  <c r="AO286" i="15"/>
  <c r="AN286" i="15"/>
  <c r="B286" i="15"/>
  <c r="AT285" i="15"/>
  <c r="AS285" i="15"/>
  <c r="AR285" i="15"/>
  <c r="AQ285" i="15"/>
  <c r="AP285" i="15"/>
  <c r="AO285" i="15"/>
  <c r="AN285" i="15"/>
  <c r="B285" i="15"/>
  <c r="B284" i="15"/>
  <c r="B283" i="15"/>
  <c r="B282" i="15"/>
  <c r="B281" i="15"/>
  <c r="AT280" i="15"/>
  <c r="AS280" i="15"/>
  <c r="AR280" i="15"/>
  <c r="AQ280" i="15"/>
  <c r="AP280" i="15"/>
  <c r="AO280" i="15"/>
  <c r="AN280" i="15"/>
  <c r="B280" i="15"/>
  <c r="AT279" i="15"/>
  <c r="AS279" i="15"/>
  <c r="AR279" i="15"/>
  <c r="AQ279" i="15"/>
  <c r="AP279" i="15"/>
  <c r="AO279" i="15"/>
  <c r="AN279" i="15"/>
  <c r="B279" i="15"/>
  <c r="AT278" i="15"/>
  <c r="AS278" i="15"/>
  <c r="AR278" i="15"/>
  <c r="AQ278" i="15"/>
  <c r="AP278" i="15"/>
  <c r="AO278" i="15"/>
  <c r="AN278" i="15"/>
  <c r="B278" i="15"/>
  <c r="AT277" i="15"/>
  <c r="AS277" i="15"/>
  <c r="AR277" i="15"/>
  <c r="AQ277" i="15"/>
  <c r="AP277" i="15"/>
  <c r="AO277" i="15"/>
  <c r="AN277" i="15"/>
  <c r="B277" i="15"/>
  <c r="AT276" i="15"/>
  <c r="AS276" i="15"/>
  <c r="AR276" i="15"/>
  <c r="AQ276" i="15"/>
  <c r="AP276" i="15"/>
  <c r="AO276" i="15"/>
  <c r="AN276" i="15"/>
  <c r="B276" i="15"/>
  <c r="AT275" i="15"/>
  <c r="AS275" i="15"/>
  <c r="AR275" i="15"/>
  <c r="AQ275" i="15"/>
  <c r="AP275" i="15"/>
  <c r="AO275" i="15"/>
  <c r="AN275" i="15"/>
  <c r="B275" i="15"/>
  <c r="AT274" i="15"/>
  <c r="AS274" i="15"/>
  <c r="AR274" i="15"/>
  <c r="AQ274" i="15"/>
  <c r="AP274" i="15"/>
  <c r="AO274" i="15"/>
  <c r="AN274" i="15"/>
  <c r="B274" i="15"/>
  <c r="AT273" i="15"/>
  <c r="AS273" i="15"/>
  <c r="AR273" i="15"/>
  <c r="AQ273" i="15"/>
  <c r="AP273" i="15"/>
  <c r="AO273" i="15"/>
  <c r="AN273" i="15"/>
  <c r="B273" i="15"/>
  <c r="AT272" i="15"/>
  <c r="AS272" i="15"/>
  <c r="AR272" i="15"/>
  <c r="AQ272" i="15"/>
  <c r="AP272" i="15"/>
  <c r="AO272" i="15"/>
  <c r="AN272" i="15"/>
  <c r="B272" i="15"/>
  <c r="AT271" i="15"/>
  <c r="AS271" i="15"/>
  <c r="AR271" i="15"/>
  <c r="AQ271" i="15"/>
  <c r="AP271" i="15"/>
  <c r="AO271" i="15"/>
  <c r="AN271" i="15"/>
  <c r="B271" i="15"/>
  <c r="AT270" i="15"/>
  <c r="AS270" i="15"/>
  <c r="AR270" i="15"/>
  <c r="AQ270" i="15"/>
  <c r="AP270" i="15"/>
  <c r="AO270" i="15"/>
  <c r="AN270" i="15"/>
  <c r="B270" i="15"/>
  <c r="B269" i="15"/>
  <c r="B268" i="15"/>
  <c r="B267" i="15"/>
  <c r="B266" i="15"/>
  <c r="B265" i="15"/>
  <c r="B264" i="15"/>
  <c r="B263" i="15"/>
  <c r="B262" i="15"/>
  <c r="B261" i="15"/>
  <c r="B260" i="15"/>
  <c r="B259" i="15"/>
  <c r="B258" i="15"/>
  <c r="B257" i="15"/>
  <c r="B256" i="15"/>
  <c r="B289" i="33" s="1"/>
  <c r="AT254" i="15"/>
  <c r="AS254" i="15"/>
  <c r="AR254" i="15"/>
  <c r="AQ254" i="15"/>
  <c r="AP254" i="15"/>
  <c r="AO254" i="15"/>
  <c r="AN254" i="15"/>
  <c r="B254" i="15"/>
  <c r="AT253" i="15"/>
  <c r="AS253" i="15"/>
  <c r="AR253" i="15"/>
  <c r="AQ253" i="15"/>
  <c r="AP253" i="15"/>
  <c r="AO253" i="15"/>
  <c r="AN253" i="15"/>
  <c r="B253" i="15"/>
  <c r="AT252" i="15"/>
  <c r="AS252" i="15"/>
  <c r="AR252" i="15"/>
  <c r="AQ252" i="15"/>
  <c r="AP252" i="15"/>
  <c r="AO252" i="15"/>
  <c r="AN252" i="15"/>
  <c r="B252" i="15"/>
  <c r="AT251" i="15"/>
  <c r="AS251" i="15"/>
  <c r="AR251" i="15"/>
  <c r="AQ251" i="15"/>
  <c r="AP251" i="15"/>
  <c r="AO251" i="15"/>
  <c r="AN251" i="15"/>
  <c r="B251" i="15"/>
  <c r="AT250" i="15"/>
  <c r="AS250" i="15"/>
  <c r="AR250" i="15"/>
  <c r="AQ250" i="15"/>
  <c r="AP250" i="15"/>
  <c r="AO250" i="15"/>
  <c r="AN250" i="15"/>
  <c r="B250" i="15"/>
  <c r="AT249" i="15"/>
  <c r="AS249" i="15"/>
  <c r="AR249" i="15"/>
  <c r="AQ249" i="15"/>
  <c r="AP249" i="15"/>
  <c r="AO249" i="15"/>
  <c r="AN249" i="15"/>
  <c r="B249" i="15"/>
  <c r="AT248" i="15"/>
  <c r="AS248" i="15"/>
  <c r="AR248" i="15"/>
  <c r="AQ248" i="15"/>
  <c r="AP248" i="15"/>
  <c r="AO248" i="15"/>
  <c r="AN248" i="15"/>
  <c r="B248" i="15"/>
  <c r="AT247" i="15"/>
  <c r="AS247" i="15"/>
  <c r="AR247" i="15"/>
  <c r="AQ247" i="15"/>
  <c r="AP247" i="15"/>
  <c r="AO247" i="15"/>
  <c r="AN247" i="15"/>
  <c r="B247" i="15"/>
  <c r="B246" i="15"/>
  <c r="B245" i="15"/>
  <c r="AT244" i="15"/>
  <c r="AS244" i="15"/>
  <c r="AR244" i="15"/>
  <c r="AQ244" i="15"/>
  <c r="AP244" i="15"/>
  <c r="AO244" i="15"/>
  <c r="AN244" i="15"/>
  <c r="B244" i="15"/>
  <c r="AT243" i="15"/>
  <c r="AS243" i="15"/>
  <c r="AR243" i="15"/>
  <c r="AQ243" i="15"/>
  <c r="AP243" i="15"/>
  <c r="AO243" i="15"/>
  <c r="AN243" i="15"/>
  <c r="B243" i="15"/>
  <c r="AT242" i="15"/>
  <c r="AS242" i="15"/>
  <c r="AR242" i="15"/>
  <c r="AQ242" i="15"/>
  <c r="AP242" i="15"/>
  <c r="AO242" i="15"/>
  <c r="AN242" i="15"/>
  <c r="B242" i="15"/>
  <c r="AT241" i="15"/>
  <c r="AS241" i="15"/>
  <c r="AR241" i="15"/>
  <c r="AQ241" i="15"/>
  <c r="AP241" i="15"/>
  <c r="AO241" i="15"/>
  <c r="AN241" i="15"/>
  <c r="B241" i="15"/>
  <c r="AT240" i="15"/>
  <c r="AS240" i="15"/>
  <c r="AR240" i="15"/>
  <c r="AQ240" i="15"/>
  <c r="AP240" i="15"/>
  <c r="AO240" i="15"/>
  <c r="AN240" i="15"/>
  <c r="B240" i="15"/>
  <c r="AT239" i="15"/>
  <c r="AS239" i="15"/>
  <c r="AR239" i="15"/>
  <c r="AQ239" i="15"/>
  <c r="AP239" i="15"/>
  <c r="AO239" i="15"/>
  <c r="AN239" i="15"/>
  <c r="B239" i="15"/>
  <c r="AT238" i="15"/>
  <c r="AS238" i="15"/>
  <c r="AR238" i="15"/>
  <c r="AQ238" i="15"/>
  <c r="AP238" i="15"/>
  <c r="AO238" i="15"/>
  <c r="AN238" i="15"/>
  <c r="B238" i="15"/>
  <c r="AT237" i="15"/>
  <c r="AS237" i="15"/>
  <c r="AR237" i="15"/>
  <c r="AQ237" i="15"/>
  <c r="AP237" i="15"/>
  <c r="AO237" i="15"/>
  <c r="AN237" i="15"/>
  <c r="B237" i="15"/>
  <c r="AT236" i="15"/>
  <c r="AS236" i="15"/>
  <c r="AR236" i="15"/>
  <c r="AQ236" i="15"/>
  <c r="AP236" i="15"/>
  <c r="AO236" i="15"/>
  <c r="AN236" i="15"/>
  <c r="B236" i="15"/>
  <c r="AT235" i="15"/>
  <c r="AS235" i="15"/>
  <c r="AR235" i="15"/>
  <c r="AQ235" i="15"/>
  <c r="AP235" i="15"/>
  <c r="AO235" i="15"/>
  <c r="AN235" i="15"/>
  <c r="B235" i="15"/>
  <c r="AT234" i="15"/>
  <c r="AS234" i="15"/>
  <c r="AR234" i="15"/>
  <c r="AQ234" i="15"/>
  <c r="AP234" i="15"/>
  <c r="AO234" i="15"/>
  <c r="AN234" i="15"/>
  <c r="B234" i="15"/>
  <c r="AT233" i="15"/>
  <c r="AS233" i="15"/>
  <c r="AR233" i="15"/>
  <c r="AQ233" i="15"/>
  <c r="AP233" i="15"/>
  <c r="AO233" i="15"/>
  <c r="AN233" i="15"/>
  <c r="B233" i="15"/>
  <c r="AT232" i="15"/>
  <c r="AS232" i="15"/>
  <c r="AR232" i="15"/>
  <c r="AQ232" i="15"/>
  <c r="AP232" i="15"/>
  <c r="AO232" i="15"/>
  <c r="AN232" i="15"/>
  <c r="B232" i="15"/>
  <c r="AT231" i="15"/>
  <c r="AS231" i="15"/>
  <c r="AR231" i="15"/>
  <c r="AQ231" i="15"/>
  <c r="AP231" i="15"/>
  <c r="AO231" i="15"/>
  <c r="AN231" i="15"/>
  <c r="B231" i="15"/>
  <c r="AT230" i="15"/>
  <c r="AS230" i="15"/>
  <c r="AR230" i="15"/>
  <c r="AQ230" i="15"/>
  <c r="AP230" i="15"/>
  <c r="AO230" i="15"/>
  <c r="AN230" i="15"/>
  <c r="B230" i="15"/>
  <c r="AT229" i="15"/>
  <c r="AS229" i="15"/>
  <c r="AR229" i="15"/>
  <c r="AQ229" i="15"/>
  <c r="AP229" i="15"/>
  <c r="AO229" i="15"/>
  <c r="AN229" i="15"/>
  <c r="B229" i="15"/>
  <c r="AT228" i="15"/>
  <c r="AS228" i="15"/>
  <c r="AR228" i="15"/>
  <c r="AQ228" i="15"/>
  <c r="AP228" i="15"/>
  <c r="AO228" i="15"/>
  <c r="AN228" i="15"/>
  <c r="B228" i="15"/>
  <c r="AT227" i="15"/>
  <c r="AS227" i="15"/>
  <c r="AR227" i="15"/>
  <c r="AQ227" i="15"/>
  <c r="AP227" i="15"/>
  <c r="AO227" i="15"/>
  <c r="AN227" i="15"/>
  <c r="B227" i="15"/>
  <c r="B226" i="15"/>
  <c r="B225" i="15"/>
  <c r="B288" i="33" s="1"/>
  <c r="AV223" i="15"/>
  <c r="AN223" i="15"/>
  <c r="AF223" i="15"/>
  <c r="AV222" i="15"/>
  <c r="AN222" i="15"/>
  <c r="AF222" i="15"/>
  <c r="X222" i="15"/>
  <c r="AT218" i="15"/>
  <c r="AS218" i="15"/>
  <c r="AR218" i="15"/>
  <c r="AQ218" i="15"/>
  <c r="AP218" i="15"/>
  <c r="AO218" i="15"/>
  <c r="U218" i="15"/>
  <c r="U342" i="15" s="1"/>
  <c r="T218" i="15"/>
  <c r="T342" i="15" s="1"/>
  <c r="J342" i="15"/>
  <c r="C342" i="15"/>
  <c r="AT217" i="15"/>
  <c r="AS217" i="15"/>
  <c r="AR217" i="15"/>
  <c r="AQ217" i="15"/>
  <c r="AP217" i="15"/>
  <c r="AO217" i="15"/>
  <c r="U217" i="15"/>
  <c r="U341" i="15" s="1"/>
  <c r="T217" i="15"/>
  <c r="T341" i="15" s="1"/>
  <c r="J341" i="15"/>
  <c r="C341" i="15"/>
  <c r="AT216" i="15"/>
  <c r="AS216" i="15"/>
  <c r="AR216" i="15"/>
  <c r="AQ216" i="15"/>
  <c r="AP216" i="15"/>
  <c r="AO216" i="15"/>
  <c r="U216" i="15"/>
  <c r="U340" i="15" s="1"/>
  <c r="T216" i="15"/>
  <c r="T340" i="15" s="1"/>
  <c r="C340" i="15"/>
  <c r="AT215" i="15"/>
  <c r="AS215" i="15"/>
  <c r="AR215" i="15"/>
  <c r="AQ215" i="15"/>
  <c r="AP215" i="15"/>
  <c r="AO215" i="15"/>
  <c r="U215" i="15"/>
  <c r="U339" i="15" s="1"/>
  <c r="T215" i="15"/>
  <c r="T339" i="15" s="1"/>
  <c r="J339" i="15"/>
  <c r="C339" i="15"/>
  <c r="AT214" i="15"/>
  <c r="AS214" i="15"/>
  <c r="AR214" i="15"/>
  <c r="AQ214" i="15"/>
  <c r="AP214" i="15"/>
  <c r="AO214" i="15"/>
  <c r="U214" i="15"/>
  <c r="U338" i="15" s="1"/>
  <c r="T214" i="15"/>
  <c r="T338" i="15" s="1"/>
  <c r="AN214" i="15"/>
  <c r="J338" i="15"/>
  <c r="C338" i="15"/>
  <c r="AT213" i="15"/>
  <c r="AS213" i="15"/>
  <c r="AR213" i="15"/>
  <c r="AQ213" i="15"/>
  <c r="AP213" i="15"/>
  <c r="AO213" i="15"/>
  <c r="U213" i="15"/>
  <c r="U337" i="15" s="1"/>
  <c r="T213" i="15"/>
  <c r="T337" i="15" s="1"/>
  <c r="J337" i="15"/>
  <c r="C337" i="15"/>
  <c r="AT212" i="15"/>
  <c r="AS212" i="15"/>
  <c r="AR212" i="15"/>
  <c r="AQ212" i="15"/>
  <c r="AP212" i="15"/>
  <c r="AO212" i="15"/>
  <c r="U212" i="15"/>
  <c r="U336" i="15" s="1"/>
  <c r="T212" i="15"/>
  <c r="T336" i="15" s="1"/>
  <c r="AN212" i="15"/>
  <c r="C336" i="15"/>
  <c r="AT211" i="15"/>
  <c r="AS211" i="15"/>
  <c r="AR211" i="15"/>
  <c r="AQ211" i="15"/>
  <c r="AP211" i="15"/>
  <c r="AO211" i="15"/>
  <c r="U211" i="15"/>
  <c r="U335" i="15" s="1"/>
  <c r="T211" i="15"/>
  <c r="T335" i="15" s="1"/>
  <c r="C335" i="15"/>
  <c r="AT210" i="15"/>
  <c r="AS210" i="15"/>
  <c r="AR210" i="15"/>
  <c r="AQ210" i="15"/>
  <c r="AP210" i="15"/>
  <c r="AO210" i="15"/>
  <c r="U210" i="15"/>
  <c r="U334" i="15" s="1"/>
  <c r="T210" i="15"/>
  <c r="T334" i="15" s="1"/>
  <c r="J334" i="15"/>
  <c r="C334" i="15"/>
  <c r="AT209" i="15"/>
  <c r="AS209" i="15"/>
  <c r="AR209" i="15"/>
  <c r="AQ209" i="15"/>
  <c r="AP209" i="15"/>
  <c r="AO209" i="15"/>
  <c r="U209" i="15"/>
  <c r="U333" i="15" s="1"/>
  <c r="T209" i="15"/>
  <c r="T333" i="15" s="1"/>
  <c r="J333" i="15"/>
  <c r="C333" i="15"/>
  <c r="AT208" i="15"/>
  <c r="AS208" i="15"/>
  <c r="AR208" i="15"/>
  <c r="AQ208" i="15"/>
  <c r="AP208" i="15"/>
  <c r="AO208" i="15"/>
  <c r="U208" i="15"/>
  <c r="U332" i="15" s="1"/>
  <c r="T208" i="15"/>
  <c r="T332" i="15" s="1"/>
  <c r="C332" i="15"/>
  <c r="AT207" i="15"/>
  <c r="AS207" i="15"/>
  <c r="AR207" i="15"/>
  <c r="AQ207" i="15"/>
  <c r="AP207" i="15"/>
  <c r="AO207" i="15"/>
  <c r="U207" i="15"/>
  <c r="U331" i="15" s="1"/>
  <c r="T207" i="15"/>
  <c r="T331" i="15" s="1"/>
  <c r="J331" i="15"/>
  <c r="C331" i="15"/>
  <c r="AT206" i="15"/>
  <c r="AS206" i="15"/>
  <c r="AR206" i="15"/>
  <c r="AQ206" i="15"/>
  <c r="AP206" i="15"/>
  <c r="AO206" i="15"/>
  <c r="U206" i="15"/>
  <c r="U330" i="15" s="1"/>
  <c r="T206" i="15"/>
  <c r="T330" i="15" s="1"/>
  <c r="AN206" i="15"/>
  <c r="J330" i="15"/>
  <c r="C330" i="15"/>
  <c r="AT205" i="15"/>
  <c r="AS205" i="15"/>
  <c r="AR205" i="15"/>
  <c r="AQ205" i="15"/>
  <c r="AP205" i="15"/>
  <c r="AO205" i="15"/>
  <c r="U205" i="15"/>
  <c r="U329" i="15" s="1"/>
  <c r="T205" i="15"/>
  <c r="T329" i="15" s="1"/>
  <c r="C329" i="15"/>
  <c r="AT204" i="15"/>
  <c r="AS204" i="15"/>
  <c r="AR204" i="15"/>
  <c r="AQ204" i="15"/>
  <c r="AP204" i="15"/>
  <c r="AO204" i="15"/>
  <c r="U204" i="15"/>
  <c r="U328" i="15" s="1"/>
  <c r="T204" i="15"/>
  <c r="T328" i="15" s="1"/>
  <c r="J328" i="15"/>
  <c r="C328" i="15"/>
  <c r="AT203" i="15"/>
  <c r="AS203" i="15"/>
  <c r="AR203" i="15"/>
  <c r="AQ203" i="15"/>
  <c r="AP203" i="15"/>
  <c r="AO203" i="15"/>
  <c r="U203" i="15"/>
  <c r="U327" i="15" s="1"/>
  <c r="T203" i="15"/>
  <c r="T327" i="15" s="1"/>
  <c r="C327" i="15"/>
  <c r="AT202" i="15"/>
  <c r="AS202" i="15"/>
  <c r="AR202" i="15"/>
  <c r="AQ202" i="15"/>
  <c r="AP202" i="15"/>
  <c r="AO202" i="15"/>
  <c r="U202" i="15"/>
  <c r="U326" i="15" s="1"/>
  <c r="T202" i="15"/>
  <c r="T326" i="15" s="1"/>
  <c r="J326" i="15"/>
  <c r="C326" i="15"/>
  <c r="AT201" i="15"/>
  <c r="AS201" i="15"/>
  <c r="AR201" i="15"/>
  <c r="AQ201" i="15"/>
  <c r="AP201" i="15"/>
  <c r="AO201" i="15"/>
  <c r="U201" i="15"/>
  <c r="U325" i="15" s="1"/>
  <c r="T201" i="15"/>
  <c r="T325" i="15" s="1"/>
  <c r="J325" i="15"/>
  <c r="C325" i="15"/>
  <c r="AT200" i="15"/>
  <c r="AS200" i="15"/>
  <c r="AR200" i="15"/>
  <c r="AQ200" i="15"/>
  <c r="AP200" i="15"/>
  <c r="AO200" i="15"/>
  <c r="U200" i="15"/>
  <c r="U324" i="15" s="1"/>
  <c r="T200" i="15"/>
  <c r="T324" i="15" s="1"/>
  <c r="C324" i="15"/>
  <c r="AT199" i="15"/>
  <c r="AS199" i="15"/>
  <c r="AR199" i="15"/>
  <c r="AQ199" i="15"/>
  <c r="AP199" i="15"/>
  <c r="AO199" i="15"/>
  <c r="U199" i="15"/>
  <c r="T199" i="15"/>
  <c r="T323" i="15" s="1"/>
  <c r="J323" i="15"/>
  <c r="C323" i="15"/>
  <c r="AT197" i="15"/>
  <c r="AS197" i="15"/>
  <c r="AR197" i="15"/>
  <c r="AQ197" i="15"/>
  <c r="AP197" i="15"/>
  <c r="AO197" i="15"/>
  <c r="U197" i="15"/>
  <c r="U321" i="15" s="1"/>
  <c r="T197" i="15"/>
  <c r="T321" i="15" s="1"/>
  <c r="C321" i="15"/>
  <c r="AT196" i="15"/>
  <c r="AS196" i="15"/>
  <c r="AR196" i="15"/>
  <c r="AQ196" i="15"/>
  <c r="AP196" i="15"/>
  <c r="AO196" i="15"/>
  <c r="U196" i="15"/>
  <c r="U320" i="15" s="1"/>
  <c r="T196" i="15"/>
  <c r="T320" i="15" s="1"/>
  <c r="J320" i="15"/>
  <c r="C320" i="15"/>
  <c r="AT195" i="15"/>
  <c r="AS195" i="15"/>
  <c r="AR195" i="15"/>
  <c r="AQ195" i="15"/>
  <c r="AP195" i="15"/>
  <c r="AO195" i="15"/>
  <c r="U195" i="15"/>
  <c r="U319" i="15" s="1"/>
  <c r="T195" i="15"/>
  <c r="T319" i="15" s="1"/>
  <c r="J319" i="15"/>
  <c r="C319" i="15"/>
  <c r="AT194" i="15"/>
  <c r="AS194" i="15"/>
  <c r="AR194" i="15"/>
  <c r="AQ194" i="15"/>
  <c r="AP194" i="15"/>
  <c r="AO194" i="15"/>
  <c r="U194" i="15"/>
  <c r="U318" i="15" s="1"/>
  <c r="T194" i="15"/>
  <c r="T318" i="15" s="1"/>
  <c r="AN194" i="15"/>
  <c r="J318" i="15"/>
  <c r="C318" i="15"/>
  <c r="AT193" i="15"/>
  <c r="AS193" i="15"/>
  <c r="AR193" i="15"/>
  <c r="AQ193" i="15"/>
  <c r="AP193" i="15"/>
  <c r="AO193" i="15"/>
  <c r="U193" i="15"/>
  <c r="U317" i="15" s="1"/>
  <c r="T193" i="15"/>
  <c r="T317" i="15" s="1"/>
  <c r="J317" i="15"/>
  <c r="C317" i="15"/>
  <c r="AT192" i="15"/>
  <c r="AS192" i="15"/>
  <c r="AR192" i="15"/>
  <c r="AQ192" i="15"/>
  <c r="AP192" i="15"/>
  <c r="AO192" i="15"/>
  <c r="U192" i="15"/>
  <c r="U316" i="15" s="1"/>
  <c r="T192" i="15"/>
  <c r="T316" i="15" s="1"/>
  <c r="C316" i="15"/>
  <c r="AT191" i="15"/>
  <c r="AS191" i="15"/>
  <c r="AR191" i="15"/>
  <c r="AQ191" i="15"/>
  <c r="AP191" i="15"/>
  <c r="AO191" i="15"/>
  <c r="U191" i="15"/>
  <c r="U315" i="15" s="1"/>
  <c r="T191" i="15"/>
  <c r="T315" i="15" s="1"/>
  <c r="C315" i="15"/>
  <c r="AT190" i="15"/>
  <c r="AS190" i="15"/>
  <c r="AR190" i="15"/>
  <c r="AQ190" i="15"/>
  <c r="AP190" i="15"/>
  <c r="AO190" i="15"/>
  <c r="U190" i="15"/>
  <c r="U314" i="15" s="1"/>
  <c r="T190" i="15"/>
  <c r="T314" i="15" s="1"/>
  <c r="C314" i="15"/>
  <c r="AT189" i="15"/>
  <c r="AS189" i="15"/>
  <c r="AR189" i="15"/>
  <c r="AQ189" i="15"/>
  <c r="AP189" i="15"/>
  <c r="AO189" i="15"/>
  <c r="U189" i="15"/>
  <c r="U313" i="15" s="1"/>
  <c r="T189" i="15"/>
  <c r="T313" i="15" s="1"/>
  <c r="AN189" i="15"/>
  <c r="C313" i="15"/>
  <c r="AT188" i="15"/>
  <c r="AS188" i="15"/>
  <c r="AR188" i="15"/>
  <c r="AQ188" i="15"/>
  <c r="AP188" i="15"/>
  <c r="AO188" i="15"/>
  <c r="U188" i="15"/>
  <c r="U312" i="15" s="1"/>
  <c r="T188" i="15"/>
  <c r="T312" i="15" s="1"/>
  <c r="J312" i="15"/>
  <c r="C312" i="15"/>
  <c r="AT187" i="15"/>
  <c r="AS187" i="15"/>
  <c r="AR187" i="15"/>
  <c r="AQ187" i="15"/>
  <c r="AP187" i="15"/>
  <c r="AO187" i="15"/>
  <c r="U187" i="15"/>
  <c r="U311" i="15" s="1"/>
  <c r="T187" i="15"/>
  <c r="T311" i="15" s="1"/>
  <c r="J311" i="15"/>
  <c r="C311" i="15"/>
  <c r="AT186" i="15"/>
  <c r="AS186" i="15"/>
  <c r="AR186" i="15"/>
  <c r="AQ186" i="15"/>
  <c r="AP186" i="15"/>
  <c r="AO186" i="15"/>
  <c r="U186" i="15"/>
  <c r="U310" i="15" s="1"/>
  <c r="T186" i="15"/>
  <c r="T310" i="15" s="1"/>
  <c r="C310" i="15"/>
  <c r="AT185" i="15"/>
  <c r="AS185" i="15"/>
  <c r="AR185" i="15"/>
  <c r="AQ185" i="15"/>
  <c r="AP185" i="15"/>
  <c r="AO185" i="15"/>
  <c r="U185" i="15"/>
  <c r="U309" i="15" s="1"/>
  <c r="T185" i="15"/>
  <c r="T309" i="15" s="1"/>
  <c r="C309" i="15"/>
  <c r="AT184" i="15"/>
  <c r="AS184" i="15"/>
  <c r="AR184" i="15"/>
  <c r="AQ184" i="15"/>
  <c r="AP184" i="15"/>
  <c r="AO184" i="15"/>
  <c r="U184" i="15"/>
  <c r="U308" i="15" s="1"/>
  <c r="T184" i="15"/>
  <c r="T308" i="15" s="1"/>
  <c r="C308" i="15"/>
  <c r="AT183" i="15"/>
  <c r="AS183" i="15"/>
  <c r="AR183" i="15"/>
  <c r="AQ183" i="15"/>
  <c r="AP183" i="15"/>
  <c r="AO183" i="15"/>
  <c r="U183" i="15"/>
  <c r="U307" i="15" s="1"/>
  <c r="T183" i="15"/>
  <c r="T307" i="15" s="1"/>
  <c r="J307" i="15"/>
  <c r="C307" i="15"/>
  <c r="AT182" i="15"/>
  <c r="AS182" i="15"/>
  <c r="AR182" i="15"/>
  <c r="AQ182" i="15"/>
  <c r="AP182" i="15"/>
  <c r="AO182" i="15"/>
  <c r="U182" i="15"/>
  <c r="U306" i="15" s="1"/>
  <c r="T182" i="15"/>
  <c r="T306" i="15" s="1"/>
  <c r="C306" i="15"/>
  <c r="AT181" i="15"/>
  <c r="AS181" i="15"/>
  <c r="AR181" i="15"/>
  <c r="AQ181" i="15"/>
  <c r="AP181" i="15"/>
  <c r="AO181" i="15"/>
  <c r="U181" i="15"/>
  <c r="U305" i="15" s="1"/>
  <c r="T181" i="15"/>
  <c r="T305" i="15" s="1"/>
  <c r="J305" i="15"/>
  <c r="C305" i="15"/>
  <c r="AT180" i="15"/>
  <c r="AS180" i="15"/>
  <c r="AR180" i="15"/>
  <c r="AQ180" i="15"/>
  <c r="AP180" i="15"/>
  <c r="AO180" i="15"/>
  <c r="U180" i="15"/>
  <c r="U304" i="15" s="1"/>
  <c r="T180" i="15"/>
  <c r="T304" i="15" s="1"/>
  <c r="J304" i="15"/>
  <c r="C304" i="15"/>
  <c r="AT179" i="15"/>
  <c r="AS179" i="15"/>
  <c r="AR179" i="15"/>
  <c r="AQ179" i="15"/>
  <c r="AP179" i="15"/>
  <c r="AO179" i="15"/>
  <c r="U179" i="15"/>
  <c r="U303" i="15" s="1"/>
  <c r="T179" i="15"/>
  <c r="T303" i="15" s="1"/>
  <c r="AN179" i="15"/>
  <c r="C303" i="15"/>
  <c r="U178" i="15"/>
  <c r="U302" i="15" s="1"/>
  <c r="T178" i="15"/>
  <c r="T302" i="15" s="1"/>
  <c r="C302" i="15"/>
  <c r="AT176" i="15"/>
  <c r="AS176" i="15"/>
  <c r="AR176" i="15"/>
  <c r="AQ176" i="15"/>
  <c r="AP176" i="15"/>
  <c r="AO176" i="15"/>
  <c r="U176" i="15"/>
  <c r="U300" i="15" s="1"/>
  <c r="T176" i="15"/>
  <c r="T300" i="15" s="1"/>
  <c r="AN176" i="15"/>
  <c r="C300" i="15"/>
  <c r="AT175" i="15"/>
  <c r="AS175" i="15"/>
  <c r="AR175" i="15"/>
  <c r="AQ175" i="15"/>
  <c r="AP175" i="15"/>
  <c r="AO175" i="15"/>
  <c r="U175" i="15"/>
  <c r="U299" i="15" s="1"/>
  <c r="T175" i="15"/>
  <c r="T299" i="15" s="1"/>
  <c r="AN175" i="15"/>
  <c r="C299" i="15"/>
  <c r="AT174" i="15"/>
  <c r="AS174" i="15"/>
  <c r="AR174" i="15"/>
  <c r="AQ174" i="15"/>
  <c r="AP174" i="15"/>
  <c r="AO174" i="15"/>
  <c r="U174" i="15"/>
  <c r="U298" i="15" s="1"/>
  <c r="T174" i="15"/>
  <c r="T298" i="15" s="1"/>
  <c r="C298" i="15"/>
  <c r="AT173" i="15"/>
  <c r="AS173" i="15"/>
  <c r="AR173" i="15"/>
  <c r="AQ173" i="15"/>
  <c r="AP173" i="15"/>
  <c r="AO173" i="15"/>
  <c r="U173" i="15"/>
  <c r="U297" i="15" s="1"/>
  <c r="T173" i="15"/>
  <c r="T297" i="15" s="1"/>
  <c r="C297" i="15"/>
  <c r="AT172" i="15"/>
  <c r="AS172" i="15"/>
  <c r="AR172" i="15"/>
  <c r="AQ172" i="15"/>
  <c r="AP172" i="15"/>
  <c r="AO172" i="15"/>
  <c r="U172" i="15"/>
  <c r="U296" i="15" s="1"/>
  <c r="T172" i="15"/>
  <c r="T296" i="15" s="1"/>
  <c r="C296" i="15"/>
  <c r="AT171" i="15"/>
  <c r="AS171" i="15"/>
  <c r="AR171" i="15"/>
  <c r="AQ171" i="15"/>
  <c r="AP171" i="15"/>
  <c r="AO171" i="15"/>
  <c r="U171" i="15"/>
  <c r="U295" i="15" s="1"/>
  <c r="T171" i="15"/>
  <c r="T295" i="15" s="1"/>
  <c r="C295" i="15"/>
  <c r="AT170" i="15"/>
  <c r="AS170" i="15"/>
  <c r="AR170" i="15"/>
  <c r="AQ170" i="15"/>
  <c r="AP170" i="15"/>
  <c r="AO170" i="15"/>
  <c r="U170" i="15"/>
  <c r="U294" i="15" s="1"/>
  <c r="T170" i="15"/>
  <c r="T294" i="15" s="1"/>
  <c r="J294" i="15"/>
  <c r="C294" i="15"/>
  <c r="AT169" i="15"/>
  <c r="AS169" i="15"/>
  <c r="AR169" i="15"/>
  <c r="AQ169" i="15"/>
  <c r="AP169" i="15"/>
  <c r="AO169" i="15"/>
  <c r="U169" i="15"/>
  <c r="U293" i="15" s="1"/>
  <c r="T169" i="15"/>
  <c r="T293" i="15" s="1"/>
  <c r="C293" i="15"/>
  <c r="AT168" i="15"/>
  <c r="AS168" i="15"/>
  <c r="AR168" i="15"/>
  <c r="AQ168" i="15"/>
  <c r="AP168" i="15"/>
  <c r="AO168" i="15"/>
  <c r="U168" i="15"/>
  <c r="U292" i="15" s="1"/>
  <c r="T168" i="15"/>
  <c r="T292" i="15" s="1"/>
  <c r="C292" i="15"/>
  <c r="AT167" i="15"/>
  <c r="AS167" i="15"/>
  <c r="AR167" i="15"/>
  <c r="AQ167" i="15"/>
  <c r="AP167" i="15"/>
  <c r="AO167" i="15"/>
  <c r="U167" i="15"/>
  <c r="U291" i="15" s="1"/>
  <c r="T167" i="15"/>
  <c r="T291" i="15" s="1"/>
  <c r="AN167" i="15"/>
  <c r="C291" i="15"/>
  <c r="AT166" i="15"/>
  <c r="AS166" i="15"/>
  <c r="AR166" i="15"/>
  <c r="AQ166" i="15"/>
  <c r="AP166" i="15"/>
  <c r="AO166" i="15"/>
  <c r="U166" i="15"/>
  <c r="U290" i="15" s="1"/>
  <c r="T166" i="15"/>
  <c r="T290" i="15" s="1"/>
  <c r="C290" i="15"/>
  <c r="AT165" i="15"/>
  <c r="AS165" i="15"/>
  <c r="AR165" i="15"/>
  <c r="AQ165" i="15"/>
  <c r="AP165" i="15"/>
  <c r="AO165" i="15"/>
  <c r="U165" i="15"/>
  <c r="U289" i="15" s="1"/>
  <c r="T165" i="15"/>
  <c r="T289" i="15" s="1"/>
  <c r="J289" i="15"/>
  <c r="C289" i="15"/>
  <c r="AT164" i="15"/>
  <c r="AS164" i="15"/>
  <c r="AR164" i="15"/>
  <c r="AQ164" i="15"/>
  <c r="AP164" i="15"/>
  <c r="AO164" i="15"/>
  <c r="U164" i="15"/>
  <c r="U288" i="15" s="1"/>
  <c r="T164" i="15"/>
  <c r="T288" i="15" s="1"/>
  <c r="C288" i="15"/>
  <c r="AT163" i="15"/>
  <c r="AS163" i="15"/>
  <c r="AR163" i="15"/>
  <c r="AQ163" i="15"/>
  <c r="AP163" i="15"/>
  <c r="AO163" i="15"/>
  <c r="U163" i="15"/>
  <c r="U287" i="15" s="1"/>
  <c r="T163" i="15"/>
  <c r="T287" i="15" s="1"/>
  <c r="C287" i="15"/>
  <c r="AT162" i="15"/>
  <c r="AS162" i="15"/>
  <c r="AR162" i="15"/>
  <c r="AQ162" i="15"/>
  <c r="AP162" i="15"/>
  <c r="AO162" i="15"/>
  <c r="U162" i="15"/>
  <c r="U286" i="15" s="1"/>
  <c r="T162" i="15"/>
  <c r="T286" i="15" s="1"/>
  <c r="C286" i="15"/>
  <c r="AT161" i="15"/>
  <c r="AS161" i="15"/>
  <c r="AR161" i="15"/>
  <c r="AQ161" i="15"/>
  <c r="AP161" i="15"/>
  <c r="AO161" i="15"/>
  <c r="U161" i="15"/>
  <c r="U285" i="15" s="1"/>
  <c r="T161" i="15"/>
  <c r="T285" i="15" s="1"/>
  <c r="C285" i="15"/>
  <c r="AT160" i="15"/>
  <c r="AS160" i="15"/>
  <c r="AR160" i="15"/>
  <c r="AQ160" i="15"/>
  <c r="AP160" i="15"/>
  <c r="AO160" i="15"/>
  <c r="U160" i="15"/>
  <c r="U284" i="15" s="1"/>
  <c r="T160" i="15"/>
  <c r="T284" i="15" s="1"/>
  <c r="C284" i="15"/>
  <c r="AT159" i="15"/>
  <c r="AS159" i="15"/>
  <c r="AR159" i="15"/>
  <c r="AQ159" i="15"/>
  <c r="AP159" i="15"/>
  <c r="AO159" i="15"/>
  <c r="U159" i="15"/>
  <c r="U283" i="15" s="1"/>
  <c r="T159" i="15"/>
  <c r="T283" i="15" s="1"/>
  <c r="J283" i="15"/>
  <c r="C283" i="15"/>
  <c r="AT158" i="15"/>
  <c r="AS158" i="15"/>
  <c r="AR158" i="15"/>
  <c r="AQ158" i="15"/>
  <c r="AP158" i="15"/>
  <c r="AO158" i="15"/>
  <c r="U158" i="15"/>
  <c r="U282" i="15" s="1"/>
  <c r="T158" i="15"/>
  <c r="T282" i="15" s="1"/>
  <c r="C282" i="15"/>
  <c r="AT157" i="15"/>
  <c r="AS157" i="15"/>
  <c r="AR157" i="15"/>
  <c r="AQ157" i="15"/>
  <c r="AP157" i="15"/>
  <c r="AO157" i="15"/>
  <c r="U157" i="15"/>
  <c r="U281" i="15" s="1"/>
  <c r="T157" i="15"/>
  <c r="T281" i="15" s="1"/>
  <c r="J281" i="15"/>
  <c r="X281" i="15" s="1"/>
  <c r="C281" i="15"/>
  <c r="AT156" i="15"/>
  <c r="AS156" i="15"/>
  <c r="AR156" i="15"/>
  <c r="AQ156" i="15"/>
  <c r="AP156" i="15"/>
  <c r="AO156" i="15"/>
  <c r="U156" i="15"/>
  <c r="U280" i="15" s="1"/>
  <c r="T156" i="15"/>
  <c r="T280" i="15" s="1"/>
  <c r="AN156" i="15"/>
  <c r="C280" i="15"/>
  <c r="AT155" i="15"/>
  <c r="AS155" i="15"/>
  <c r="AR155" i="15"/>
  <c r="AQ155" i="15"/>
  <c r="AP155" i="15"/>
  <c r="AO155" i="15"/>
  <c r="U155" i="15"/>
  <c r="U279" i="15" s="1"/>
  <c r="T155" i="15"/>
  <c r="T279" i="15" s="1"/>
  <c r="C279" i="15"/>
  <c r="AT154" i="15"/>
  <c r="AS154" i="15"/>
  <c r="AR154" i="15"/>
  <c r="AQ154" i="15"/>
  <c r="AP154" i="15"/>
  <c r="AO154" i="15"/>
  <c r="U154" i="15"/>
  <c r="U278" i="15" s="1"/>
  <c r="T154" i="15"/>
  <c r="T278" i="15" s="1"/>
  <c r="C278" i="15"/>
  <c r="AT153" i="15"/>
  <c r="AS153" i="15"/>
  <c r="AR153" i="15"/>
  <c r="AQ153" i="15"/>
  <c r="AP153" i="15"/>
  <c r="AO153" i="15"/>
  <c r="U153" i="15"/>
  <c r="U277" i="15" s="1"/>
  <c r="T153" i="15"/>
  <c r="T277" i="15" s="1"/>
  <c r="J277" i="15"/>
  <c r="C277" i="15"/>
  <c r="AT152" i="15"/>
  <c r="AS152" i="15"/>
  <c r="AR152" i="15"/>
  <c r="AQ152" i="15"/>
  <c r="AP152" i="15"/>
  <c r="AO152" i="15"/>
  <c r="U152" i="15"/>
  <c r="U276" i="15" s="1"/>
  <c r="T152" i="15"/>
  <c r="T276" i="15" s="1"/>
  <c r="AN152" i="15"/>
  <c r="J276" i="15"/>
  <c r="C276" i="15"/>
  <c r="AT151" i="15"/>
  <c r="AS151" i="15"/>
  <c r="AR151" i="15"/>
  <c r="AQ151" i="15"/>
  <c r="AP151" i="15"/>
  <c r="AO151" i="15"/>
  <c r="U151" i="15"/>
  <c r="U275" i="15" s="1"/>
  <c r="T151" i="15"/>
  <c r="T275" i="15" s="1"/>
  <c r="J275" i="15"/>
  <c r="C275" i="15"/>
  <c r="AT150" i="15"/>
  <c r="AS150" i="15"/>
  <c r="AR150" i="15"/>
  <c r="AQ150" i="15"/>
  <c r="AP150" i="15"/>
  <c r="AO150" i="15"/>
  <c r="U150" i="15"/>
  <c r="U274" i="15" s="1"/>
  <c r="T150" i="15"/>
  <c r="T274" i="15" s="1"/>
  <c r="AN150" i="15"/>
  <c r="C274" i="15"/>
  <c r="AT149" i="15"/>
  <c r="AS149" i="15"/>
  <c r="AR149" i="15"/>
  <c r="AQ149" i="15"/>
  <c r="AP149" i="15"/>
  <c r="AO149" i="15"/>
  <c r="U149" i="15"/>
  <c r="U273" i="15" s="1"/>
  <c r="T149" i="15"/>
  <c r="T273" i="15" s="1"/>
  <c r="J273" i="15"/>
  <c r="C273" i="15"/>
  <c r="AT148" i="15"/>
  <c r="AS148" i="15"/>
  <c r="AR148" i="15"/>
  <c r="AQ148" i="15"/>
  <c r="AP148" i="15"/>
  <c r="AO148" i="15"/>
  <c r="U148" i="15"/>
  <c r="U272" i="15" s="1"/>
  <c r="T148" i="15"/>
  <c r="T272" i="15" s="1"/>
  <c r="C272" i="15"/>
  <c r="AT147" i="15"/>
  <c r="AS147" i="15"/>
  <c r="AR147" i="15"/>
  <c r="AQ147" i="15"/>
  <c r="AP147" i="15"/>
  <c r="AO147" i="15"/>
  <c r="U147" i="15"/>
  <c r="U271" i="15" s="1"/>
  <c r="T147" i="15"/>
  <c r="T271" i="15" s="1"/>
  <c r="C271" i="15"/>
  <c r="AT146" i="15"/>
  <c r="AS146" i="15"/>
  <c r="AR146" i="15"/>
  <c r="AQ146" i="15"/>
  <c r="AP146" i="15"/>
  <c r="AO146" i="15"/>
  <c r="U146" i="15"/>
  <c r="U270" i="15" s="1"/>
  <c r="T146" i="15"/>
  <c r="T270" i="15" s="1"/>
  <c r="J270" i="15"/>
  <c r="C270" i="15"/>
  <c r="AT145" i="15"/>
  <c r="AS145" i="15"/>
  <c r="AR145" i="15"/>
  <c r="AQ145" i="15"/>
  <c r="AP145" i="15"/>
  <c r="AO145" i="15"/>
  <c r="U145" i="15"/>
  <c r="U269" i="15" s="1"/>
  <c r="T145" i="15"/>
  <c r="T269" i="15" s="1"/>
  <c r="C269" i="15"/>
  <c r="AT144" i="15"/>
  <c r="AS144" i="15"/>
  <c r="AR144" i="15"/>
  <c r="AQ144" i="15"/>
  <c r="AP144" i="15"/>
  <c r="AO144" i="15"/>
  <c r="U144" i="15"/>
  <c r="U268" i="15" s="1"/>
  <c r="T144" i="15"/>
  <c r="T268" i="15" s="1"/>
  <c r="C268" i="15"/>
  <c r="AT143" i="15"/>
  <c r="AS143" i="15"/>
  <c r="AR143" i="15"/>
  <c r="AQ143" i="15"/>
  <c r="AP143" i="15"/>
  <c r="AO143" i="15"/>
  <c r="U143" i="15"/>
  <c r="U267" i="15" s="1"/>
  <c r="T143" i="15"/>
  <c r="T267" i="15" s="1"/>
  <c r="C267" i="15"/>
  <c r="AT142" i="15"/>
  <c r="AS142" i="15"/>
  <c r="AR142" i="15"/>
  <c r="AQ142" i="15"/>
  <c r="AP142" i="15"/>
  <c r="AO142" i="15"/>
  <c r="U142" i="15"/>
  <c r="U266" i="15" s="1"/>
  <c r="T142" i="15"/>
  <c r="T266" i="15" s="1"/>
  <c r="AN142" i="15"/>
  <c r="J266" i="15"/>
  <c r="X266" i="15" s="1"/>
  <c r="AT266" i="15" s="1"/>
  <c r="C266" i="15"/>
  <c r="AT141" i="15"/>
  <c r="AS141" i="15"/>
  <c r="AR141" i="15"/>
  <c r="AQ141" i="15"/>
  <c r="AP141" i="15"/>
  <c r="AO141" i="15"/>
  <c r="U141" i="15"/>
  <c r="U265" i="15" s="1"/>
  <c r="T141" i="15"/>
  <c r="T265" i="15" s="1"/>
  <c r="J265" i="15"/>
  <c r="X265" i="15" s="1"/>
  <c r="AT265" i="15" s="1"/>
  <c r="C265" i="15"/>
  <c r="AT140" i="15"/>
  <c r="AS140" i="15"/>
  <c r="AR140" i="15"/>
  <c r="AQ140" i="15"/>
  <c r="AP140" i="15"/>
  <c r="AO140" i="15"/>
  <c r="U140" i="15"/>
  <c r="U264" i="15" s="1"/>
  <c r="T140" i="15"/>
  <c r="T264" i="15" s="1"/>
  <c r="AN140" i="15"/>
  <c r="C264" i="15"/>
  <c r="AT139" i="15"/>
  <c r="AS139" i="15"/>
  <c r="AR139" i="15"/>
  <c r="AQ139" i="15"/>
  <c r="AP139" i="15"/>
  <c r="AO139" i="15"/>
  <c r="U139" i="15"/>
  <c r="U263" i="15" s="1"/>
  <c r="T139" i="15"/>
  <c r="T263" i="15" s="1"/>
  <c r="J263" i="15"/>
  <c r="X263" i="15" s="1"/>
  <c r="AT263" i="15" s="1"/>
  <c r="C263" i="15"/>
  <c r="AT138" i="15"/>
  <c r="AS138" i="15"/>
  <c r="AR138" i="15"/>
  <c r="AQ138" i="15"/>
  <c r="AP138" i="15"/>
  <c r="AO138" i="15"/>
  <c r="U138" i="15"/>
  <c r="U262" i="15" s="1"/>
  <c r="T138" i="15"/>
  <c r="T262" i="15" s="1"/>
  <c r="J262" i="15"/>
  <c r="X262" i="15" s="1"/>
  <c r="AT262" i="15" s="1"/>
  <c r="C262" i="15"/>
  <c r="AT137" i="15"/>
  <c r="AS137" i="15"/>
  <c r="AR137" i="15"/>
  <c r="AQ137" i="15"/>
  <c r="AP137" i="15"/>
  <c r="AO137" i="15"/>
  <c r="U137" i="15"/>
  <c r="U261" i="15" s="1"/>
  <c r="T137" i="15"/>
  <c r="T261" i="15" s="1"/>
  <c r="J261" i="15"/>
  <c r="X261" i="15" s="1"/>
  <c r="AT261" i="15" s="1"/>
  <c r="C261" i="15"/>
  <c r="AT136" i="15"/>
  <c r="AS136" i="15"/>
  <c r="AR136" i="15"/>
  <c r="AQ136" i="15"/>
  <c r="AP136" i="15"/>
  <c r="AO136" i="15"/>
  <c r="U136" i="15"/>
  <c r="U260" i="15" s="1"/>
  <c r="T136" i="15"/>
  <c r="T260" i="15" s="1"/>
  <c r="J260" i="15"/>
  <c r="X260" i="15" s="1"/>
  <c r="AT260" i="15" s="1"/>
  <c r="C260" i="15"/>
  <c r="AT135" i="15"/>
  <c r="AS135" i="15"/>
  <c r="AR135" i="15"/>
  <c r="AQ135" i="15"/>
  <c r="AP135" i="15"/>
  <c r="AO135" i="15"/>
  <c r="U135" i="15"/>
  <c r="U259" i="15" s="1"/>
  <c r="T135" i="15"/>
  <c r="T259" i="15" s="1"/>
  <c r="J259" i="15"/>
  <c r="X259" i="15" s="1"/>
  <c r="AT259" i="15" s="1"/>
  <c r="C259" i="15"/>
  <c r="U134" i="15"/>
  <c r="U258" i="15" s="1"/>
  <c r="T134" i="15"/>
  <c r="T258" i="15" s="1"/>
  <c r="J258" i="15"/>
  <c r="X258" i="15" s="1"/>
  <c r="C258" i="15"/>
  <c r="U133" i="15"/>
  <c r="U257" i="15" s="1"/>
  <c r="T133" i="15"/>
  <c r="T257" i="15" s="1"/>
  <c r="J257" i="15"/>
  <c r="X257" i="15" s="1"/>
  <c r="C257" i="15"/>
  <c r="U132" i="15"/>
  <c r="T132" i="15"/>
  <c r="T256" i="15" s="1"/>
  <c r="C256" i="15"/>
  <c r="AT130" i="15"/>
  <c r="AS130" i="15"/>
  <c r="AR130" i="15"/>
  <c r="AQ130" i="15"/>
  <c r="AP130" i="15"/>
  <c r="AO130" i="15"/>
  <c r="U130" i="15"/>
  <c r="U254" i="15" s="1"/>
  <c r="T130" i="15"/>
  <c r="T254" i="15" s="1"/>
  <c r="J254" i="15"/>
  <c r="C254" i="15"/>
  <c r="AT129" i="15"/>
  <c r="AS129" i="15"/>
  <c r="AR129" i="15"/>
  <c r="AQ129" i="15"/>
  <c r="AP129" i="15"/>
  <c r="AO129" i="15"/>
  <c r="U129" i="15"/>
  <c r="U253" i="15" s="1"/>
  <c r="T129" i="15"/>
  <c r="T253" i="15" s="1"/>
  <c r="AN129" i="15"/>
  <c r="C253" i="15"/>
  <c r="AT128" i="15"/>
  <c r="AS128" i="15"/>
  <c r="AR128" i="15"/>
  <c r="AQ128" i="15"/>
  <c r="AP128" i="15"/>
  <c r="AO128" i="15"/>
  <c r="U128" i="15"/>
  <c r="U252" i="15" s="1"/>
  <c r="T128" i="15"/>
  <c r="T252" i="15" s="1"/>
  <c r="J252" i="15"/>
  <c r="C252" i="15"/>
  <c r="AT127" i="15"/>
  <c r="AS127" i="15"/>
  <c r="AR127" i="15"/>
  <c r="AQ127" i="15"/>
  <c r="AP127" i="15"/>
  <c r="AO127" i="15"/>
  <c r="U127" i="15"/>
  <c r="U251" i="15" s="1"/>
  <c r="T127" i="15"/>
  <c r="T251" i="15" s="1"/>
  <c r="J251" i="15"/>
  <c r="C251" i="15"/>
  <c r="AT126" i="15"/>
  <c r="AS126" i="15"/>
  <c r="AR126" i="15"/>
  <c r="AQ126" i="15"/>
  <c r="AP126" i="15"/>
  <c r="AO126" i="15"/>
  <c r="U126" i="15"/>
  <c r="U250" i="15" s="1"/>
  <c r="T126" i="15"/>
  <c r="T250" i="15" s="1"/>
  <c r="J250" i="15"/>
  <c r="C250" i="15"/>
  <c r="AT125" i="15"/>
  <c r="AS125" i="15"/>
  <c r="AR125" i="15"/>
  <c r="AQ125" i="15"/>
  <c r="AP125" i="15"/>
  <c r="AO125" i="15"/>
  <c r="U125" i="15"/>
  <c r="U249" i="15" s="1"/>
  <c r="T125" i="15"/>
  <c r="T249" i="15" s="1"/>
  <c r="J249" i="15"/>
  <c r="C249" i="15"/>
  <c r="AT124" i="15"/>
  <c r="AS124" i="15"/>
  <c r="AR124" i="15"/>
  <c r="AQ124" i="15"/>
  <c r="AP124" i="15"/>
  <c r="AO124" i="15"/>
  <c r="U124" i="15"/>
  <c r="U248" i="15" s="1"/>
  <c r="T124" i="15"/>
  <c r="T248" i="15" s="1"/>
  <c r="J248" i="15"/>
  <c r="C248" i="15"/>
  <c r="AT123" i="15"/>
  <c r="AS123" i="15"/>
  <c r="AR123" i="15"/>
  <c r="AQ123" i="15"/>
  <c r="AP123" i="15"/>
  <c r="AO123" i="15"/>
  <c r="U123" i="15"/>
  <c r="U247" i="15" s="1"/>
  <c r="T123" i="15"/>
  <c r="T247" i="15" s="1"/>
  <c r="AN123" i="15"/>
  <c r="J247" i="15"/>
  <c r="C247" i="15"/>
  <c r="AT122" i="15"/>
  <c r="AS122" i="15"/>
  <c r="AR122" i="15"/>
  <c r="AQ122" i="15"/>
  <c r="AP122" i="15"/>
  <c r="AO122" i="15"/>
  <c r="U122" i="15"/>
  <c r="U246" i="15" s="1"/>
  <c r="T122" i="15"/>
  <c r="T246" i="15" s="1"/>
  <c r="J246" i="15"/>
  <c r="C246" i="15"/>
  <c r="AT121" i="15"/>
  <c r="AS121" i="15"/>
  <c r="AR121" i="15"/>
  <c r="AQ121" i="15"/>
  <c r="AP121" i="15"/>
  <c r="AO121" i="15"/>
  <c r="U121" i="15"/>
  <c r="U245" i="15" s="1"/>
  <c r="T121" i="15"/>
  <c r="T245" i="15" s="1"/>
  <c r="C245" i="15"/>
  <c r="AT120" i="15"/>
  <c r="AS120" i="15"/>
  <c r="AR120" i="15"/>
  <c r="AQ120" i="15"/>
  <c r="AP120" i="15"/>
  <c r="AO120" i="15"/>
  <c r="U120" i="15"/>
  <c r="U244" i="15" s="1"/>
  <c r="T120" i="15"/>
  <c r="T244" i="15" s="1"/>
  <c r="J244" i="15"/>
  <c r="C244" i="15"/>
  <c r="AT119" i="15"/>
  <c r="AS119" i="15"/>
  <c r="AR119" i="15"/>
  <c r="AQ119" i="15"/>
  <c r="AP119" i="15"/>
  <c r="AO119" i="15"/>
  <c r="U119" i="15"/>
  <c r="U243" i="15" s="1"/>
  <c r="T119" i="15"/>
  <c r="T243" i="15" s="1"/>
  <c r="AN119" i="15"/>
  <c r="J243" i="15"/>
  <c r="C243" i="15"/>
  <c r="AT118" i="15"/>
  <c r="AS118" i="15"/>
  <c r="AR118" i="15"/>
  <c r="AQ118" i="15"/>
  <c r="AP118" i="15"/>
  <c r="AO118" i="15"/>
  <c r="U118" i="15"/>
  <c r="U242" i="15" s="1"/>
  <c r="T118" i="15"/>
  <c r="T242" i="15" s="1"/>
  <c r="J242" i="15"/>
  <c r="C242" i="15"/>
  <c r="AT117" i="15"/>
  <c r="AS117" i="15"/>
  <c r="AR117" i="15"/>
  <c r="AQ117" i="15"/>
  <c r="AP117" i="15"/>
  <c r="AO117" i="15"/>
  <c r="U117" i="15"/>
  <c r="U241" i="15" s="1"/>
  <c r="T117" i="15"/>
  <c r="T241" i="15" s="1"/>
  <c r="AN117" i="15"/>
  <c r="J241" i="15"/>
  <c r="C241" i="15"/>
  <c r="AT116" i="15"/>
  <c r="AS116" i="15"/>
  <c r="AR116" i="15"/>
  <c r="AQ116" i="15"/>
  <c r="AP116" i="15"/>
  <c r="AO116" i="15"/>
  <c r="U116" i="15"/>
  <c r="U240" i="15" s="1"/>
  <c r="T116" i="15"/>
  <c r="T240" i="15" s="1"/>
  <c r="J240" i="15"/>
  <c r="C240" i="15"/>
  <c r="AT115" i="15"/>
  <c r="AS115" i="15"/>
  <c r="AR115" i="15"/>
  <c r="AQ115" i="15"/>
  <c r="AP115" i="15"/>
  <c r="AO115" i="15"/>
  <c r="U115" i="15"/>
  <c r="U239" i="15" s="1"/>
  <c r="T115" i="15"/>
  <c r="T239" i="15" s="1"/>
  <c r="AN115" i="15"/>
  <c r="J239" i="15"/>
  <c r="C239" i="15"/>
  <c r="AT114" i="15"/>
  <c r="AS114" i="15"/>
  <c r="AR114" i="15"/>
  <c r="AQ114" i="15"/>
  <c r="AP114" i="15"/>
  <c r="AO114" i="15"/>
  <c r="U114" i="15"/>
  <c r="U238" i="15" s="1"/>
  <c r="T114" i="15"/>
  <c r="T238" i="15" s="1"/>
  <c r="J238" i="15"/>
  <c r="C238" i="15"/>
  <c r="AT113" i="15"/>
  <c r="AS113" i="15"/>
  <c r="AR113" i="15"/>
  <c r="AQ113" i="15"/>
  <c r="AP113" i="15"/>
  <c r="AO113" i="15"/>
  <c r="U113" i="15"/>
  <c r="U237" i="15" s="1"/>
  <c r="T113" i="15"/>
  <c r="T237" i="15" s="1"/>
  <c r="C237" i="15"/>
  <c r="AT112" i="15"/>
  <c r="AS112" i="15"/>
  <c r="AR112" i="15"/>
  <c r="AQ112" i="15"/>
  <c r="AP112" i="15"/>
  <c r="AO112" i="15"/>
  <c r="U112" i="15"/>
  <c r="U236" i="15" s="1"/>
  <c r="T112" i="15"/>
  <c r="T236" i="15" s="1"/>
  <c r="J236" i="15"/>
  <c r="C236" i="15"/>
  <c r="AT111" i="15"/>
  <c r="AS111" i="15"/>
  <c r="AR111" i="15"/>
  <c r="AQ111" i="15"/>
  <c r="AP111" i="15"/>
  <c r="AO111" i="15"/>
  <c r="U111" i="15"/>
  <c r="U235" i="15" s="1"/>
  <c r="T111" i="15"/>
  <c r="T235" i="15" s="1"/>
  <c r="AN111" i="15"/>
  <c r="J235" i="15"/>
  <c r="C235" i="15"/>
  <c r="AT110" i="15"/>
  <c r="AS110" i="15"/>
  <c r="AR110" i="15"/>
  <c r="AQ110" i="15"/>
  <c r="AP110" i="15"/>
  <c r="AO110" i="15"/>
  <c r="U110" i="15"/>
  <c r="U234" i="15" s="1"/>
  <c r="T110" i="15"/>
  <c r="T234" i="15" s="1"/>
  <c r="J234" i="15"/>
  <c r="C234" i="15"/>
  <c r="AT109" i="15"/>
  <c r="AS109" i="15"/>
  <c r="AR109" i="15"/>
  <c r="AQ109" i="15"/>
  <c r="AP109" i="15"/>
  <c r="AO109" i="15"/>
  <c r="U109" i="15"/>
  <c r="U233" i="15" s="1"/>
  <c r="T109" i="15"/>
  <c r="T233" i="15" s="1"/>
  <c r="AN109" i="15"/>
  <c r="J233" i="15"/>
  <c r="C233" i="15"/>
  <c r="AT108" i="15"/>
  <c r="AS108" i="15"/>
  <c r="AR108" i="15"/>
  <c r="AQ108" i="15"/>
  <c r="AP108" i="15"/>
  <c r="AO108" i="15"/>
  <c r="U108" i="15"/>
  <c r="U232" i="15" s="1"/>
  <c r="T108" i="15"/>
  <c r="T232" i="15" s="1"/>
  <c r="J232" i="15"/>
  <c r="C232" i="15"/>
  <c r="AT107" i="15"/>
  <c r="AS107" i="15"/>
  <c r="AR107" i="15"/>
  <c r="AQ107" i="15"/>
  <c r="AP107" i="15"/>
  <c r="AO107" i="15"/>
  <c r="U107" i="15"/>
  <c r="U231" i="15" s="1"/>
  <c r="T107" i="15"/>
  <c r="T231" i="15" s="1"/>
  <c r="AN107" i="15"/>
  <c r="J231" i="15"/>
  <c r="C231" i="15"/>
  <c r="AT106" i="15"/>
  <c r="AS106" i="15"/>
  <c r="AR106" i="15"/>
  <c r="AQ106" i="15"/>
  <c r="AP106" i="15"/>
  <c r="AO106" i="15"/>
  <c r="U106" i="15"/>
  <c r="U230" i="15" s="1"/>
  <c r="T106" i="15"/>
  <c r="T230" i="15" s="1"/>
  <c r="J230" i="15"/>
  <c r="C230" i="15"/>
  <c r="AT105" i="15"/>
  <c r="AS105" i="15"/>
  <c r="AR105" i="15"/>
  <c r="AQ105" i="15"/>
  <c r="AP105" i="15"/>
  <c r="AO105" i="15"/>
  <c r="U105" i="15"/>
  <c r="U229" i="15" s="1"/>
  <c r="T105" i="15"/>
  <c r="T229" i="15" s="1"/>
  <c r="C229" i="15"/>
  <c r="AT104" i="15"/>
  <c r="AS104" i="15"/>
  <c r="AR104" i="15"/>
  <c r="AQ104" i="15"/>
  <c r="AP104" i="15"/>
  <c r="AO104" i="15"/>
  <c r="U104" i="15"/>
  <c r="U228" i="15" s="1"/>
  <c r="T104" i="15"/>
  <c r="T228" i="15" s="1"/>
  <c r="J228" i="15"/>
  <c r="C228" i="15"/>
  <c r="AT103" i="15"/>
  <c r="AS103" i="15"/>
  <c r="AR103" i="15"/>
  <c r="AQ103" i="15"/>
  <c r="AP103" i="15"/>
  <c r="AO103" i="15"/>
  <c r="U103" i="15"/>
  <c r="U227" i="15" s="1"/>
  <c r="T103" i="15"/>
  <c r="T227" i="15" s="1"/>
  <c r="AN103" i="15"/>
  <c r="J227" i="15"/>
  <c r="C227" i="15"/>
  <c r="U102" i="15"/>
  <c r="U226" i="15" s="1"/>
  <c r="T102" i="15"/>
  <c r="T226" i="15" s="1"/>
  <c r="J226" i="15"/>
  <c r="C226" i="15"/>
  <c r="C225" i="15"/>
  <c r="AV99" i="15"/>
  <c r="AN99" i="15"/>
  <c r="AF99" i="15"/>
  <c r="T99" i="15"/>
  <c r="T222" i="15" s="1"/>
  <c r="AV98" i="15"/>
  <c r="AN98" i="15"/>
  <c r="AF98" i="15"/>
  <c r="X98" i="15"/>
  <c r="AT32" i="15"/>
  <c r="AS32" i="15"/>
  <c r="AR32" i="15"/>
  <c r="AQ32" i="15"/>
  <c r="AP32" i="15"/>
  <c r="AO32" i="15"/>
  <c r="AN32" i="15"/>
  <c r="AT31" i="15"/>
  <c r="AS31" i="15"/>
  <c r="AR31" i="15"/>
  <c r="AQ31" i="15"/>
  <c r="AP31" i="15"/>
  <c r="AO31" i="15"/>
  <c r="AN31" i="15"/>
  <c r="AT30" i="15"/>
  <c r="AS30" i="15"/>
  <c r="AR30" i="15"/>
  <c r="AQ30" i="15"/>
  <c r="AP30" i="15"/>
  <c r="AO30" i="15"/>
  <c r="AN30" i="15"/>
  <c r="AT29" i="15"/>
  <c r="AS29" i="15"/>
  <c r="AR29" i="15"/>
  <c r="AQ29" i="15"/>
  <c r="AP29" i="15"/>
  <c r="AO29" i="15"/>
  <c r="AN29" i="15"/>
  <c r="X28" i="15"/>
  <c r="X26" i="15"/>
  <c r="AN26" i="15" s="1"/>
  <c r="B11" i="18" l="1"/>
  <c r="AN28" i="15"/>
  <c r="AN259" i="15"/>
  <c r="AN260" i="15"/>
  <c r="AN261" i="15"/>
  <c r="AN262" i="15"/>
  <c r="AN263" i="15"/>
  <c r="AN265" i="15"/>
  <c r="AN266" i="15"/>
  <c r="AO259" i="15"/>
  <c r="AO260" i="15"/>
  <c r="AO261" i="15"/>
  <c r="AO262" i="15"/>
  <c r="AO263" i="15"/>
  <c r="AO265" i="15"/>
  <c r="AO266" i="15"/>
  <c r="AP259" i="15"/>
  <c r="AP260" i="15"/>
  <c r="AP261" i="15"/>
  <c r="AP262" i="15"/>
  <c r="AP263" i="15"/>
  <c r="AP265" i="15"/>
  <c r="AP266" i="15"/>
  <c r="AQ259" i="15"/>
  <c r="AQ260" i="15"/>
  <c r="AQ261" i="15"/>
  <c r="AQ262" i="15"/>
  <c r="AQ263" i="15"/>
  <c r="AQ265" i="15"/>
  <c r="AQ266" i="15"/>
  <c r="AR259" i="15"/>
  <c r="AR260" i="15"/>
  <c r="AR261" i="15"/>
  <c r="AR262" i="15"/>
  <c r="AR263" i="15"/>
  <c r="AR265" i="15"/>
  <c r="AR266" i="15"/>
  <c r="AS259" i="15"/>
  <c r="AS260" i="15"/>
  <c r="AS261" i="15"/>
  <c r="AS262" i="15"/>
  <c r="AS263" i="15"/>
  <c r="AS265" i="15"/>
  <c r="AS266" i="15"/>
  <c r="BB243" i="15"/>
  <c r="AZ243" i="15"/>
  <c r="AY243" i="15"/>
  <c r="AX243" i="15"/>
  <c r="AW243" i="15"/>
  <c r="AV243" i="15"/>
  <c r="BA243" i="15"/>
  <c r="AF243" i="15"/>
  <c r="AZ265" i="15"/>
  <c r="AY265" i="15"/>
  <c r="AW265" i="15"/>
  <c r="AV265" i="15"/>
  <c r="BB265" i="15"/>
  <c r="BA265" i="15"/>
  <c r="AX265" i="15"/>
  <c r="AF265" i="15"/>
  <c r="AW270" i="15"/>
  <c r="AV270" i="15"/>
  <c r="BB270" i="15"/>
  <c r="BA270" i="15"/>
  <c r="AZ270" i="15"/>
  <c r="AY270" i="15"/>
  <c r="AX270" i="15"/>
  <c r="AF270" i="15"/>
  <c r="BB275" i="15"/>
  <c r="BA275" i="15"/>
  <c r="AY275" i="15"/>
  <c r="AX275" i="15"/>
  <c r="AW275" i="15"/>
  <c r="AV275" i="15"/>
  <c r="AZ275" i="15"/>
  <c r="AF275" i="15"/>
  <c r="AV307" i="15"/>
  <c r="BA307" i="15"/>
  <c r="AZ307" i="15"/>
  <c r="AY307" i="15"/>
  <c r="AX307" i="15"/>
  <c r="AW307" i="15"/>
  <c r="BB307" i="15"/>
  <c r="AF307" i="15"/>
  <c r="AY318" i="15"/>
  <c r="AX318" i="15"/>
  <c r="AV318" i="15"/>
  <c r="BB318" i="15"/>
  <c r="BA318" i="15"/>
  <c r="AZ318" i="15"/>
  <c r="AW318" i="15"/>
  <c r="AF318" i="15"/>
  <c r="AV323" i="15"/>
  <c r="BA323" i="15"/>
  <c r="AZ323" i="15"/>
  <c r="AY323" i="15"/>
  <c r="AX323" i="15"/>
  <c r="AW323" i="15"/>
  <c r="BB323" i="15"/>
  <c r="AF323" i="15"/>
  <c r="BA328" i="15"/>
  <c r="AZ328" i="15"/>
  <c r="AX328" i="15"/>
  <c r="AW328" i="15"/>
  <c r="AV328" i="15"/>
  <c r="BB328" i="15"/>
  <c r="AY328" i="15"/>
  <c r="AF328" i="15"/>
  <c r="BB337" i="15"/>
  <c r="BA337" i="15"/>
  <c r="AY337" i="15"/>
  <c r="AX337" i="15"/>
  <c r="AW337" i="15"/>
  <c r="AV337" i="15"/>
  <c r="AZ337" i="15"/>
  <c r="AF337" i="15"/>
  <c r="AX341" i="15"/>
  <c r="AW341" i="15"/>
  <c r="BB341" i="15"/>
  <c r="BA341" i="15"/>
  <c r="AZ341" i="15"/>
  <c r="AY341" i="15"/>
  <c r="AV341" i="15"/>
  <c r="AF341" i="15"/>
  <c r="BA233" i="15"/>
  <c r="AZ233" i="15"/>
  <c r="AX233" i="15"/>
  <c r="AW233" i="15"/>
  <c r="BB233" i="15"/>
  <c r="AV233" i="15"/>
  <c r="AF233" i="15"/>
  <c r="AY233" i="15"/>
  <c r="AV236" i="15"/>
  <c r="BA236" i="15"/>
  <c r="AZ236" i="15"/>
  <c r="AX236" i="15"/>
  <c r="AW236" i="15"/>
  <c r="BB236" i="15"/>
  <c r="AY236" i="15"/>
  <c r="AF236" i="15"/>
  <c r="AZ240" i="15"/>
  <c r="AY240" i="15"/>
  <c r="AW240" i="15"/>
  <c r="AV240" i="15"/>
  <c r="BB240" i="15"/>
  <c r="BA240" i="15"/>
  <c r="AX240" i="15"/>
  <c r="AF240" i="15"/>
  <c r="AX333" i="15"/>
  <c r="AW333" i="15"/>
  <c r="BB333" i="15"/>
  <c r="BA333" i="15"/>
  <c r="AZ333" i="15"/>
  <c r="AY333" i="15"/>
  <c r="AF333" i="15"/>
  <c r="AV333" i="15"/>
  <c r="AW262" i="15"/>
  <c r="AV262" i="15"/>
  <c r="BB262" i="15"/>
  <c r="BA262" i="15"/>
  <c r="AZ262" i="15"/>
  <c r="AY262" i="15"/>
  <c r="AX262" i="15"/>
  <c r="AF262" i="15"/>
  <c r="BA266" i="15"/>
  <c r="AZ266" i="15"/>
  <c r="AX266" i="15"/>
  <c r="AW266" i="15"/>
  <c r="AV266" i="15"/>
  <c r="BB266" i="15"/>
  <c r="AY266" i="15"/>
  <c r="AF266" i="15"/>
  <c r="BB276" i="15"/>
  <c r="AZ276" i="15"/>
  <c r="AY276" i="15"/>
  <c r="AX276" i="15"/>
  <c r="AW276" i="15"/>
  <c r="AV276" i="15"/>
  <c r="BA276" i="15"/>
  <c r="AF276" i="15"/>
  <c r="BB338" i="15"/>
  <c r="AZ338" i="15"/>
  <c r="AY338" i="15"/>
  <c r="AX338" i="15"/>
  <c r="AW338" i="15"/>
  <c r="AV338" i="15"/>
  <c r="BA338" i="15"/>
  <c r="AF338" i="15"/>
  <c r="AY342" i="15"/>
  <c r="AX342" i="15"/>
  <c r="AV342" i="15"/>
  <c r="BB342" i="15"/>
  <c r="BA342" i="15"/>
  <c r="AZ342" i="15"/>
  <c r="AF342" i="15"/>
  <c r="AW342" i="15"/>
  <c r="BA241" i="15"/>
  <c r="AZ241" i="15"/>
  <c r="AX241" i="15"/>
  <c r="AW241" i="15"/>
  <c r="AV241" i="15"/>
  <c r="BB241" i="15"/>
  <c r="AY241" i="15"/>
  <c r="AF241" i="15"/>
  <c r="AV244" i="15"/>
  <c r="BA244" i="15"/>
  <c r="AZ244" i="15"/>
  <c r="AY244" i="15"/>
  <c r="AX244" i="15"/>
  <c r="AW244" i="15"/>
  <c r="BB244" i="15"/>
  <c r="AF244" i="15"/>
  <c r="BA304" i="15"/>
  <c r="AZ304" i="15"/>
  <c r="AX304" i="15"/>
  <c r="AW304" i="15"/>
  <c r="AV304" i="15"/>
  <c r="BB304" i="15"/>
  <c r="AY304" i="15"/>
  <c r="AF304" i="15"/>
  <c r="AZ319" i="15"/>
  <c r="AY319" i="15"/>
  <c r="AW319" i="15"/>
  <c r="AV319" i="15"/>
  <c r="BB319" i="15"/>
  <c r="BA319" i="15"/>
  <c r="AX319" i="15"/>
  <c r="AF319" i="15"/>
  <c r="AX325" i="15"/>
  <c r="AW325" i="15"/>
  <c r="BB325" i="15"/>
  <c r="BA325" i="15"/>
  <c r="AZ325" i="15"/>
  <c r="AY325" i="15"/>
  <c r="AV325" i="15"/>
  <c r="AF325" i="15"/>
  <c r="BB330" i="15"/>
  <c r="AZ330" i="15"/>
  <c r="AY330" i="15"/>
  <c r="AX330" i="15"/>
  <c r="AW330" i="15"/>
  <c r="AV330" i="15"/>
  <c r="AF330" i="15"/>
  <c r="BA330" i="15"/>
  <c r="AY334" i="15"/>
  <c r="AX334" i="15"/>
  <c r="AV334" i="15"/>
  <c r="BB334" i="15"/>
  <c r="BA334" i="15"/>
  <c r="AZ334" i="15"/>
  <c r="AW334" i="15"/>
  <c r="AF334" i="15"/>
  <c r="AZ232" i="15"/>
  <c r="AY232" i="15"/>
  <c r="AW232" i="15"/>
  <c r="AV232" i="15"/>
  <c r="BB232" i="15"/>
  <c r="BA232" i="15"/>
  <c r="AF232" i="15"/>
  <c r="AX232" i="15"/>
  <c r="AY231" i="15"/>
  <c r="AX231" i="15"/>
  <c r="AV231" i="15"/>
  <c r="BA231" i="15"/>
  <c r="AZ231" i="15"/>
  <c r="AW231" i="15"/>
  <c r="AF231" i="15"/>
  <c r="BB231" i="15"/>
  <c r="BB234" i="15"/>
  <c r="BA234" i="15"/>
  <c r="AY234" i="15"/>
  <c r="AX234" i="15"/>
  <c r="AV234" i="15"/>
  <c r="AZ234" i="15"/>
  <c r="AW234" i="15"/>
  <c r="AF234" i="15"/>
  <c r="AX238" i="15"/>
  <c r="AW238" i="15"/>
  <c r="BB238" i="15"/>
  <c r="AZ238" i="15"/>
  <c r="AY238" i="15"/>
  <c r="BA238" i="15"/>
  <c r="AV238" i="15"/>
  <c r="AF238" i="15"/>
  <c r="AX263" i="15"/>
  <c r="AW263" i="15"/>
  <c r="BB263" i="15"/>
  <c r="BA263" i="15"/>
  <c r="AZ263" i="15"/>
  <c r="AY263" i="15"/>
  <c r="AV263" i="15"/>
  <c r="AF263" i="15"/>
  <c r="AZ273" i="15"/>
  <c r="AY273" i="15"/>
  <c r="AW273" i="15"/>
  <c r="AV273" i="15"/>
  <c r="BB273" i="15"/>
  <c r="BA273" i="15"/>
  <c r="AX273" i="15"/>
  <c r="AF273" i="15"/>
  <c r="AZ294" i="15"/>
  <c r="AY294" i="15"/>
  <c r="AW294" i="15"/>
  <c r="AV294" i="15"/>
  <c r="BB294" i="15"/>
  <c r="BA294" i="15"/>
  <c r="AX294" i="15"/>
  <c r="AF294" i="15"/>
  <c r="AV277" i="15"/>
  <c r="BA277" i="15"/>
  <c r="AZ277" i="15"/>
  <c r="AY277" i="15"/>
  <c r="AX277" i="15"/>
  <c r="AW277" i="15"/>
  <c r="BB277" i="15"/>
  <c r="AF277" i="15"/>
  <c r="BB289" i="15"/>
  <c r="AZ289" i="15"/>
  <c r="AY289" i="15"/>
  <c r="AX289" i="15"/>
  <c r="AW289" i="15"/>
  <c r="AV289" i="15"/>
  <c r="BA289" i="15"/>
  <c r="AF289" i="15"/>
  <c r="BB305" i="15"/>
  <c r="BA305" i="15"/>
  <c r="AY305" i="15"/>
  <c r="AX305" i="15"/>
  <c r="AW305" i="15"/>
  <c r="AV305" i="15"/>
  <c r="AZ305" i="15"/>
  <c r="AF305" i="15"/>
  <c r="AZ311" i="15"/>
  <c r="AY311" i="15"/>
  <c r="AW311" i="15"/>
  <c r="AV311" i="15"/>
  <c r="BB311" i="15"/>
  <c r="BA311" i="15"/>
  <c r="AX311" i="15"/>
  <c r="AF311" i="15"/>
  <c r="BA320" i="15"/>
  <c r="AZ320" i="15"/>
  <c r="AX320" i="15"/>
  <c r="AW320" i="15"/>
  <c r="AV320" i="15"/>
  <c r="BB320" i="15"/>
  <c r="AY320" i="15"/>
  <c r="AF320" i="15"/>
  <c r="AY326" i="15"/>
  <c r="AX326" i="15"/>
  <c r="AV326" i="15"/>
  <c r="BB326" i="15"/>
  <c r="BA326" i="15"/>
  <c r="AZ326" i="15"/>
  <c r="AW326" i="15"/>
  <c r="AF326" i="15"/>
  <c r="AV339" i="15"/>
  <c r="BA339" i="15"/>
  <c r="AZ339" i="15"/>
  <c r="AY339" i="15"/>
  <c r="AX339" i="15"/>
  <c r="AW339" i="15"/>
  <c r="BB339" i="15"/>
  <c r="AF339" i="15"/>
  <c r="BA312" i="15"/>
  <c r="AZ312" i="15"/>
  <c r="AX312" i="15"/>
  <c r="AW312" i="15"/>
  <c r="AV312" i="15"/>
  <c r="BB312" i="15"/>
  <c r="AY312" i="15"/>
  <c r="AF312" i="15"/>
  <c r="BB235" i="15"/>
  <c r="AZ235" i="15"/>
  <c r="AY235" i="15"/>
  <c r="AW235" i="15"/>
  <c r="AV235" i="15"/>
  <c r="BA235" i="15"/>
  <c r="AX235" i="15"/>
  <c r="AF235" i="15"/>
  <c r="AY239" i="15"/>
  <c r="AX239" i="15"/>
  <c r="AV239" i="15"/>
  <c r="BB239" i="15"/>
  <c r="BA239" i="15"/>
  <c r="AZ239" i="15"/>
  <c r="AW239" i="15"/>
  <c r="AF239" i="15"/>
  <c r="BB242" i="15"/>
  <c r="BA242" i="15"/>
  <c r="AY242" i="15"/>
  <c r="AX242" i="15"/>
  <c r="AW242" i="15"/>
  <c r="AV242" i="15"/>
  <c r="AZ242" i="15"/>
  <c r="AF242" i="15"/>
  <c r="AX317" i="15"/>
  <c r="AW317" i="15"/>
  <c r="BB317" i="15"/>
  <c r="BA317" i="15"/>
  <c r="AZ317" i="15"/>
  <c r="AY317" i="15"/>
  <c r="AV317" i="15"/>
  <c r="AF317" i="15"/>
  <c r="AV331" i="15"/>
  <c r="BA331" i="15"/>
  <c r="AZ331" i="15"/>
  <c r="AY331" i="15"/>
  <c r="AX331" i="15"/>
  <c r="AW331" i="15"/>
  <c r="BB331" i="15"/>
  <c r="AF331" i="15"/>
  <c r="BB250" i="15"/>
  <c r="AF250" i="15"/>
  <c r="BA250" i="15"/>
  <c r="AZ250" i="15"/>
  <c r="AY250" i="15"/>
  <c r="AX250" i="15"/>
  <c r="AW250" i="15"/>
  <c r="AV250" i="15"/>
  <c r="AY254" i="15"/>
  <c r="AX254" i="15"/>
  <c r="AW254" i="15"/>
  <c r="AV254" i="15"/>
  <c r="BB254" i="15"/>
  <c r="AF254" i="15"/>
  <c r="BA254" i="15"/>
  <c r="AZ254" i="15"/>
  <c r="AZ247" i="15"/>
  <c r="AY247" i="15"/>
  <c r="AX247" i="15"/>
  <c r="AW247" i="15"/>
  <c r="AV247" i="15"/>
  <c r="BB247" i="15"/>
  <c r="AF247" i="15"/>
  <c r="BA247" i="15"/>
  <c r="AV251" i="15"/>
  <c r="BB251" i="15"/>
  <c r="AF251" i="15"/>
  <c r="BA251" i="15"/>
  <c r="AZ251" i="15"/>
  <c r="AY251" i="15"/>
  <c r="AX251" i="15"/>
  <c r="AW251" i="15"/>
  <c r="BA248" i="15"/>
  <c r="AZ248" i="15"/>
  <c r="AY248" i="15"/>
  <c r="AX248" i="15"/>
  <c r="AW248" i="15"/>
  <c r="AV248" i="15"/>
  <c r="BB248" i="15"/>
  <c r="AF248" i="15"/>
  <c r="AW252" i="15"/>
  <c r="AV252" i="15"/>
  <c r="BB252" i="15"/>
  <c r="AF252" i="15"/>
  <c r="BA252" i="15"/>
  <c r="AZ252" i="15"/>
  <c r="AY252" i="15"/>
  <c r="AX252" i="15"/>
  <c r="BB281" i="15"/>
  <c r="BA281" i="15"/>
  <c r="AZ281" i="15"/>
  <c r="AY281" i="15"/>
  <c r="AX281" i="15"/>
  <c r="AF281" i="15"/>
  <c r="AW281" i="15"/>
  <c r="AV281" i="15"/>
  <c r="BB249" i="15"/>
  <c r="AF249" i="15"/>
  <c r="BA249" i="15"/>
  <c r="AZ249" i="15"/>
  <c r="AY249" i="15"/>
  <c r="AX249" i="15"/>
  <c r="AW249" i="15"/>
  <c r="AV249" i="15"/>
  <c r="AT246" i="15"/>
  <c r="AY246" i="15"/>
  <c r="AX246" i="15"/>
  <c r="AW246" i="15"/>
  <c r="AV246" i="15"/>
  <c r="BB246" i="15"/>
  <c r="AF246" i="15"/>
  <c r="BA246" i="15"/>
  <c r="AZ246" i="15"/>
  <c r="AT283" i="15"/>
  <c r="AW283" i="15"/>
  <c r="AV283" i="15"/>
  <c r="BB283" i="15"/>
  <c r="BA283" i="15"/>
  <c r="AZ283" i="15"/>
  <c r="AY283" i="15"/>
  <c r="AX283" i="15"/>
  <c r="AF283" i="15"/>
  <c r="AV258" i="15"/>
  <c r="BB258" i="15"/>
  <c r="BA258" i="15"/>
  <c r="AF258" i="15"/>
  <c r="AZ258" i="15"/>
  <c r="AY258" i="15"/>
  <c r="AX258" i="15"/>
  <c r="AW258" i="15"/>
  <c r="AY261" i="15"/>
  <c r="AX261" i="15"/>
  <c r="AW261" i="15"/>
  <c r="AV261" i="15"/>
  <c r="BB261" i="15"/>
  <c r="BA261" i="15"/>
  <c r="AF261" i="15"/>
  <c r="AZ261" i="15"/>
  <c r="BB257" i="15"/>
  <c r="BA257" i="15"/>
  <c r="AF257" i="15"/>
  <c r="AZ257" i="15"/>
  <c r="AY257" i="15"/>
  <c r="AX257" i="15"/>
  <c r="AW257" i="15"/>
  <c r="AV257" i="15"/>
  <c r="AW259" i="15"/>
  <c r="AV259" i="15"/>
  <c r="BB259" i="15"/>
  <c r="BA259" i="15"/>
  <c r="AF259" i="15"/>
  <c r="AZ259" i="15"/>
  <c r="AY259" i="15"/>
  <c r="AX259" i="15"/>
  <c r="AX260" i="15"/>
  <c r="AW260" i="15"/>
  <c r="AV260" i="15"/>
  <c r="BB260" i="15"/>
  <c r="BA260" i="15"/>
  <c r="AF260" i="15"/>
  <c r="AZ260" i="15"/>
  <c r="AY260" i="15"/>
  <c r="AY228" i="15"/>
  <c r="AX228" i="15"/>
  <c r="AW228" i="15"/>
  <c r="AV228" i="15"/>
  <c r="AF228" i="15"/>
  <c r="BB228" i="15"/>
  <c r="BA228" i="15"/>
  <c r="AZ228" i="15"/>
  <c r="AW226" i="15"/>
  <c r="AV226" i="15"/>
  <c r="AF226" i="15"/>
  <c r="BB226" i="15"/>
  <c r="BA226" i="15"/>
  <c r="AZ226" i="15"/>
  <c r="AY226" i="15"/>
  <c r="AX226" i="15"/>
  <c r="BA230" i="15"/>
  <c r="AZ230" i="15"/>
  <c r="AY230" i="15"/>
  <c r="AX230" i="15"/>
  <c r="AW230" i="15"/>
  <c r="AV230" i="15"/>
  <c r="AF230" i="15"/>
  <c r="BB230" i="15"/>
  <c r="AX227" i="15"/>
  <c r="AW227" i="15"/>
  <c r="AV227" i="15"/>
  <c r="AF227" i="15"/>
  <c r="BB227" i="15"/>
  <c r="BA227" i="15"/>
  <c r="AZ227" i="15"/>
  <c r="AY227" i="15"/>
  <c r="W389" i="33"/>
  <c r="AN246" i="15"/>
  <c r="AO246" i="15"/>
  <c r="AN283" i="15"/>
  <c r="AP246" i="15"/>
  <c r="AO283" i="15"/>
  <c r="AQ246" i="15"/>
  <c r="AP283" i="15"/>
  <c r="AR246" i="15"/>
  <c r="AQ283" i="15"/>
  <c r="AS246" i="15"/>
  <c r="AR283" i="15"/>
  <c r="AS283" i="15"/>
  <c r="I50" i="32"/>
  <c r="I467" i="33" s="1"/>
  <c r="I49" i="32"/>
  <c r="I466" i="33" s="1"/>
  <c r="K22" i="18"/>
  <c r="AO356" i="15"/>
  <c r="AP352" i="15"/>
  <c r="AQ435" i="15"/>
  <c r="AN204" i="15"/>
  <c r="AP356" i="15"/>
  <c r="AN380" i="15"/>
  <c r="AN159" i="15"/>
  <c r="AN205" i="15"/>
  <c r="AV380" i="15"/>
  <c r="AN406" i="15"/>
  <c r="AO351" i="15"/>
  <c r="AN154" i="15"/>
  <c r="AP350" i="15"/>
  <c r="AN172" i="15"/>
  <c r="AN136" i="15"/>
  <c r="AN138" i="15"/>
  <c r="AN162" i="15"/>
  <c r="AN174" i="15"/>
  <c r="AN164" i="15"/>
  <c r="AO28" i="15"/>
  <c r="AN160" i="15"/>
  <c r="AN166" i="15"/>
  <c r="AN168" i="15"/>
  <c r="AN183" i="15"/>
  <c r="AP351" i="15"/>
  <c r="AO357" i="15"/>
  <c r="AN144" i="15"/>
  <c r="AN125" i="15"/>
  <c r="AQ354" i="15"/>
  <c r="AN185" i="15"/>
  <c r="AF406" i="15"/>
  <c r="AN141" i="15"/>
  <c r="AN146" i="15"/>
  <c r="AN148" i="15"/>
  <c r="AN213" i="15"/>
  <c r="AO352" i="15"/>
  <c r="AN187" i="15"/>
  <c r="J267" i="15"/>
  <c r="X267" i="15" s="1"/>
  <c r="J298" i="15"/>
  <c r="J271" i="15"/>
  <c r="AN157" i="15"/>
  <c r="J285" i="15"/>
  <c r="AN193" i="15"/>
  <c r="AN134" i="15"/>
  <c r="J269" i="15"/>
  <c r="X269" i="15" s="1"/>
  <c r="AN149" i="15"/>
  <c r="J291" i="15"/>
  <c r="J302" i="15"/>
  <c r="X302" i="15" s="1"/>
  <c r="J293" i="15"/>
  <c r="J299" i="15"/>
  <c r="J297" i="15"/>
  <c r="J329" i="15"/>
  <c r="J274" i="15"/>
  <c r="J336" i="15"/>
  <c r="AQ28" i="15"/>
  <c r="J286" i="15"/>
  <c r="AR28" i="15"/>
  <c r="J268" i="15"/>
  <c r="X268" i="15" s="1"/>
  <c r="AN158" i="15"/>
  <c r="AN186" i="15"/>
  <c r="AN195" i="15"/>
  <c r="AP354" i="15"/>
  <c r="T198" i="15"/>
  <c r="AN188" i="15"/>
  <c r="AT354" i="15"/>
  <c r="AT356" i="15"/>
  <c r="AR351" i="15"/>
  <c r="AR434" i="15"/>
  <c r="AS350" i="15"/>
  <c r="AS357" i="15"/>
  <c r="AO435" i="15"/>
  <c r="AQ434" i="15"/>
  <c r="AR353" i="15"/>
  <c r="AQ356" i="15"/>
  <c r="AV26" i="15"/>
  <c r="J237" i="15"/>
  <c r="J253" i="15"/>
  <c r="AN112" i="15"/>
  <c r="J256" i="15"/>
  <c r="X256" i="15" s="1"/>
  <c r="AP132" i="15"/>
  <c r="AN147" i="15"/>
  <c r="J296" i="15"/>
  <c r="AN178" i="15"/>
  <c r="AN210" i="15"/>
  <c r="J340" i="15"/>
  <c r="AS28" i="15"/>
  <c r="J272" i="15"/>
  <c r="AN120" i="15"/>
  <c r="AN139" i="15"/>
  <c r="J264" i="15"/>
  <c r="X264" i="15" s="1"/>
  <c r="J245" i="15"/>
  <c r="X245" i="15" s="1"/>
  <c r="AN181" i="15"/>
  <c r="AF26" i="15"/>
  <c r="AT28" i="15"/>
  <c r="J229" i="15"/>
  <c r="AN170" i="15"/>
  <c r="AP28" i="15"/>
  <c r="AN104" i="15"/>
  <c r="AN128" i="15"/>
  <c r="AN110" i="15"/>
  <c r="AN118" i="15"/>
  <c r="AN126" i="15"/>
  <c r="AQ257" i="15"/>
  <c r="AN137" i="15"/>
  <c r="AN145" i="15"/>
  <c r="AN153" i="15"/>
  <c r="J295" i="15"/>
  <c r="J314" i="15"/>
  <c r="AS258" i="15"/>
  <c r="J282" i="15"/>
  <c r="AN171" i="15"/>
  <c r="AN197" i="15"/>
  <c r="U256" i="15"/>
  <c r="U177" i="15"/>
  <c r="K177" i="15" s="1"/>
  <c r="AN133" i="15"/>
  <c r="AN105" i="15"/>
  <c r="AN113" i="15"/>
  <c r="AN121" i="15"/>
  <c r="J279" i="15"/>
  <c r="AN161" i="15"/>
  <c r="J288" i="15"/>
  <c r="J292" i="15"/>
  <c r="J300" i="15"/>
  <c r="T177" i="15"/>
  <c r="J310" i="15"/>
  <c r="J316" i="15"/>
  <c r="AS226" i="15"/>
  <c r="AN106" i="15"/>
  <c r="AN114" i="15"/>
  <c r="AN122" i="15"/>
  <c r="AN130" i="15"/>
  <c r="AN155" i="15"/>
  <c r="J287" i="15"/>
  <c r="J303" i="15"/>
  <c r="J306" i="15"/>
  <c r="J278" i="15"/>
  <c r="J284" i="15"/>
  <c r="AN163" i="15"/>
  <c r="AN165" i="15"/>
  <c r="AO178" i="15"/>
  <c r="J315" i="15"/>
  <c r="AN199" i="15"/>
  <c r="AN108" i="15"/>
  <c r="AN116" i="15"/>
  <c r="AN124" i="15"/>
  <c r="AN135" i="15"/>
  <c r="AN143" i="15"/>
  <c r="AN151" i="15"/>
  <c r="J280" i="15"/>
  <c r="J290" i="15"/>
  <c r="AN173" i="15"/>
  <c r="AN191" i="15"/>
  <c r="J327" i="15"/>
  <c r="AN215" i="15"/>
  <c r="AN192" i="15"/>
  <c r="U198" i="15"/>
  <c r="K198" i="15" s="1"/>
  <c r="AN169" i="15"/>
  <c r="AN180" i="15"/>
  <c r="J308" i="15"/>
  <c r="AN196" i="15"/>
  <c r="U323" i="15"/>
  <c r="U219" i="15"/>
  <c r="K219" i="15" s="1"/>
  <c r="AN202" i="15"/>
  <c r="AN207" i="15"/>
  <c r="AN184" i="15"/>
  <c r="J313" i="15"/>
  <c r="J332" i="15"/>
  <c r="AO302" i="15"/>
  <c r="AN182" i="15"/>
  <c r="J309" i="15"/>
  <c r="AN190" i="15"/>
  <c r="J321" i="15"/>
  <c r="J324" i="15"/>
  <c r="J335" i="15"/>
  <c r="AT258" i="15"/>
  <c r="AR435" i="15"/>
  <c r="AT435" i="15"/>
  <c r="T219" i="15"/>
  <c r="AN200" i="15"/>
  <c r="AN208" i="15"/>
  <c r="AN216" i="15"/>
  <c r="AN201" i="15"/>
  <c r="AN209" i="15"/>
  <c r="AN217" i="15"/>
  <c r="AN218" i="15"/>
  <c r="AN203" i="15"/>
  <c r="AN211" i="15"/>
  <c r="AQ352" i="15"/>
  <c r="AT352" i="15"/>
  <c r="AN355" i="15"/>
  <c r="AT355" i="15"/>
  <c r="AP355" i="15"/>
  <c r="AO355" i="15"/>
  <c r="AS355" i="15"/>
  <c r="AN357" i="15"/>
  <c r="AP357" i="15"/>
  <c r="AT357" i="15"/>
  <c r="AR354" i="15"/>
  <c r="AQ355" i="15"/>
  <c r="AS435" i="15"/>
  <c r="AF348" i="15"/>
  <c r="AT350" i="15"/>
  <c r="AS351" i="15"/>
  <c r="AO353" i="15"/>
  <c r="AR355" i="15"/>
  <c r="AS434" i="15"/>
  <c r="AN348" i="15"/>
  <c r="AT351" i="15"/>
  <c r="AS352" i="15"/>
  <c r="AP353" i="15"/>
  <c r="AO354" i="15"/>
  <c r="AR356" i="15"/>
  <c r="AQ357" i="15"/>
  <c r="AV432" i="15"/>
  <c r="AN432" i="15"/>
  <c r="AP434" i="15"/>
  <c r="AQ350" i="15"/>
  <c r="AS353" i="15"/>
  <c r="AR357" i="15"/>
  <c r="AF432" i="15"/>
  <c r="AR350" i="15"/>
  <c r="AQ351" i="15"/>
  <c r="AT353" i="15"/>
  <c r="AS354" i="15"/>
  <c r="AN434" i="15"/>
  <c r="AT434" i="15"/>
  <c r="AO350" i="15"/>
  <c r="AR352" i="15"/>
  <c r="AQ353" i="15"/>
  <c r="AS356" i="15"/>
  <c r="AN435" i="15"/>
  <c r="AP435" i="15"/>
  <c r="AT264" i="15" l="1"/>
  <c r="AS264" i="15"/>
  <c r="AR264" i="15"/>
  <c r="AQ264" i="15"/>
  <c r="AP264" i="15"/>
  <c r="AO264" i="15"/>
  <c r="AN264" i="15"/>
  <c r="AT268" i="15"/>
  <c r="AS268" i="15"/>
  <c r="AR268" i="15"/>
  <c r="AQ268" i="15"/>
  <c r="AP268" i="15"/>
  <c r="AO268" i="15"/>
  <c r="AN268" i="15"/>
  <c r="AT267" i="15"/>
  <c r="AS267" i="15"/>
  <c r="AR267" i="15"/>
  <c r="AQ267" i="15"/>
  <c r="AP267" i="15"/>
  <c r="AO267" i="15"/>
  <c r="AN267" i="15"/>
  <c r="AT269" i="15"/>
  <c r="AS269" i="15"/>
  <c r="AR269" i="15"/>
  <c r="AQ269" i="15"/>
  <c r="AP269" i="15"/>
  <c r="AO269" i="15"/>
  <c r="AN269" i="15"/>
  <c r="Y389" i="33"/>
  <c r="BB314" i="15"/>
  <c r="AZ314" i="15"/>
  <c r="AY314" i="15"/>
  <c r="AX314" i="15"/>
  <c r="AW314" i="15"/>
  <c r="AV314" i="15"/>
  <c r="BA314" i="15"/>
  <c r="AF314" i="15"/>
  <c r="AX300" i="15"/>
  <c r="AW300" i="15"/>
  <c r="BB300" i="15"/>
  <c r="BA300" i="15"/>
  <c r="AZ300" i="15"/>
  <c r="AY300" i="15"/>
  <c r="AV300" i="15"/>
  <c r="AF300" i="15"/>
  <c r="BA295" i="15"/>
  <c r="AZ295" i="15"/>
  <c r="AX295" i="15"/>
  <c r="AW295" i="15"/>
  <c r="AV295" i="15"/>
  <c r="BB295" i="15"/>
  <c r="AY295" i="15"/>
  <c r="AF295" i="15"/>
  <c r="BB297" i="15"/>
  <c r="AZ297" i="15"/>
  <c r="AY297" i="15"/>
  <c r="AX297" i="15"/>
  <c r="AW297" i="15"/>
  <c r="AV297" i="15"/>
  <c r="BA297" i="15"/>
  <c r="AF297" i="15"/>
  <c r="BB321" i="15"/>
  <c r="BA321" i="15"/>
  <c r="AY321" i="15"/>
  <c r="AX321" i="15"/>
  <c r="AW321" i="15"/>
  <c r="AV321" i="15"/>
  <c r="AF321" i="15"/>
  <c r="AZ321" i="15"/>
  <c r="BB329" i="15"/>
  <c r="BA329" i="15"/>
  <c r="AY329" i="15"/>
  <c r="AX329" i="15"/>
  <c r="AW329" i="15"/>
  <c r="AV329" i="15"/>
  <c r="AZ329" i="15"/>
  <c r="AF329" i="15"/>
  <c r="AY264" i="15"/>
  <c r="AX264" i="15"/>
  <c r="AV264" i="15"/>
  <c r="BB264" i="15"/>
  <c r="BA264" i="15"/>
  <c r="AZ264" i="15"/>
  <c r="AW264" i="15"/>
  <c r="AF264" i="15"/>
  <c r="BB296" i="15"/>
  <c r="BA296" i="15"/>
  <c r="AY296" i="15"/>
  <c r="AX296" i="15"/>
  <c r="AW296" i="15"/>
  <c r="AV296" i="15"/>
  <c r="AZ296" i="15"/>
  <c r="AF296" i="15"/>
  <c r="BB268" i="15"/>
  <c r="AZ268" i="15"/>
  <c r="AY268" i="15"/>
  <c r="AX268" i="15"/>
  <c r="AW268" i="15"/>
  <c r="AV268" i="15"/>
  <c r="BA268" i="15"/>
  <c r="AF268" i="15"/>
  <c r="AW299" i="15"/>
  <c r="AV299" i="15"/>
  <c r="BB299" i="15"/>
  <c r="BA299" i="15"/>
  <c r="AZ299" i="15"/>
  <c r="AY299" i="15"/>
  <c r="AX299" i="15"/>
  <c r="AF299" i="15"/>
  <c r="T343" i="15"/>
  <c r="J219" i="15"/>
  <c r="J285" i="33" s="1"/>
  <c r="AX309" i="15"/>
  <c r="AW309" i="15"/>
  <c r="BB309" i="15"/>
  <c r="BA309" i="15"/>
  <c r="AZ309" i="15"/>
  <c r="AY309" i="15"/>
  <c r="AV309" i="15"/>
  <c r="AF309" i="15"/>
  <c r="AX292" i="15"/>
  <c r="AW292" i="15"/>
  <c r="BB292" i="15"/>
  <c r="BA292" i="15"/>
  <c r="AZ292" i="15"/>
  <c r="AY292" i="15"/>
  <c r="AF292" i="15"/>
  <c r="AV292" i="15"/>
  <c r="AZ327" i="15"/>
  <c r="AY327" i="15"/>
  <c r="AW327" i="15"/>
  <c r="AV327" i="15"/>
  <c r="BB327" i="15"/>
  <c r="BA327" i="15"/>
  <c r="AX327" i="15"/>
  <c r="AF327" i="15"/>
  <c r="BB288" i="15"/>
  <c r="BA288" i="15"/>
  <c r="AY288" i="15"/>
  <c r="AX288" i="15"/>
  <c r="AW288" i="15"/>
  <c r="AV288" i="15"/>
  <c r="AZ288" i="15"/>
  <c r="AF288" i="15"/>
  <c r="AY293" i="15"/>
  <c r="AX293" i="15"/>
  <c r="AV293" i="15"/>
  <c r="BB293" i="15"/>
  <c r="BA293" i="15"/>
  <c r="AZ293" i="15"/>
  <c r="AF293" i="15"/>
  <c r="AW293" i="15"/>
  <c r="AZ286" i="15"/>
  <c r="AY286" i="15"/>
  <c r="AW286" i="15"/>
  <c r="AV286" i="15"/>
  <c r="BB286" i="15"/>
  <c r="BA286" i="15"/>
  <c r="AX286" i="15"/>
  <c r="AF286" i="15"/>
  <c r="AY302" i="15"/>
  <c r="AX302" i="15"/>
  <c r="AV302" i="15"/>
  <c r="BB302" i="15"/>
  <c r="BA302" i="15"/>
  <c r="AZ302" i="15"/>
  <c r="AF302" i="15"/>
  <c r="AW302" i="15"/>
  <c r="AX271" i="15"/>
  <c r="AW271" i="15"/>
  <c r="BB271" i="15"/>
  <c r="BA271" i="15"/>
  <c r="AZ271" i="15"/>
  <c r="AY271" i="15"/>
  <c r="AV271" i="15"/>
  <c r="AF271" i="15"/>
  <c r="AW237" i="15"/>
  <c r="AV237" i="15"/>
  <c r="BB237" i="15"/>
  <c r="BA237" i="15"/>
  <c r="AY237" i="15"/>
  <c r="AX237" i="15"/>
  <c r="AZ237" i="15"/>
  <c r="AF237" i="15"/>
  <c r="AW332" i="15"/>
  <c r="AV332" i="15"/>
  <c r="BB332" i="15"/>
  <c r="BA332" i="15"/>
  <c r="AZ332" i="15"/>
  <c r="AY332" i="15"/>
  <c r="AX332" i="15"/>
  <c r="AF332" i="15"/>
  <c r="AW308" i="15"/>
  <c r="AV308" i="15"/>
  <c r="BB308" i="15"/>
  <c r="BA308" i="15"/>
  <c r="AZ308" i="15"/>
  <c r="AY308" i="15"/>
  <c r="AX308" i="15"/>
  <c r="AF308" i="15"/>
  <c r="BB306" i="15"/>
  <c r="AZ306" i="15"/>
  <c r="AY306" i="15"/>
  <c r="AX306" i="15"/>
  <c r="AW306" i="15"/>
  <c r="AV306" i="15"/>
  <c r="BA306" i="15"/>
  <c r="AF306" i="15"/>
  <c r="AX279" i="15"/>
  <c r="AW279" i="15"/>
  <c r="BB279" i="15"/>
  <c r="BA279" i="15"/>
  <c r="AZ279" i="15"/>
  <c r="AY279" i="15"/>
  <c r="AV279" i="15"/>
  <c r="AF279" i="15"/>
  <c r="AY272" i="15"/>
  <c r="AX272" i="15"/>
  <c r="AV272" i="15"/>
  <c r="BB272" i="15"/>
  <c r="BA272" i="15"/>
  <c r="AZ272" i="15"/>
  <c r="AW272" i="15"/>
  <c r="AF272" i="15"/>
  <c r="T322" i="15"/>
  <c r="J198" i="15"/>
  <c r="AV198" i="15" s="1"/>
  <c r="AW291" i="15"/>
  <c r="AV291" i="15"/>
  <c r="BB291" i="15"/>
  <c r="BA291" i="15"/>
  <c r="AZ291" i="15"/>
  <c r="AY291" i="15"/>
  <c r="AX291" i="15"/>
  <c r="AF291" i="15"/>
  <c r="AV298" i="15"/>
  <c r="BA298" i="15"/>
  <c r="AZ298" i="15"/>
  <c r="AY298" i="15"/>
  <c r="AX298" i="15"/>
  <c r="AW298" i="15"/>
  <c r="BB298" i="15"/>
  <c r="AF298" i="15"/>
  <c r="AZ335" i="15"/>
  <c r="AY335" i="15"/>
  <c r="AW335" i="15"/>
  <c r="AV335" i="15"/>
  <c r="BB335" i="15"/>
  <c r="BA335" i="15"/>
  <c r="AX335" i="15"/>
  <c r="AF335" i="15"/>
  <c r="BB313" i="15"/>
  <c r="BA313" i="15"/>
  <c r="AY313" i="15"/>
  <c r="AX313" i="15"/>
  <c r="AW313" i="15"/>
  <c r="AV313" i="15"/>
  <c r="AZ313" i="15"/>
  <c r="AF313" i="15"/>
  <c r="AV290" i="15"/>
  <c r="BA290" i="15"/>
  <c r="AZ290" i="15"/>
  <c r="AY290" i="15"/>
  <c r="AX290" i="15"/>
  <c r="AW290" i="15"/>
  <c r="BB290" i="15"/>
  <c r="AF290" i="15"/>
  <c r="AZ303" i="15"/>
  <c r="AY303" i="15"/>
  <c r="AW303" i="15"/>
  <c r="AV303" i="15"/>
  <c r="BB303" i="15"/>
  <c r="BA303" i="15"/>
  <c r="AX303" i="15"/>
  <c r="AF303" i="15"/>
  <c r="BA336" i="15"/>
  <c r="AZ336" i="15"/>
  <c r="AX336" i="15"/>
  <c r="AW336" i="15"/>
  <c r="AV336" i="15"/>
  <c r="BB336" i="15"/>
  <c r="AY336" i="15"/>
  <c r="AF336" i="15"/>
  <c r="BB267" i="15"/>
  <c r="BA267" i="15"/>
  <c r="AY267" i="15"/>
  <c r="AX267" i="15"/>
  <c r="AW267" i="15"/>
  <c r="AV267" i="15"/>
  <c r="AZ267" i="15"/>
  <c r="AF267" i="15"/>
  <c r="AW278" i="15"/>
  <c r="AV278" i="15"/>
  <c r="BB278" i="15"/>
  <c r="BA278" i="15"/>
  <c r="AZ278" i="15"/>
  <c r="AY278" i="15"/>
  <c r="AX278" i="15"/>
  <c r="AF278" i="15"/>
  <c r="AW316" i="15"/>
  <c r="AV316" i="15"/>
  <c r="BB316" i="15"/>
  <c r="BA316" i="15"/>
  <c r="AZ316" i="15"/>
  <c r="AY316" i="15"/>
  <c r="AX316" i="15"/>
  <c r="AF316" i="15"/>
  <c r="AW324" i="15"/>
  <c r="AV324" i="15"/>
  <c r="BB324" i="15"/>
  <c r="BA324" i="15"/>
  <c r="AZ324" i="15"/>
  <c r="AY324" i="15"/>
  <c r="AX324" i="15"/>
  <c r="AF324" i="15"/>
  <c r="AY280" i="15"/>
  <c r="AX280" i="15"/>
  <c r="AV280" i="15"/>
  <c r="BB280" i="15"/>
  <c r="BA280" i="15"/>
  <c r="AZ280" i="15"/>
  <c r="AW280" i="15"/>
  <c r="AF280" i="15"/>
  <c r="AV315" i="15"/>
  <c r="BA315" i="15"/>
  <c r="AZ315" i="15"/>
  <c r="AY315" i="15"/>
  <c r="AX315" i="15"/>
  <c r="AW315" i="15"/>
  <c r="BB315" i="15"/>
  <c r="AF315" i="15"/>
  <c r="BA287" i="15"/>
  <c r="AZ287" i="15"/>
  <c r="AX287" i="15"/>
  <c r="AW287" i="15"/>
  <c r="AV287" i="15"/>
  <c r="BB287" i="15"/>
  <c r="AY287" i="15"/>
  <c r="AF287" i="15"/>
  <c r="AY310" i="15"/>
  <c r="AX310" i="15"/>
  <c r="AV310" i="15"/>
  <c r="BB310" i="15"/>
  <c r="BA310" i="15"/>
  <c r="AZ310" i="15"/>
  <c r="AW310" i="15"/>
  <c r="AF310" i="15"/>
  <c r="AW340" i="15"/>
  <c r="AV340" i="15"/>
  <c r="BB340" i="15"/>
  <c r="BA340" i="15"/>
  <c r="AZ340" i="15"/>
  <c r="AY340" i="15"/>
  <c r="AX340" i="15"/>
  <c r="AF340" i="15"/>
  <c r="BA274" i="15"/>
  <c r="AZ274" i="15"/>
  <c r="AX274" i="15"/>
  <c r="AW274" i="15"/>
  <c r="AV274" i="15"/>
  <c r="BB274" i="15"/>
  <c r="AY274" i="15"/>
  <c r="AF274" i="15"/>
  <c r="AV269" i="15"/>
  <c r="BA269" i="15"/>
  <c r="AZ269" i="15"/>
  <c r="AY269" i="15"/>
  <c r="AX269" i="15"/>
  <c r="AW269" i="15"/>
  <c r="BB269" i="15"/>
  <c r="AF269" i="15"/>
  <c r="AX245" i="15"/>
  <c r="AW245" i="15"/>
  <c r="AV245" i="15"/>
  <c r="BB245" i="15"/>
  <c r="AF245" i="15"/>
  <c r="BA245" i="15"/>
  <c r="AZ245" i="15"/>
  <c r="AY245" i="15"/>
  <c r="AY285" i="15"/>
  <c r="AX285" i="15"/>
  <c r="AF285" i="15"/>
  <c r="AW285" i="15"/>
  <c r="AV285" i="15"/>
  <c r="BB285" i="15"/>
  <c r="BA285" i="15"/>
  <c r="AZ285" i="15"/>
  <c r="AX284" i="15"/>
  <c r="AF284" i="15"/>
  <c r="AW284" i="15"/>
  <c r="AV284" i="15"/>
  <c r="BB284" i="15"/>
  <c r="BA284" i="15"/>
  <c r="AZ284" i="15"/>
  <c r="AY284" i="15"/>
  <c r="AV282" i="15"/>
  <c r="BB282" i="15"/>
  <c r="BA282" i="15"/>
  <c r="AZ282" i="15"/>
  <c r="AY282" i="15"/>
  <c r="AX282" i="15"/>
  <c r="AF282" i="15"/>
  <c r="AW282" i="15"/>
  <c r="AX253" i="15"/>
  <c r="AW253" i="15"/>
  <c r="AV253" i="15"/>
  <c r="BB253" i="15"/>
  <c r="AF253" i="15"/>
  <c r="BA253" i="15"/>
  <c r="AZ253" i="15"/>
  <c r="AY253" i="15"/>
  <c r="T301" i="15"/>
  <c r="J177" i="15"/>
  <c r="BB256" i="15"/>
  <c r="BA256" i="15"/>
  <c r="AF256" i="15"/>
  <c r="AZ256" i="15"/>
  <c r="AY256" i="15"/>
  <c r="AX256" i="15"/>
  <c r="AW256" i="15"/>
  <c r="AV256" i="15"/>
  <c r="AZ229" i="15"/>
  <c r="AY229" i="15"/>
  <c r="AX229" i="15"/>
  <c r="AW229" i="15"/>
  <c r="AV229" i="15"/>
  <c r="AF229" i="15"/>
  <c r="BB229" i="15"/>
  <c r="BA229" i="15"/>
  <c r="K285" i="33"/>
  <c r="AN256" i="15"/>
  <c r="AP256" i="15"/>
  <c r="AO256" i="15"/>
  <c r="AT256" i="15"/>
  <c r="AQ256" i="15"/>
  <c r="AS256" i="15"/>
  <c r="AR256" i="15"/>
  <c r="AP281" i="15"/>
  <c r="AQ281" i="15"/>
  <c r="AO281" i="15"/>
  <c r="AN281" i="15"/>
  <c r="AT281" i="15"/>
  <c r="AS281" i="15"/>
  <c r="AR281" i="15"/>
  <c r="AR282" i="15"/>
  <c r="AQ282" i="15"/>
  <c r="AP282" i="15"/>
  <c r="AS282" i="15"/>
  <c r="AO282" i="15"/>
  <c r="AN282" i="15"/>
  <c r="AT282" i="15"/>
  <c r="AS245" i="15"/>
  <c r="AR245" i="15"/>
  <c r="AQ245" i="15"/>
  <c r="AP245" i="15"/>
  <c r="AO245" i="15"/>
  <c r="AT245" i="15"/>
  <c r="AN245" i="15"/>
  <c r="AN284" i="15"/>
  <c r="AO284" i="15"/>
  <c r="AT284" i="15"/>
  <c r="AS284" i="15"/>
  <c r="AR284" i="15"/>
  <c r="AQ284" i="15"/>
  <c r="AP284" i="15"/>
  <c r="K38" i="18"/>
  <c r="U101" i="15"/>
  <c r="M177" i="15"/>
  <c r="N177" i="15"/>
  <c r="L177" i="15"/>
  <c r="Q177" i="15"/>
  <c r="P177" i="15"/>
  <c r="O177" i="15"/>
  <c r="Q219" i="15"/>
  <c r="P219" i="15"/>
  <c r="O219" i="15"/>
  <c r="N219" i="15"/>
  <c r="M219" i="15"/>
  <c r="L219" i="15"/>
  <c r="Q198" i="15"/>
  <c r="P198" i="15"/>
  <c r="O198" i="15"/>
  <c r="N198" i="15"/>
  <c r="M198" i="15"/>
  <c r="L198" i="15"/>
  <c r="AT257" i="15"/>
  <c r="AR133" i="15"/>
  <c r="AS133" i="15"/>
  <c r="AT133" i="15"/>
  <c r="AT302" i="15"/>
  <c r="AS302" i="15"/>
  <c r="AR226" i="15"/>
  <c r="AO102" i="15"/>
  <c r="AP302" i="15"/>
  <c r="AP258" i="15"/>
  <c r="AO132" i="15"/>
  <c r="AP133" i="15"/>
  <c r="AT134" i="15"/>
  <c r="AR134" i="15"/>
  <c r="AO134" i="15"/>
  <c r="AS134" i="15"/>
  <c r="AO133" i="15"/>
  <c r="AP134" i="15"/>
  <c r="AQ133" i="15"/>
  <c r="AQ134" i="15"/>
  <c r="AN302" i="15"/>
  <c r="AR302" i="15"/>
  <c r="AQ302" i="15"/>
  <c r="AS178" i="15"/>
  <c r="AP178" i="15"/>
  <c r="AQ178" i="15"/>
  <c r="AR178" i="15"/>
  <c r="AN102" i="15"/>
  <c r="AT102" i="15"/>
  <c r="AQ102" i="15"/>
  <c r="AP102" i="15"/>
  <c r="AR102" i="15"/>
  <c r="AQ226" i="15"/>
  <c r="AP226" i="15"/>
  <c r="AO226" i="15"/>
  <c r="AN226" i="15"/>
  <c r="AT226" i="15"/>
  <c r="AQ132" i="15"/>
  <c r="AN132" i="15"/>
  <c r="AT132" i="15"/>
  <c r="AR132" i="15"/>
  <c r="U343" i="15"/>
  <c r="U322" i="15"/>
  <c r="U301" i="15"/>
  <c r="AS257" i="15"/>
  <c r="AR257" i="15"/>
  <c r="AN257" i="15"/>
  <c r="AP257" i="15"/>
  <c r="AO257" i="15"/>
  <c r="AS102" i="15"/>
  <c r="AT178" i="15"/>
  <c r="AR258" i="15"/>
  <c r="AQ258" i="15"/>
  <c r="AO258" i="15"/>
  <c r="AN258" i="15"/>
  <c r="AS132" i="15"/>
  <c r="X219" i="15" l="1"/>
  <c r="AN219" i="15" s="1"/>
  <c r="J343" i="15"/>
  <c r="J291" i="33" s="1"/>
  <c r="AL198" i="15"/>
  <c r="BB198" i="15"/>
  <c r="L285" i="33"/>
  <c r="AW219" i="15"/>
  <c r="AG219" i="15"/>
  <c r="AX219" i="15"/>
  <c r="AH219" i="15"/>
  <c r="X198" i="15"/>
  <c r="BA198" i="15"/>
  <c r="AK198" i="15"/>
  <c r="L264" i="33"/>
  <c r="AW198" i="15"/>
  <c r="AG198" i="15"/>
  <c r="AY219" i="15"/>
  <c r="AI219" i="15"/>
  <c r="AF198" i="15"/>
  <c r="AX198" i="15"/>
  <c r="AH198" i="15"/>
  <c r="AZ219" i="15"/>
  <c r="AJ219" i="15"/>
  <c r="AY198" i="15"/>
  <c r="AI198" i="15"/>
  <c r="BA219" i="15"/>
  <c r="AK219" i="15"/>
  <c r="AF219" i="15"/>
  <c r="AZ198" i="15"/>
  <c r="AJ198" i="15"/>
  <c r="BB219" i="15"/>
  <c r="AL219" i="15"/>
  <c r="AV219" i="15"/>
  <c r="AF177" i="15"/>
  <c r="AV177" i="15"/>
  <c r="X177" i="15"/>
  <c r="O243" i="33"/>
  <c r="AZ177" i="15"/>
  <c r="AJ177" i="15"/>
  <c r="AB177" i="15"/>
  <c r="P243" i="33"/>
  <c r="BA177" i="15"/>
  <c r="AK177" i="15"/>
  <c r="AC177" i="15"/>
  <c r="Q243" i="33"/>
  <c r="BB177" i="15"/>
  <c r="AL177" i="15"/>
  <c r="AD177" i="15"/>
  <c r="L243" i="33"/>
  <c r="AG177" i="15"/>
  <c r="AW177" i="15"/>
  <c r="Y177" i="15"/>
  <c r="N243" i="33"/>
  <c r="AY177" i="15"/>
  <c r="AI177" i="15"/>
  <c r="AA177" i="15"/>
  <c r="M243" i="33"/>
  <c r="AH177" i="15"/>
  <c r="AX177" i="15"/>
  <c r="Z177" i="15"/>
  <c r="O285" i="33"/>
  <c r="AB219" i="15"/>
  <c r="P285" i="33"/>
  <c r="AC219" i="15"/>
  <c r="Q285" i="33"/>
  <c r="AD219" i="15"/>
  <c r="M285" i="33"/>
  <c r="Z219" i="15"/>
  <c r="N285" i="33"/>
  <c r="AA219" i="15"/>
  <c r="Y219" i="15"/>
  <c r="M264" i="33"/>
  <c r="Z198" i="15"/>
  <c r="N264" i="33"/>
  <c r="AA198" i="15"/>
  <c r="O264" i="33"/>
  <c r="AB198" i="15"/>
  <c r="P264" i="33"/>
  <c r="AC198" i="15"/>
  <c r="Q264" i="33"/>
  <c r="AD198" i="15"/>
  <c r="Y198" i="15"/>
  <c r="U131" i="15"/>
  <c r="U225" i="15"/>
  <c r="M301" i="15"/>
  <c r="K301" i="15"/>
  <c r="N301" i="15"/>
  <c r="L301" i="15"/>
  <c r="Q301" i="15"/>
  <c r="P301" i="15"/>
  <c r="O301" i="15"/>
  <c r="O322" i="15"/>
  <c r="N322" i="15"/>
  <c r="P322" i="15"/>
  <c r="K322" i="15"/>
  <c r="M322" i="15"/>
  <c r="L322" i="15"/>
  <c r="Q322" i="15"/>
  <c r="P343" i="15"/>
  <c r="O343" i="15"/>
  <c r="Q343" i="15"/>
  <c r="L343" i="15"/>
  <c r="M343" i="15"/>
  <c r="N343" i="15"/>
  <c r="K343" i="15"/>
  <c r="K77" i="18"/>
  <c r="AP219" i="15" l="1"/>
  <c r="AO219" i="15"/>
  <c r="AV343" i="15"/>
  <c r="AF343" i="15"/>
  <c r="N291" i="33"/>
  <c r="AY343" i="15"/>
  <c r="AI343" i="15"/>
  <c r="M290" i="33"/>
  <c r="AH322" i="15"/>
  <c r="M291" i="33"/>
  <c r="AX343" i="15"/>
  <c r="AH343" i="15"/>
  <c r="Q290" i="33"/>
  <c r="AL322" i="15"/>
  <c r="AG322" i="15"/>
  <c r="Q291" i="33"/>
  <c r="BB343" i="15"/>
  <c r="AL343" i="15"/>
  <c r="AW343" i="15"/>
  <c r="AG343" i="15"/>
  <c r="N290" i="33"/>
  <c r="AI322" i="15"/>
  <c r="O291" i="33"/>
  <c r="AZ343" i="15"/>
  <c r="AJ343" i="15"/>
  <c r="O290" i="33"/>
  <c r="AJ322" i="15"/>
  <c r="P290" i="33"/>
  <c r="AK322" i="15"/>
  <c r="P291" i="33"/>
  <c r="BA343" i="15"/>
  <c r="AK343" i="15"/>
  <c r="O289" i="33"/>
  <c r="AJ301" i="15"/>
  <c r="P289" i="33"/>
  <c r="AK301" i="15"/>
  <c r="L289" i="33"/>
  <c r="AG301" i="15"/>
  <c r="Y301" i="15"/>
  <c r="N289" i="33"/>
  <c r="AI301" i="15"/>
  <c r="K289" i="33"/>
  <c r="Q289" i="33"/>
  <c r="AL301" i="15"/>
  <c r="M289" i="33"/>
  <c r="AH301" i="15"/>
  <c r="AS219" i="15"/>
  <c r="AQ219" i="15"/>
  <c r="AR219" i="15"/>
  <c r="L291" i="33"/>
  <c r="Y343" i="15"/>
  <c r="AT219" i="15"/>
  <c r="K291" i="33"/>
  <c r="X343" i="15"/>
  <c r="L290" i="33"/>
  <c r="Y322" i="15"/>
  <c r="K290" i="33"/>
  <c r="AA343" i="15"/>
  <c r="Z343" i="15"/>
  <c r="AD343" i="15"/>
  <c r="AB343" i="15"/>
  <c r="AC343" i="15"/>
  <c r="AA322" i="15"/>
  <c r="AB322" i="15"/>
  <c r="AB301" i="15"/>
  <c r="N131" i="15"/>
  <c r="U255" i="15"/>
  <c r="K255" i="15" s="1"/>
  <c r="M131" i="15"/>
  <c r="L131" i="15"/>
  <c r="O131" i="15"/>
  <c r="P131" i="15"/>
  <c r="Q131" i="15"/>
  <c r="AA301" i="15"/>
  <c r="AD322" i="15"/>
  <c r="Z322" i="15"/>
  <c r="AC301" i="15"/>
  <c r="AD301" i="15"/>
  <c r="AC322" i="15"/>
  <c r="Z301" i="15"/>
  <c r="AO343" i="15" l="1"/>
  <c r="K288" i="33"/>
  <c r="L197" i="33"/>
  <c r="M197" i="33"/>
  <c r="AH131" i="15"/>
  <c r="Z131" i="15"/>
  <c r="AI131" i="15"/>
  <c r="Q197" i="33"/>
  <c r="AL131" i="15"/>
  <c r="AK131" i="15"/>
  <c r="AJ131" i="15"/>
  <c r="P197" i="33"/>
  <c r="AD131" i="15"/>
  <c r="O197" i="33"/>
  <c r="AC131" i="15"/>
  <c r="N197" i="33"/>
  <c r="AB131" i="15"/>
  <c r="AA131" i="15"/>
  <c r="AR343" i="15"/>
  <c r="AT343" i="15"/>
  <c r="AQ343" i="15"/>
  <c r="AS343" i="15"/>
  <c r="AP343" i="15"/>
  <c r="AN343" i="15"/>
  <c r="P255" i="15"/>
  <c r="O255" i="15"/>
  <c r="N255" i="15"/>
  <c r="Q255" i="15"/>
  <c r="M255" i="15"/>
  <c r="L255" i="15"/>
  <c r="M288" i="33" l="1"/>
  <c r="AH255" i="15"/>
  <c r="N288" i="33"/>
  <c r="AI255" i="15"/>
  <c r="L288" i="33"/>
  <c r="AG255" i="15"/>
  <c r="Y255" i="15"/>
  <c r="O288" i="33"/>
  <c r="AJ255" i="15"/>
  <c r="P288" i="33"/>
  <c r="AK255" i="15"/>
  <c r="Q288" i="33"/>
  <c r="AL255" i="15"/>
  <c r="AC255" i="15"/>
  <c r="Z255" i="15"/>
  <c r="AB255" i="15"/>
  <c r="AD255" i="15"/>
  <c r="AA255" i="15"/>
  <c r="J20" i="22" l="1"/>
  <c r="J19" i="22"/>
  <c r="J18" i="22"/>
  <c r="J17" i="22"/>
  <c r="J16" i="22"/>
  <c r="J15" i="22"/>
  <c r="J11" i="22"/>
  <c r="J14" i="22"/>
  <c r="J13" i="22"/>
  <c r="J12" i="22"/>
  <c r="B16" i="22"/>
  <c r="B15" i="22"/>
  <c r="B14" i="22"/>
  <c r="B13" i="22"/>
  <c r="B12" i="22"/>
  <c r="B11" i="22"/>
  <c r="B7" i="22"/>
  <c r="B6" i="22"/>
  <c r="B243" i="22"/>
  <c r="B19" i="22" s="1"/>
  <c r="H254" i="22"/>
  <c r="B252" i="22" l="1"/>
  <c r="B20" i="22" s="1"/>
  <c r="B227" i="22"/>
  <c r="B17" i="22" s="1"/>
  <c r="B232" i="22"/>
  <c r="B18" i="22" s="1"/>
  <c r="B119" i="14"/>
  <c r="B502" i="33" s="1"/>
  <c r="B120" i="14"/>
  <c r="B503" i="33" s="1"/>
  <c r="R80" i="14"/>
  <c r="U52" i="33" s="1"/>
  <c r="B134" i="14"/>
  <c r="B517" i="33" s="1"/>
  <c r="B133" i="14"/>
  <c r="B516" i="33" s="1"/>
  <c r="D120" i="14"/>
  <c r="D503" i="33" s="1"/>
  <c r="D138" i="14"/>
  <c r="D129" i="14"/>
  <c r="D512" i="33" s="1"/>
  <c r="D124" i="14"/>
  <c r="D507" i="33" s="1"/>
  <c r="D105" i="14"/>
  <c r="D102" i="14"/>
  <c r="D96" i="14"/>
  <c r="D91" i="14"/>
  <c r="D61" i="33" s="1"/>
  <c r="D86" i="14"/>
  <c r="B105" i="14"/>
  <c r="B75" i="33" s="1"/>
  <c r="B104" i="14"/>
  <c r="B74" i="33" s="1"/>
  <c r="B103" i="14"/>
  <c r="B73" i="33" s="1"/>
  <c r="B102" i="14"/>
  <c r="B72" i="33" s="1"/>
  <c r="B67" i="33"/>
  <c r="B61" i="33"/>
  <c r="B80" i="14"/>
  <c r="B116" i="14" s="1"/>
  <c r="J71" i="13"/>
  <c r="B88" i="13"/>
  <c r="B40" i="33" s="1"/>
  <c r="D87" i="14" l="1"/>
  <c r="D57" i="33" s="1"/>
  <c r="D56" i="33"/>
  <c r="D97" i="14"/>
  <c r="D66" i="33"/>
  <c r="D103" i="14"/>
  <c r="D72" i="33"/>
  <c r="D108" i="14"/>
  <c r="D75" i="33"/>
  <c r="D93" i="14"/>
  <c r="J24" i="33"/>
  <c r="J74" i="13"/>
  <c r="J82" i="14" s="1"/>
  <c r="B63" i="33"/>
  <c r="D125" i="14"/>
  <c r="D508" i="33" s="1"/>
  <c r="B124" i="14"/>
  <c r="B507" i="33" s="1"/>
  <c r="B129" i="14"/>
  <c r="B512" i="33" s="1"/>
  <c r="B108" i="14"/>
  <c r="B78" i="33" s="1"/>
  <c r="R116" i="14"/>
  <c r="U499" i="33" s="1"/>
  <c r="B125" i="14"/>
  <c r="B508" i="33" s="1"/>
  <c r="B138" i="14"/>
  <c r="D104" i="14" l="1"/>
  <c r="D74" i="33" s="1"/>
  <c r="D73" i="33"/>
  <c r="D98" i="14"/>
  <c r="D68" i="33" s="1"/>
  <c r="D67" i="33"/>
  <c r="D94" i="14"/>
  <c r="D64" i="33" s="1"/>
  <c r="D63" i="33"/>
  <c r="D109" i="14"/>
  <c r="D79" i="33" s="1"/>
  <c r="D78" i="33"/>
  <c r="D516" i="33"/>
  <c r="D134" i="14" l="1"/>
  <c r="D517" i="33" s="1"/>
  <c r="K33" i="33"/>
  <c r="K39" i="33" l="1"/>
  <c r="D38" i="4"/>
  <c r="D599" i="33" s="1"/>
  <c r="I38" i="4"/>
  <c r="I599" i="33" s="1"/>
  <c r="K38" i="4"/>
  <c r="K599" i="33" s="1"/>
  <c r="D64" i="4"/>
  <c r="D600" i="33" s="1"/>
  <c r="I64" i="4"/>
  <c r="I600" i="33" s="1"/>
  <c r="J64" i="4"/>
  <c r="J600" i="33" s="1"/>
  <c r="K64" i="4"/>
  <c r="K600" i="33" s="1"/>
  <c r="D75" i="4"/>
  <c r="D601" i="33" s="1"/>
  <c r="I75" i="4"/>
  <c r="I601" i="33" s="1"/>
  <c r="J75" i="4"/>
  <c r="J601" i="33" s="1"/>
  <c r="K75" i="4"/>
  <c r="K601" i="33" s="1"/>
  <c r="D67" i="3"/>
  <c r="D570" i="33" s="1"/>
  <c r="I67" i="3"/>
  <c r="I570" i="33" s="1"/>
  <c r="J67" i="3"/>
  <c r="J570" i="33" s="1"/>
  <c r="K67" i="3"/>
  <c r="K570" i="33" s="1"/>
  <c r="D78" i="3"/>
  <c r="D581" i="33" s="1"/>
  <c r="I78" i="3"/>
  <c r="I581" i="33" s="1"/>
  <c r="J78" i="3"/>
  <c r="J581" i="33" s="1"/>
  <c r="K78" i="3"/>
  <c r="K581" i="33" s="1"/>
  <c r="D89" i="3"/>
  <c r="D592" i="33" s="1"/>
  <c r="I89" i="3"/>
  <c r="I592" i="33" s="1"/>
  <c r="J89" i="3"/>
  <c r="J592" i="33" s="1"/>
  <c r="K89" i="3"/>
  <c r="K592" i="33" s="1"/>
  <c r="J41" i="3"/>
  <c r="J544" i="33" s="1"/>
  <c r="I41" i="3"/>
  <c r="I544" i="33" s="1"/>
  <c r="K71" i="14"/>
  <c r="J38" i="4" l="1"/>
  <c r="J599" i="33" s="1"/>
  <c r="L18" i="4"/>
  <c r="D41" i="3"/>
  <c r="D544" i="33" s="1"/>
  <c r="L21" i="3"/>
  <c r="G21" i="3" s="1"/>
  <c r="G524" i="33" s="1"/>
  <c r="T101" i="15"/>
  <c r="M49" i="13"/>
  <c r="M50" i="13" s="1"/>
  <c r="B72" i="13"/>
  <c r="B25" i="33" s="1"/>
  <c r="L41" i="3" l="1"/>
  <c r="L544" i="33" s="1"/>
  <c r="L524" i="33"/>
  <c r="G18" i="4"/>
  <c r="K101" i="15"/>
  <c r="K131" i="15" s="1"/>
  <c r="J115" i="14"/>
  <c r="T225" i="15"/>
  <c r="T131" i="15"/>
  <c r="J101" i="15"/>
  <c r="K60" i="22"/>
  <c r="D45" i="22"/>
  <c r="B4" i="14" l="1"/>
  <c r="B4" i="16"/>
  <c r="B62" i="13"/>
  <c r="AG131" i="15"/>
  <c r="Y131" i="15"/>
  <c r="K167" i="33"/>
  <c r="AG101" i="15"/>
  <c r="Y101" i="15"/>
  <c r="BA101" i="15"/>
  <c r="AZ101" i="15"/>
  <c r="AY101" i="15"/>
  <c r="AX101" i="15"/>
  <c r="AW101" i="15"/>
  <c r="AF101" i="15"/>
  <c r="AV101" i="15"/>
  <c r="BB101" i="15"/>
  <c r="X101" i="15"/>
  <c r="T255" i="15"/>
  <c r="J131" i="15"/>
  <c r="J167" i="33"/>
  <c r="J225" i="15"/>
  <c r="X225" i="15" s="1"/>
  <c r="K57" i="22"/>
  <c r="K54" i="22"/>
  <c r="K55" i="22" s="1"/>
  <c r="J57" i="22"/>
  <c r="B12" i="3" s="1"/>
  <c r="B69" i="22"/>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K92" i="37" l="1"/>
  <c r="K83" i="37"/>
  <c r="B496" i="33"/>
  <c r="B77" i="41"/>
  <c r="K51" i="33"/>
  <c r="K79" i="14"/>
  <c r="AV225" i="15"/>
  <c r="AF225" i="15"/>
  <c r="BB225" i="15"/>
  <c r="BA225" i="15"/>
  <c r="AZ225" i="15"/>
  <c r="AY225" i="15"/>
  <c r="AX225" i="15"/>
  <c r="AW225" i="15"/>
  <c r="X131" i="15"/>
  <c r="AV131" i="15"/>
  <c r="AF131" i="15"/>
  <c r="AX131" i="15"/>
  <c r="BA131" i="15"/>
  <c r="AZ131" i="15"/>
  <c r="AW131" i="15"/>
  <c r="AY131" i="15"/>
  <c r="BB131" i="15"/>
  <c r="X27" i="15"/>
  <c r="K44" i="32"/>
  <c r="K22" i="21"/>
  <c r="K26" i="18"/>
  <c r="K36" i="18" s="1"/>
  <c r="K75" i="18" s="1"/>
  <c r="K147" i="18" s="1"/>
  <c r="K164" i="18" s="1"/>
  <c r="I57" i="22"/>
  <c r="AN101" i="15"/>
  <c r="AQ101" i="15"/>
  <c r="AO101" i="15"/>
  <c r="AP101" i="15"/>
  <c r="AS101" i="15"/>
  <c r="AT101" i="15"/>
  <c r="AR101" i="15"/>
  <c r="J58" i="22"/>
  <c r="K71" i="13"/>
  <c r="L54" i="22"/>
  <c r="L55" i="22" s="1"/>
  <c r="L57" i="22"/>
  <c r="K58" i="22"/>
  <c r="K409" i="33" l="1"/>
  <c r="L92" i="37"/>
  <c r="L83" i="37"/>
  <c r="B79" i="16"/>
  <c r="J84" i="37"/>
  <c r="B4" i="3"/>
  <c r="B81" i="16"/>
  <c r="K56" i="14"/>
  <c r="B26" i="13"/>
  <c r="B20" i="14"/>
  <c r="K84" i="37"/>
  <c r="B4" i="4"/>
  <c r="K93" i="37"/>
  <c r="L597" i="33"/>
  <c r="J93" i="37"/>
  <c r="L522" i="33"/>
  <c r="K76" i="21"/>
  <c r="K222" i="21"/>
  <c r="K80" i="32"/>
  <c r="K610" i="33"/>
  <c r="K335" i="21"/>
  <c r="K168" i="21"/>
  <c r="K389" i="21"/>
  <c r="L51" i="33"/>
  <c r="L79" i="14"/>
  <c r="K498" i="33"/>
  <c r="K344" i="33"/>
  <c r="K633" i="33"/>
  <c r="K297" i="33"/>
  <c r="K96" i="33"/>
  <c r="K52" i="33"/>
  <c r="K410" i="33" s="1"/>
  <c r="K102" i="31"/>
  <c r="K80" i="14"/>
  <c r="J52" i="33"/>
  <c r="J410" i="33" s="1"/>
  <c r="J102" i="31"/>
  <c r="J80" i="14"/>
  <c r="J116" i="14" s="1"/>
  <c r="K24" i="33"/>
  <c r="K74" i="13"/>
  <c r="Y27" i="15"/>
  <c r="L44" i="32"/>
  <c r="L22" i="21"/>
  <c r="L26" i="18"/>
  <c r="L36" i="18" s="1"/>
  <c r="L75" i="18" s="1"/>
  <c r="L147" i="18" s="1"/>
  <c r="L164" i="18" s="1"/>
  <c r="K314" i="21"/>
  <c r="X349" i="15"/>
  <c r="X224" i="15"/>
  <c r="X100" i="15"/>
  <c r="X381" i="15"/>
  <c r="X407" i="15"/>
  <c r="X433" i="15"/>
  <c r="AN27" i="15"/>
  <c r="K45" i="32"/>
  <c r="K23" i="21"/>
  <c r="J72" i="13"/>
  <c r="J25" i="33" s="1"/>
  <c r="J45" i="32"/>
  <c r="J23" i="21"/>
  <c r="H57" i="22"/>
  <c r="I58" i="22"/>
  <c r="AT225" i="15"/>
  <c r="AO225" i="15"/>
  <c r="AR225" i="15"/>
  <c r="AN225" i="15"/>
  <c r="AS225" i="15"/>
  <c r="AQ225" i="15"/>
  <c r="AP225" i="15"/>
  <c r="K27" i="18"/>
  <c r="K37" i="18" s="1"/>
  <c r="K76" i="18" s="1"/>
  <c r="K148" i="18" s="1"/>
  <c r="K165" i="18" s="1"/>
  <c r="L71" i="13"/>
  <c r="L74" i="13" s="1"/>
  <c r="L79" i="13" s="1"/>
  <c r="K72" i="13"/>
  <c r="B40" i="13" s="1"/>
  <c r="M57" i="22"/>
  <c r="L58" i="22"/>
  <c r="M54" i="22"/>
  <c r="M55" i="22" s="1"/>
  <c r="L409" i="33" l="1"/>
  <c r="M92" i="37"/>
  <c r="M83" i="37"/>
  <c r="B47" i="41"/>
  <c r="B521" i="33"/>
  <c r="L93" i="37"/>
  <c r="L84" i="37"/>
  <c r="B51" i="41"/>
  <c r="B596" i="33"/>
  <c r="D20" i="40"/>
  <c r="I93" i="37"/>
  <c r="I18" i="37"/>
  <c r="I84" i="37" s="1"/>
  <c r="K25" i="33"/>
  <c r="J77" i="21"/>
  <c r="J223" i="21"/>
  <c r="L76" i="21"/>
  <c r="L222" i="21"/>
  <c r="K77" i="21"/>
  <c r="K223" i="21"/>
  <c r="J81" i="32"/>
  <c r="J611" i="33"/>
  <c r="L80" i="32"/>
  <c r="L610" i="33"/>
  <c r="K81" i="32"/>
  <c r="K611" i="33"/>
  <c r="L335" i="21"/>
  <c r="L389" i="21"/>
  <c r="L168" i="21"/>
  <c r="M51" i="33"/>
  <c r="M79" i="14"/>
  <c r="L297" i="33"/>
  <c r="L344" i="33"/>
  <c r="L633" i="33"/>
  <c r="L96" i="33"/>
  <c r="L498" i="33"/>
  <c r="J336" i="21"/>
  <c r="J169" i="21"/>
  <c r="J390" i="21"/>
  <c r="K336" i="21"/>
  <c r="K169" i="21"/>
  <c r="K390" i="21"/>
  <c r="L52" i="33"/>
  <c r="L410" i="33" s="1"/>
  <c r="L102" i="31"/>
  <c r="L80" i="14"/>
  <c r="J499" i="33"/>
  <c r="J460" i="33"/>
  <c r="J634" i="33"/>
  <c r="J97" i="33"/>
  <c r="J345" i="33"/>
  <c r="J298" i="33"/>
  <c r="I52" i="33"/>
  <c r="I102" i="31"/>
  <c r="K634" i="33"/>
  <c r="K499" i="33"/>
  <c r="K460" i="33"/>
  <c r="K97" i="33"/>
  <c r="K298" i="33"/>
  <c r="K345" i="33"/>
  <c r="L27" i="33"/>
  <c r="L82" i="14"/>
  <c r="K82" i="14"/>
  <c r="K79" i="13"/>
  <c r="K27" i="33"/>
  <c r="L24" i="33"/>
  <c r="K115" i="14"/>
  <c r="L314" i="21"/>
  <c r="Z27" i="15"/>
  <c r="M44" i="32"/>
  <c r="M22" i="21"/>
  <c r="M26" i="18"/>
  <c r="M36" i="18" s="1"/>
  <c r="M75" i="18" s="1"/>
  <c r="M147" i="18" s="1"/>
  <c r="M164" i="18" s="1"/>
  <c r="J27" i="15"/>
  <c r="J100" i="15" s="1"/>
  <c r="J224" i="15" s="1"/>
  <c r="J349" i="15" s="1"/>
  <c r="J381" i="15" s="1"/>
  <c r="J407" i="15" s="1"/>
  <c r="J433" i="15" s="1"/>
  <c r="B248" i="22"/>
  <c r="AN224" i="15"/>
  <c r="AN100" i="15"/>
  <c r="AF27" i="15"/>
  <c r="AN407" i="15"/>
  <c r="AN381" i="15"/>
  <c r="AN349" i="15"/>
  <c r="AN433" i="15"/>
  <c r="AO27" i="15"/>
  <c r="Y224" i="15"/>
  <c r="Y100" i="15"/>
  <c r="Y433" i="15"/>
  <c r="Y349" i="15"/>
  <c r="Y381" i="15"/>
  <c r="Y407" i="15"/>
  <c r="K116" i="14"/>
  <c r="L27" i="18"/>
  <c r="L37" i="18" s="1"/>
  <c r="L76" i="18" s="1"/>
  <c r="L148" i="18" s="1"/>
  <c r="L165" i="18" s="1"/>
  <c r="L45" i="32"/>
  <c r="L23" i="21"/>
  <c r="I45" i="32"/>
  <c r="I16" i="31"/>
  <c r="G57" i="22"/>
  <c r="H58" i="22"/>
  <c r="K315" i="21"/>
  <c r="K27" i="15"/>
  <c r="K100" i="15" s="1"/>
  <c r="M71" i="13"/>
  <c r="L72" i="13"/>
  <c r="L25" i="33" s="1"/>
  <c r="N54" i="22"/>
  <c r="N55" i="22" s="1"/>
  <c r="N57" i="22"/>
  <c r="M58" i="22"/>
  <c r="M20" i="40" s="1"/>
  <c r="M409" i="33" l="1"/>
  <c r="M96" i="40"/>
  <c r="B58" i="41"/>
  <c r="D96" i="40"/>
  <c r="B57" i="41"/>
  <c r="M93" i="37"/>
  <c r="M84" i="37"/>
  <c r="N92" i="37"/>
  <c r="N83" i="37"/>
  <c r="H93" i="37"/>
  <c r="H18" i="37"/>
  <c r="H84" i="37" s="1"/>
  <c r="M76" i="21"/>
  <c r="M222" i="21"/>
  <c r="L77" i="21"/>
  <c r="L223" i="21"/>
  <c r="G58" i="22"/>
  <c r="G45" i="32" s="1"/>
  <c r="F57" i="22"/>
  <c r="H52" i="33"/>
  <c r="M80" i="32"/>
  <c r="M610" i="33"/>
  <c r="I81" i="32"/>
  <c r="I611" i="33"/>
  <c r="L81" i="32"/>
  <c r="L611" i="33"/>
  <c r="M297" i="33"/>
  <c r="M498" i="33"/>
  <c r="M96" i="33"/>
  <c r="M344" i="33"/>
  <c r="M633" i="33"/>
  <c r="M168" i="21"/>
  <c r="M389" i="21"/>
  <c r="M335" i="21"/>
  <c r="N51" i="33"/>
  <c r="N79" i="14"/>
  <c r="L336" i="21"/>
  <c r="L169" i="21"/>
  <c r="L390" i="21"/>
  <c r="I634" i="33"/>
  <c r="I97" i="33"/>
  <c r="I345" i="33"/>
  <c r="I460" i="33"/>
  <c r="I499" i="33"/>
  <c r="I298" i="33"/>
  <c r="M52" i="33"/>
  <c r="M410" i="33" s="1"/>
  <c r="M102" i="31"/>
  <c r="M80" i="14"/>
  <c r="L298" i="33"/>
  <c r="L634" i="33"/>
  <c r="L345" i="33"/>
  <c r="L499" i="33"/>
  <c r="L460" i="33"/>
  <c r="L97" i="33"/>
  <c r="K80" i="13"/>
  <c r="K86" i="13" s="1"/>
  <c r="L31" i="33"/>
  <c r="L80" i="13"/>
  <c r="L32" i="33" s="1"/>
  <c r="K31" i="33"/>
  <c r="J61" i="14"/>
  <c r="M24" i="33"/>
  <c r="M74" i="13"/>
  <c r="M79" i="13" s="1"/>
  <c r="T100" i="15"/>
  <c r="T224" i="15" s="1"/>
  <c r="AP27" i="15"/>
  <c r="Z349" i="15"/>
  <c r="Z433" i="15"/>
  <c r="Z407" i="15"/>
  <c r="Z381" i="15"/>
  <c r="Z224" i="15"/>
  <c r="Z100" i="15"/>
  <c r="M314" i="21"/>
  <c r="AF407" i="15"/>
  <c r="AF433" i="15"/>
  <c r="AF381" i="15"/>
  <c r="AF349" i="15"/>
  <c r="AF224" i="15"/>
  <c r="AV27" i="15"/>
  <c r="AF100" i="15"/>
  <c r="AO381" i="15"/>
  <c r="AO100" i="15"/>
  <c r="AO349" i="15"/>
  <c r="AO224" i="15"/>
  <c r="AG27" i="15"/>
  <c r="AO433" i="15"/>
  <c r="AO407" i="15"/>
  <c r="AA27" i="15"/>
  <c r="N44" i="32"/>
  <c r="N22" i="21"/>
  <c r="N26" i="18"/>
  <c r="N36" i="18" s="1"/>
  <c r="N75" i="18" s="1"/>
  <c r="N147" i="18" s="1"/>
  <c r="N164" i="18" s="1"/>
  <c r="L116" i="14"/>
  <c r="L115" i="14"/>
  <c r="I57" i="31"/>
  <c r="I76" i="31"/>
  <c r="I66" i="31"/>
  <c r="L315" i="21"/>
  <c r="H45" i="32"/>
  <c r="H16" i="31"/>
  <c r="M27" i="18"/>
  <c r="M37" i="18" s="1"/>
  <c r="M76" i="18" s="1"/>
  <c r="M148" i="18" s="1"/>
  <c r="M165" i="18" s="1"/>
  <c r="M45" i="32"/>
  <c r="M23" i="21"/>
  <c r="L27" i="15"/>
  <c r="L100" i="15" s="1"/>
  <c r="U100" i="15"/>
  <c r="U224" i="15" s="1"/>
  <c r="K224" i="15"/>
  <c r="K349" i="15" s="1"/>
  <c r="K381" i="15" s="1"/>
  <c r="K407" i="15" s="1"/>
  <c r="K433" i="15" s="1"/>
  <c r="N71" i="13"/>
  <c r="M72" i="13"/>
  <c r="M25" i="33" s="1"/>
  <c r="O57" i="22"/>
  <c r="N58" i="22"/>
  <c r="O54" i="22"/>
  <c r="O55" i="22" s="1"/>
  <c r="B403" i="33"/>
  <c r="B402" i="33"/>
  <c r="B401" i="33"/>
  <c r="B399" i="33"/>
  <c r="B391" i="33"/>
  <c r="B389" i="33"/>
  <c r="B387" i="33"/>
  <c r="B381" i="33"/>
  <c r="B379" i="33"/>
  <c r="B377" i="33"/>
  <c r="B374" i="33"/>
  <c r="B372" i="33"/>
  <c r="B369" i="33"/>
  <c r="B368" i="33"/>
  <c r="N409" i="33" l="1"/>
  <c r="D153" i="40"/>
  <c r="B71" i="41" s="1"/>
  <c r="B64" i="41"/>
  <c r="O92" i="37"/>
  <c r="O83" i="37"/>
  <c r="N93" i="37"/>
  <c r="N84" i="37"/>
  <c r="V20" i="40"/>
  <c r="M153" i="40"/>
  <c r="B72" i="41" s="1"/>
  <c r="B65" i="41"/>
  <c r="G16" i="31"/>
  <c r="G93" i="37"/>
  <c r="G18" i="37"/>
  <c r="G84" i="37" s="1"/>
  <c r="H97" i="33"/>
  <c r="N76" i="21"/>
  <c r="N222" i="21"/>
  <c r="M77" i="21"/>
  <c r="M223" i="21"/>
  <c r="H460" i="33"/>
  <c r="H634" i="33"/>
  <c r="H499" i="33"/>
  <c r="H345" i="33"/>
  <c r="E57" i="22"/>
  <c r="E58" i="22" s="1"/>
  <c r="F58" i="22"/>
  <c r="G52" i="33"/>
  <c r="H298" i="33"/>
  <c r="H81" i="32"/>
  <c r="H611" i="33"/>
  <c r="M81" i="32"/>
  <c r="M611" i="33"/>
  <c r="G81" i="32"/>
  <c r="G611" i="33"/>
  <c r="N80" i="32"/>
  <c r="N610" i="33"/>
  <c r="N297" i="33"/>
  <c r="N96" i="33"/>
  <c r="N498" i="33"/>
  <c r="N344" i="33"/>
  <c r="N633" i="33"/>
  <c r="N389" i="21"/>
  <c r="N168" i="21"/>
  <c r="N335" i="21"/>
  <c r="O51" i="33"/>
  <c r="O79" i="14"/>
  <c r="M169" i="21"/>
  <c r="M390" i="21"/>
  <c r="M336" i="21"/>
  <c r="N52" i="33"/>
  <c r="N410" i="33" s="1"/>
  <c r="N102" i="31"/>
  <c r="N80" i="14"/>
  <c r="M499" i="33"/>
  <c r="M634" i="33"/>
  <c r="M345" i="33"/>
  <c r="M298" i="33"/>
  <c r="M97" i="33"/>
  <c r="M460" i="33"/>
  <c r="J62" i="14"/>
  <c r="K32" i="33"/>
  <c r="L86" i="13"/>
  <c r="L38" i="33" s="1"/>
  <c r="M80" i="13"/>
  <c r="M32" i="33" s="1"/>
  <c r="M27" i="33"/>
  <c r="M82" i="14"/>
  <c r="N24" i="33"/>
  <c r="N74" i="13"/>
  <c r="N79" i="13" s="1"/>
  <c r="K38" i="33"/>
  <c r="AV349" i="15"/>
  <c r="AV100" i="15"/>
  <c r="AV407" i="15"/>
  <c r="AV224" i="15"/>
  <c r="AV381" i="15"/>
  <c r="AV433" i="15"/>
  <c r="AP100" i="15"/>
  <c r="AP407" i="15"/>
  <c r="AH27" i="15"/>
  <c r="AP224" i="15"/>
  <c r="AP433" i="15"/>
  <c r="AP381" i="15"/>
  <c r="AP349" i="15"/>
  <c r="N314" i="21"/>
  <c r="AG381" i="15"/>
  <c r="AG407" i="15"/>
  <c r="AG433" i="15"/>
  <c r="AG349" i="15"/>
  <c r="AW27" i="15"/>
  <c r="AG224" i="15"/>
  <c r="AG100" i="15"/>
  <c r="AB27" i="15"/>
  <c r="O44" i="32"/>
  <c r="O22" i="21"/>
  <c r="O26" i="18"/>
  <c r="O36" i="18" s="1"/>
  <c r="O75" i="18" s="1"/>
  <c r="O147" i="18" s="1"/>
  <c r="O164" i="18" s="1"/>
  <c r="AQ27" i="15"/>
  <c r="AA407" i="15"/>
  <c r="AA349" i="15"/>
  <c r="AA100" i="15"/>
  <c r="AA224" i="15"/>
  <c r="AA381" i="15"/>
  <c r="AA433" i="15"/>
  <c r="M115" i="14"/>
  <c r="M116" i="14"/>
  <c r="M315" i="21"/>
  <c r="N27" i="18"/>
  <c r="N37" i="18" s="1"/>
  <c r="N76" i="18" s="1"/>
  <c r="N148" i="18" s="1"/>
  <c r="N165" i="18" s="1"/>
  <c r="N45" i="32"/>
  <c r="N23" i="21"/>
  <c r="H57" i="31"/>
  <c r="H66" i="31"/>
  <c r="G57" i="31"/>
  <c r="G66" i="31"/>
  <c r="M27" i="15"/>
  <c r="M100" i="15" s="1"/>
  <c r="L224" i="15"/>
  <c r="L349" i="15" s="1"/>
  <c r="L381" i="15" s="1"/>
  <c r="L407" i="15" s="1"/>
  <c r="L433" i="15" s="1"/>
  <c r="O71" i="13"/>
  <c r="N72" i="13"/>
  <c r="N25" i="33" s="1"/>
  <c r="P54" i="22"/>
  <c r="P55" i="22" s="1"/>
  <c r="P57" i="22"/>
  <c r="O58" i="22"/>
  <c r="AE20" i="40" s="1"/>
  <c r="D35" i="16"/>
  <c r="D34" i="16"/>
  <c r="B33" i="16"/>
  <c r="D31" i="16"/>
  <c r="D30" i="16"/>
  <c r="B30" i="16"/>
  <c r="O409" i="33" l="1"/>
  <c r="AE96" i="40"/>
  <c r="B60" i="41"/>
  <c r="V96" i="40"/>
  <c r="B59" i="41"/>
  <c r="O93" i="37"/>
  <c r="O84" i="37"/>
  <c r="P92" i="37"/>
  <c r="P83" i="37"/>
  <c r="F93" i="37"/>
  <c r="F18" i="37"/>
  <c r="F84" i="37" s="1"/>
  <c r="F460" i="33"/>
  <c r="E93" i="37"/>
  <c r="E18" i="37"/>
  <c r="E84" i="37" s="1"/>
  <c r="E460" i="33"/>
  <c r="N77" i="21"/>
  <c r="N223" i="21"/>
  <c r="O76" i="21"/>
  <c r="O222" i="21"/>
  <c r="G298" i="33"/>
  <c r="G97" i="33"/>
  <c r="G345" i="33"/>
  <c r="G634" i="33"/>
  <c r="G499" i="33"/>
  <c r="G460" i="33"/>
  <c r="F16" i="31"/>
  <c r="F45" i="32"/>
  <c r="E16" i="31"/>
  <c r="E45" i="32"/>
  <c r="N81" i="32"/>
  <c r="N611" i="33"/>
  <c r="O80" i="32"/>
  <c r="O610" i="33"/>
  <c r="O498" i="33"/>
  <c r="O633" i="33"/>
  <c r="O297" i="33"/>
  <c r="O96" i="33"/>
  <c r="O344" i="33"/>
  <c r="O389" i="21"/>
  <c r="O168" i="21"/>
  <c r="O335" i="21"/>
  <c r="P51" i="33"/>
  <c r="P79" i="14"/>
  <c r="N390" i="21"/>
  <c r="N336" i="21"/>
  <c r="N169" i="21"/>
  <c r="O52" i="33"/>
  <c r="O410" i="33" s="1"/>
  <c r="O102" i="31"/>
  <c r="O80" i="14"/>
  <c r="N345" i="33"/>
  <c r="N634" i="33"/>
  <c r="N499" i="33"/>
  <c r="N97" i="33"/>
  <c r="N460" i="33"/>
  <c r="N298" i="33"/>
  <c r="M31" i="33"/>
  <c r="M86" i="13"/>
  <c r="N27" i="33"/>
  <c r="N82" i="14"/>
  <c r="N80" i="13"/>
  <c r="N32" i="33" s="1"/>
  <c r="O24" i="33"/>
  <c r="O74" i="13"/>
  <c r="O79" i="13" s="1"/>
  <c r="AW407" i="15"/>
  <c r="AW433" i="15"/>
  <c r="AW381" i="15"/>
  <c r="AW349" i="15"/>
  <c r="AW224" i="15"/>
  <c r="AW100" i="15"/>
  <c r="AH349" i="15"/>
  <c r="AH433" i="15"/>
  <c r="AH407" i="15"/>
  <c r="AH100" i="15"/>
  <c r="AH381" i="15"/>
  <c r="AH224" i="15"/>
  <c r="AX27" i="15"/>
  <c r="AC27" i="15"/>
  <c r="P44" i="32"/>
  <c r="P22" i="21"/>
  <c r="P26" i="18"/>
  <c r="P36" i="18" s="1"/>
  <c r="P75" i="18" s="1"/>
  <c r="P147" i="18" s="1"/>
  <c r="P164" i="18" s="1"/>
  <c r="AR27" i="15"/>
  <c r="AB349" i="15"/>
  <c r="AB224" i="15"/>
  <c r="AB100" i="15"/>
  <c r="AB433" i="15"/>
  <c r="AB381" i="15"/>
  <c r="AB407" i="15"/>
  <c r="AQ100" i="15"/>
  <c r="AQ407" i="15"/>
  <c r="AQ381" i="15"/>
  <c r="AQ433" i="15"/>
  <c r="AI27" i="15"/>
  <c r="AQ349" i="15"/>
  <c r="AQ224" i="15"/>
  <c r="O314" i="21"/>
  <c r="N115" i="14"/>
  <c r="N116" i="14"/>
  <c r="N315" i="21"/>
  <c r="O27" i="18"/>
  <c r="O37" i="18" s="1"/>
  <c r="O76" i="18" s="1"/>
  <c r="O148" i="18" s="1"/>
  <c r="O165" i="18" s="1"/>
  <c r="O45" i="32"/>
  <c r="O23" i="21"/>
  <c r="N27" i="15"/>
  <c r="N100" i="15" s="1"/>
  <c r="M224" i="15"/>
  <c r="M349" i="15" s="1"/>
  <c r="M381" i="15" s="1"/>
  <c r="M407" i="15" s="1"/>
  <c r="M433" i="15" s="1"/>
  <c r="P71" i="13"/>
  <c r="O72" i="13"/>
  <c r="O25" i="33" s="1"/>
  <c r="Q57" i="22"/>
  <c r="P58" i="22"/>
  <c r="Q54" i="22"/>
  <c r="Q55" i="22" s="1"/>
  <c r="P409" i="33" l="1"/>
  <c r="P93" i="37"/>
  <c r="P84" i="37"/>
  <c r="B66" i="41"/>
  <c r="V153" i="40"/>
  <c r="B73" i="41" s="1"/>
  <c r="Q92" i="37"/>
  <c r="Q83" i="37"/>
  <c r="AN20" i="40"/>
  <c r="AE153" i="40"/>
  <c r="B74" i="41" s="1"/>
  <c r="B67" i="41"/>
  <c r="E81" i="32"/>
  <c r="E611" i="33"/>
  <c r="F81" i="32"/>
  <c r="F611" i="33"/>
  <c r="P76" i="21"/>
  <c r="P222" i="21"/>
  <c r="O77" i="21"/>
  <c r="O223" i="21"/>
  <c r="F66" i="31"/>
  <c r="F57" i="31"/>
  <c r="E66" i="31"/>
  <c r="E57" i="31"/>
  <c r="P80" i="32"/>
  <c r="P610" i="33"/>
  <c r="O81" i="32"/>
  <c r="O611" i="33"/>
  <c r="Q51" i="33"/>
  <c r="Q79" i="14"/>
  <c r="P389" i="21"/>
  <c r="P168" i="21"/>
  <c r="P335" i="21"/>
  <c r="P344" i="33"/>
  <c r="P297" i="33"/>
  <c r="P633" i="33"/>
  <c r="P498" i="33"/>
  <c r="P96" i="33"/>
  <c r="O390" i="21"/>
  <c r="O336" i="21"/>
  <c r="O169" i="21"/>
  <c r="P52" i="33"/>
  <c r="P410" i="33" s="1"/>
  <c r="P102" i="31"/>
  <c r="P80" i="14"/>
  <c r="O298" i="33"/>
  <c r="O97" i="33"/>
  <c r="O499" i="33"/>
  <c r="O460" i="33"/>
  <c r="O345" i="33"/>
  <c r="O634" i="33"/>
  <c r="N86" i="13"/>
  <c r="M38" i="33"/>
  <c r="N31" i="33"/>
  <c r="O27" i="33"/>
  <c r="O82" i="14"/>
  <c r="P24" i="33"/>
  <c r="P74" i="13"/>
  <c r="P79" i="13" s="1"/>
  <c r="P314" i="21"/>
  <c r="AR407" i="15"/>
  <c r="AR224" i="15"/>
  <c r="AR100" i="15"/>
  <c r="AJ27" i="15"/>
  <c r="AR349" i="15"/>
  <c r="AR433" i="15"/>
  <c r="AR381" i="15"/>
  <c r="AS27" i="15"/>
  <c r="AC349" i="15"/>
  <c r="AC433" i="15"/>
  <c r="AC407" i="15"/>
  <c r="AC224" i="15"/>
  <c r="AC100" i="15"/>
  <c r="AC381" i="15"/>
  <c r="AX433" i="15"/>
  <c r="AX349" i="15"/>
  <c r="AX381" i="15"/>
  <c r="AX224" i="15"/>
  <c r="AX100" i="15"/>
  <c r="AX407" i="15"/>
  <c r="AI100" i="15"/>
  <c r="AI433" i="15"/>
  <c r="AY27" i="15"/>
  <c r="AI349" i="15"/>
  <c r="AI224" i="15"/>
  <c r="AI407" i="15"/>
  <c r="AI381" i="15"/>
  <c r="AD27" i="15"/>
  <c r="Q44" i="32"/>
  <c r="Q22" i="21"/>
  <c r="Q26" i="18"/>
  <c r="Q36" i="18" s="1"/>
  <c r="Q75" i="18" s="1"/>
  <c r="Q147" i="18" s="1"/>
  <c r="Q164" i="18" s="1"/>
  <c r="O115" i="14"/>
  <c r="O116" i="14"/>
  <c r="O315" i="21"/>
  <c r="P27" i="18"/>
  <c r="P37" i="18" s="1"/>
  <c r="P76" i="18" s="1"/>
  <c r="P148" i="18" s="1"/>
  <c r="P165" i="18" s="1"/>
  <c r="P45" i="32"/>
  <c r="P23" i="21"/>
  <c r="N224" i="15"/>
  <c r="N349" i="15" s="1"/>
  <c r="N381" i="15" s="1"/>
  <c r="N407" i="15" s="1"/>
  <c r="N433" i="15" s="1"/>
  <c r="O27" i="15"/>
  <c r="O100" i="15" s="1"/>
  <c r="D236" i="22" a="1"/>
  <c r="R54" i="22"/>
  <c r="R55" i="22" s="1"/>
  <c r="R51" i="33" s="1"/>
  <c r="Q58" i="22"/>
  <c r="AW20" i="40" s="1"/>
  <c r="R57" i="22"/>
  <c r="P72" i="13"/>
  <c r="P25" i="33" s="1"/>
  <c r="Q409" i="33" l="1"/>
  <c r="R409" i="33"/>
  <c r="AW96" i="40"/>
  <c r="B62" i="41"/>
  <c r="AN96" i="40"/>
  <c r="B61" i="41"/>
  <c r="Q93" i="37"/>
  <c r="Q84" i="37"/>
  <c r="B56" i="41"/>
  <c r="B4" i="40"/>
  <c r="B55" i="41" s="1"/>
  <c r="B70" i="41"/>
  <c r="B63" i="41"/>
  <c r="P77" i="21"/>
  <c r="P223" i="21"/>
  <c r="Q76" i="21"/>
  <c r="Q222" i="21"/>
  <c r="Q80" i="32"/>
  <c r="Q610" i="33"/>
  <c r="P81" i="32"/>
  <c r="P611" i="33"/>
  <c r="Q389" i="21"/>
  <c r="Q168" i="21"/>
  <c r="Q335" i="21"/>
  <c r="R498" i="33"/>
  <c r="R96" i="33"/>
  <c r="R344" i="33"/>
  <c r="R297" i="33"/>
  <c r="R633" i="33"/>
  <c r="Q96" i="33"/>
  <c r="Q633" i="33"/>
  <c r="Q297" i="33"/>
  <c r="Q344" i="33"/>
  <c r="Q498" i="33"/>
  <c r="P390" i="21"/>
  <c r="P169" i="21"/>
  <c r="P336" i="21"/>
  <c r="Q52" i="33"/>
  <c r="Q410" i="33" s="1"/>
  <c r="Q102" i="31"/>
  <c r="Q80" i="14"/>
  <c r="P97" i="33"/>
  <c r="P634" i="33"/>
  <c r="P499" i="33"/>
  <c r="P460" i="33"/>
  <c r="P345" i="33"/>
  <c r="P298" i="33"/>
  <c r="O86" i="13"/>
  <c r="O38" i="33" s="1"/>
  <c r="O31" i="33"/>
  <c r="N38" i="33"/>
  <c r="P27" i="33"/>
  <c r="P82" i="14"/>
  <c r="AY100" i="15"/>
  <c r="AY407" i="15"/>
  <c r="AY433" i="15"/>
  <c r="AY381" i="15"/>
  <c r="AY349" i="15"/>
  <c r="AY224" i="15"/>
  <c r="AT27" i="15"/>
  <c r="AD407" i="15"/>
  <c r="AD381" i="15"/>
  <c r="AD224" i="15"/>
  <c r="AD349" i="15"/>
  <c r="AD433" i="15"/>
  <c r="AD100" i="15"/>
  <c r="AS224" i="15"/>
  <c r="AS100" i="15"/>
  <c r="AS349" i="15"/>
  <c r="AK27" i="15"/>
  <c r="AS433" i="15"/>
  <c r="AS381" i="15"/>
  <c r="AS407" i="15"/>
  <c r="AJ100" i="15"/>
  <c r="AJ224" i="15"/>
  <c r="AZ27" i="15"/>
  <c r="AJ433" i="15"/>
  <c r="AJ381" i="15"/>
  <c r="AJ407" i="15"/>
  <c r="AJ349" i="15"/>
  <c r="R44" i="32"/>
  <c r="R22" i="21"/>
  <c r="R26" i="18"/>
  <c r="R36" i="18" s="1"/>
  <c r="R75" i="18" s="1"/>
  <c r="R147" i="18" s="1"/>
  <c r="R164" i="18" s="1"/>
  <c r="Q314" i="21"/>
  <c r="P115" i="14"/>
  <c r="P116" i="14"/>
  <c r="Q27" i="18"/>
  <c r="Q37" i="18" s="1"/>
  <c r="Q76" i="18" s="1"/>
  <c r="Q148" i="18" s="1"/>
  <c r="Q165" i="18" s="1"/>
  <c r="Q45" i="32"/>
  <c r="Q23" i="21"/>
  <c r="P315" i="21"/>
  <c r="P27" i="15"/>
  <c r="P100" i="15" s="1"/>
  <c r="O224" i="15"/>
  <c r="O349" i="15" s="1"/>
  <c r="O381" i="15" s="1"/>
  <c r="O407" i="15" s="1"/>
  <c r="O433" i="15" s="1"/>
  <c r="D237" i="22"/>
  <c r="E237" i="22" s="1"/>
  <c r="D240" i="22"/>
  <c r="E240" i="22" s="1"/>
  <c r="D239" i="22"/>
  <c r="E239" i="22" s="1"/>
  <c r="D241" i="22"/>
  <c r="E241" i="22" s="1"/>
  <c r="D238" i="22"/>
  <c r="E238" i="22" s="1"/>
  <c r="D236" i="22"/>
  <c r="E236" i="22" s="1"/>
  <c r="S54" i="22"/>
  <c r="S55" i="22" s="1"/>
  <c r="S51" i="33" s="1"/>
  <c r="Q71" i="13"/>
  <c r="Q72" i="13"/>
  <c r="Q25" i="33" s="1"/>
  <c r="R58" i="22"/>
  <c r="S57" i="22"/>
  <c r="S409" i="33" l="1"/>
  <c r="AN153" i="40"/>
  <c r="B75" i="41" s="1"/>
  <c r="B68" i="41"/>
  <c r="B69" i="41"/>
  <c r="AW153" i="40"/>
  <c r="B76" i="41" s="1"/>
  <c r="Q77" i="21"/>
  <c r="Q223" i="21"/>
  <c r="R76" i="21"/>
  <c r="R222" i="21"/>
  <c r="W58" i="13"/>
  <c r="R80" i="32"/>
  <c r="R610" i="33"/>
  <c r="Q81" i="32"/>
  <c r="Q611" i="33"/>
  <c r="S498" i="33"/>
  <c r="S633" i="33"/>
  <c r="S96" i="33"/>
  <c r="S344" i="33"/>
  <c r="S297" i="33"/>
  <c r="R389" i="21"/>
  <c r="R168" i="21"/>
  <c r="R335" i="21"/>
  <c r="Q390" i="21"/>
  <c r="Q336" i="21"/>
  <c r="Q169" i="21"/>
  <c r="P86" i="13"/>
  <c r="P38" i="33" s="1"/>
  <c r="R52" i="33"/>
  <c r="R410" i="33" s="1"/>
  <c r="R102" i="31"/>
  <c r="Q634" i="33"/>
  <c r="Q499" i="33"/>
  <c r="Q97" i="33"/>
  <c r="Q298" i="33"/>
  <c r="Q345" i="33"/>
  <c r="Q460" i="33"/>
  <c r="P31" i="33"/>
  <c r="Q24" i="33"/>
  <c r="Q74" i="13"/>
  <c r="Q79" i="13" s="1"/>
  <c r="S44" i="32"/>
  <c r="S22" i="21"/>
  <c r="S26" i="18"/>
  <c r="S36" i="18" s="1"/>
  <c r="S75" i="18" s="1"/>
  <c r="S147" i="18" s="1"/>
  <c r="S164" i="18" s="1"/>
  <c r="BA27" i="15"/>
  <c r="AK407" i="15"/>
  <c r="AK381" i="15"/>
  <c r="AK433" i="15"/>
  <c r="AK100" i="15"/>
  <c r="AK349" i="15"/>
  <c r="AK224" i="15"/>
  <c r="AZ349" i="15"/>
  <c r="AZ433" i="15"/>
  <c r="AZ381" i="15"/>
  <c r="AZ100" i="15"/>
  <c r="AZ407" i="15"/>
  <c r="AZ224" i="15"/>
  <c r="R314" i="21"/>
  <c r="AT100" i="15"/>
  <c r="AT407" i="15"/>
  <c r="AL27" i="15"/>
  <c r="AT381" i="15"/>
  <c r="AT224" i="15"/>
  <c r="AT349" i="15"/>
  <c r="AT433" i="15"/>
  <c r="Q315" i="21"/>
  <c r="R27" i="18"/>
  <c r="R37" i="18" s="1"/>
  <c r="R76" i="18" s="1"/>
  <c r="R148" i="18" s="1"/>
  <c r="R165" i="18" s="1"/>
  <c r="R45" i="32"/>
  <c r="R23" i="21"/>
  <c r="Q27" i="15"/>
  <c r="Q100" i="15" s="1"/>
  <c r="P224" i="15"/>
  <c r="P349" i="15" s="1"/>
  <c r="P381" i="15" s="1"/>
  <c r="P407" i="15" s="1"/>
  <c r="P433" i="15" s="1"/>
  <c r="T54" i="22"/>
  <c r="T55" i="22" s="1"/>
  <c r="T51" i="33" s="1"/>
  <c r="S58" i="22"/>
  <c r="T57" i="22"/>
  <c r="T409" i="33" l="1"/>
  <c r="R77" i="21"/>
  <c r="R223" i="21"/>
  <c r="S76" i="21"/>
  <c r="S222" i="21"/>
  <c r="O58" i="13"/>
  <c r="W61" i="13"/>
  <c r="R81" i="32"/>
  <c r="R611" i="33"/>
  <c r="S80" i="32"/>
  <c r="S610" i="33"/>
  <c r="S335" i="21"/>
  <c r="S168" i="21"/>
  <c r="S389" i="21"/>
  <c r="T498" i="33"/>
  <c r="T633" i="33"/>
  <c r="T96" i="33"/>
  <c r="T297" i="33"/>
  <c r="T344" i="33"/>
  <c r="R336" i="21"/>
  <c r="R169" i="21"/>
  <c r="R390" i="21"/>
  <c r="S52" i="33"/>
  <c r="S410" i="33" s="1"/>
  <c r="S102" i="31"/>
  <c r="R97" i="33"/>
  <c r="R298" i="33"/>
  <c r="R460" i="33"/>
  <c r="R634" i="33"/>
  <c r="R499" i="33"/>
  <c r="R345" i="33"/>
  <c r="Q27" i="33"/>
  <c r="Q86" i="13"/>
  <c r="Q82" i="14"/>
  <c r="Q86" i="14" s="1"/>
  <c r="Q115" i="14"/>
  <c r="Q116" i="14"/>
  <c r="BB27" i="15"/>
  <c r="AL407" i="15"/>
  <c r="AL381" i="15"/>
  <c r="AL349" i="15"/>
  <c r="AL433" i="15"/>
  <c r="AL224" i="15"/>
  <c r="AL100" i="15"/>
  <c r="S314" i="21"/>
  <c r="T44" i="32"/>
  <c r="T22" i="21"/>
  <c r="T26" i="18"/>
  <c r="T36" i="18" s="1"/>
  <c r="T75" i="18" s="1"/>
  <c r="T147" i="18" s="1"/>
  <c r="T164" i="18" s="1"/>
  <c r="BA349" i="15"/>
  <c r="BA433" i="15"/>
  <c r="BA381" i="15"/>
  <c r="BA407" i="15"/>
  <c r="BA224" i="15"/>
  <c r="BA100" i="15"/>
  <c r="T58" i="22"/>
  <c r="C259" i="22" a="1"/>
  <c r="R315" i="21"/>
  <c r="S27" i="18"/>
  <c r="S37" i="18" s="1"/>
  <c r="S76" i="18" s="1"/>
  <c r="S148" i="18" s="1"/>
  <c r="S165" i="18" s="1"/>
  <c r="S45" i="32"/>
  <c r="S23" i="21"/>
  <c r="Q224" i="15"/>
  <c r="Q349" i="15" s="1"/>
  <c r="Q381" i="15" s="1"/>
  <c r="Q407" i="15" s="1"/>
  <c r="Q433" i="15" s="1"/>
  <c r="T76" i="21" l="1"/>
  <c r="T222" i="21"/>
  <c r="S77" i="21"/>
  <c r="S223" i="21"/>
  <c r="E9" i="33"/>
  <c r="J73" i="13"/>
  <c r="K73" i="13"/>
  <c r="L73" i="13"/>
  <c r="L94" i="13" s="1"/>
  <c r="M73" i="13"/>
  <c r="M94" i="13" s="1"/>
  <c r="N73" i="13"/>
  <c r="N94" i="13" s="1"/>
  <c r="O73" i="13"/>
  <c r="O94" i="13" s="1"/>
  <c r="P73" i="13"/>
  <c r="P94" i="13" s="1"/>
  <c r="Q73" i="13"/>
  <c r="Q94" i="13" s="1"/>
  <c r="S81" i="32"/>
  <c r="S611" i="33"/>
  <c r="T80" i="32"/>
  <c r="T610" i="33"/>
  <c r="T335" i="21"/>
  <c r="T389" i="21"/>
  <c r="T168" i="21"/>
  <c r="S336" i="21"/>
  <c r="S169" i="21"/>
  <c r="S390" i="21"/>
  <c r="S345" i="33"/>
  <c r="S634" i="33"/>
  <c r="S499" i="33"/>
  <c r="S460" i="33"/>
  <c r="S97" i="33"/>
  <c r="S298" i="33"/>
  <c r="T52" i="33"/>
  <c r="T410" i="33" s="1"/>
  <c r="T102" i="31"/>
  <c r="Q31" i="33"/>
  <c r="Q38" i="33"/>
  <c r="Q56" i="33"/>
  <c r="Q103" i="14"/>
  <c r="Q73" i="33" s="1"/>
  <c r="T314" i="21"/>
  <c r="T23" i="21"/>
  <c r="T45" i="32"/>
  <c r="C259" i="22"/>
  <c r="C264" i="22"/>
  <c r="C266" i="22"/>
  <c r="C263" i="22"/>
  <c r="C261" i="22"/>
  <c r="C265" i="22"/>
  <c r="C260" i="22"/>
  <c r="C262" i="22"/>
  <c r="T27" i="18"/>
  <c r="T37" i="18" s="1"/>
  <c r="T76" i="18" s="1"/>
  <c r="T148" i="18" s="1"/>
  <c r="T165" i="18" s="1"/>
  <c r="BB407" i="15"/>
  <c r="BB433" i="15"/>
  <c r="BB349" i="15"/>
  <c r="BB381" i="15"/>
  <c r="BB224" i="15"/>
  <c r="BB100" i="15"/>
  <c r="S315" i="21"/>
  <c r="T77" i="21" l="1"/>
  <c r="T223" i="21"/>
  <c r="P81" i="13"/>
  <c r="P33" i="33" s="1"/>
  <c r="P81" i="14"/>
  <c r="P26" i="33"/>
  <c r="O81" i="13"/>
  <c r="O33" i="33" s="1"/>
  <c r="O81" i="14"/>
  <c r="O26" i="33"/>
  <c r="N81" i="14"/>
  <c r="N26" i="33"/>
  <c r="N81" i="13"/>
  <c r="N33" i="33" s="1"/>
  <c r="M81" i="14"/>
  <c r="M26" i="33"/>
  <c r="L81" i="14"/>
  <c r="L26" i="33"/>
  <c r="K26" i="33"/>
  <c r="K81" i="14"/>
  <c r="Q81" i="13"/>
  <c r="Q33" i="33" s="1"/>
  <c r="Q81" i="14"/>
  <c r="Q26" i="33"/>
  <c r="T81" i="32"/>
  <c r="T611" i="33"/>
  <c r="T336" i="21"/>
  <c r="T169" i="21"/>
  <c r="T390" i="21"/>
  <c r="T499" i="33"/>
  <c r="T298" i="33"/>
  <c r="T97" i="33"/>
  <c r="T345" i="33"/>
  <c r="T460" i="33"/>
  <c r="T634" i="33"/>
  <c r="T315" i="21"/>
  <c r="E261" i="22"/>
  <c r="H261" i="22"/>
  <c r="E263" i="22"/>
  <c r="H263" i="22"/>
  <c r="H259" i="22"/>
  <c r="E259" i="22"/>
  <c r="E266" i="22"/>
  <c r="H266" i="22"/>
  <c r="E262" i="22"/>
  <c r="H262" i="22"/>
  <c r="E265" i="22"/>
  <c r="H265" i="22"/>
  <c r="E264" i="22"/>
  <c r="H264" i="22"/>
  <c r="E260" i="22"/>
  <c r="H260" i="22"/>
  <c r="P36" i="33" l="1"/>
  <c r="Q36" i="33"/>
  <c r="O36" i="33"/>
  <c r="N36" i="33"/>
  <c r="U349" i="33"/>
  <c r="W349" i="33"/>
  <c r="U350" i="33"/>
  <c r="W350" i="33"/>
  <c r="Y351" i="33"/>
  <c r="Y357" i="33"/>
  <c r="U368" i="33"/>
  <c r="W368" i="33"/>
  <c r="U369" i="33"/>
  <c r="W369" i="33"/>
  <c r="Q377" i="33"/>
  <c r="K391" i="33"/>
  <c r="M391" i="33"/>
  <c r="N391" i="33"/>
  <c r="O391" i="33"/>
  <c r="P391" i="33"/>
  <c r="Q391" i="33"/>
  <c r="R391" i="33"/>
  <c r="S391" i="33"/>
  <c r="T391" i="33"/>
  <c r="L21" i="18"/>
  <c r="L22" i="18" s="1"/>
  <c r="K58" i="14"/>
  <c r="M58" i="14" s="1"/>
  <c r="K70" i="14"/>
  <c r="K72" i="14" s="1"/>
  <c r="M72" i="14" s="1"/>
  <c r="D86" i="4"/>
  <c r="D602" i="33" s="1"/>
  <c r="D603" i="33" s="1"/>
  <c r="D604" i="33" s="1"/>
  <c r="I86" i="4"/>
  <c r="I602" i="33" s="1"/>
  <c r="I603" i="33" s="1"/>
  <c r="K604" i="33" s="1"/>
  <c r="J86" i="4"/>
  <c r="J602" i="33" s="1"/>
  <c r="J603" i="33" s="1"/>
  <c r="K86" i="4"/>
  <c r="K602" i="33" s="1"/>
  <c r="K603" i="33" s="1"/>
  <c r="P45" i="33" l="1"/>
  <c r="Y349" i="33"/>
  <c r="Y350" i="33"/>
  <c r="O45" i="33"/>
  <c r="N45" i="33"/>
  <c r="Q45" i="33"/>
  <c r="W371" i="33"/>
  <c r="O380" i="33"/>
  <c r="O377" i="33"/>
  <c r="N380" i="33"/>
  <c r="N377" i="33"/>
  <c r="M380" i="33"/>
  <c r="M377" i="33"/>
  <c r="T377" i="33"/>
  <c r="L380" i="33"/>
  <c r="L377" i="33"/>
  <c r="S377" i="33"/>
  <c r="K380" i="33"/>
  <c r="K377" i="33"/>
  <c r="R380" i="33"/>
  <c r="R377" i="33"/>
  <c r="P377" i="33"/>
  <c r="U371" i="33"/>
  <c r="P380" i="33"/>
  <c r="L391" i="33"/>
  <c r="J394" i="33"/>
  <c r="J391" i="33"/>
  <c r="W352" i="33"/>
  <c r="U352" i="33"/>
  <c r="L395" i="33"/>
  <c r="J395" i="33"/>
  <c r="X369" i="33"/>
  <c r="X368" i="33"/>
  <c r="X371" i="33"/>
  <c r="X350" i="33"/>
  <c r="X352" i="33"/>
  <c r="X349" i="33"/>
  <c r="O395" i="33"/>
  <c r="M395" i="33"/>
  <c r="N395" i="33"/>
  <c r="S395" i="33"/>
  <c r="K395" i="33"/>
  <c r="R395" i="33"/>
  <c r="Q395" i="33"/>
  <c r="P395" i="33"/>
  <c r="M379" i="33"/>
  <c r="O381" i="33"/>
  <c r="U387" i="33"/>
  <c r="S399" i="33"/>
  <c r="J379" i="33"/>
  <c r="J360" i="33"/>
  <c r="L360" i="33"/>
  <c r="Q401" i="33"/>
  <c r="L38" i="18"/>
  <c r="T393" i="33"/>
  <c r="L393" i="33"/>
  <c r="P379" i="33"/>
  <c r="R399" i="33"/>
  <c r="R360" i="33"/>
  <c r="M393" i="33"/>
  <c r="Q360" i="33"/>
  <c r="P399" i="33"/>
  <c r="T379" i="33"/>
  <c r="L379" i="33"/>
  <c r="P360" i="33"/>
  <c r="W358" i="33"/>
  <c r="S360" i="33"/>
  <c r="L399" i="33"/>
  <c r="K360" i="33"/>
  <c r="Q399" i="33"/>
  <c r="Q379" i="33"/>
  <c r="N399" i="33"/>
  <c r="N360" i="33"/>
  <c r="O379" i="33"/>
  <c r="O360" i="33"/>
  <c r="P401" i="33"/>
  <c r="U353" i="33"/>
  <c r="J399" i="33"/>
  <c r="O399" i="33"/>
  <c r="U372" i="33"/>
  <c r="S379" i="33"/>
  <c r="K399" i="33"/>
  <c r="J393" i="33"/>
  <c r="W387" i="33"/>
  <c r="W353" i="33"/>
  <c r="T399" i="33"/>
  <c r="M399" i="33"/>
  <c r="M21" i="18"/>
  <c r="M22" i="18" s="1"/>
  <c r="M38" i="18" s="1"/>
  <c r="K393" i="33"/>
  <c r="O393" i="33"/>
  <c r="N393" i="33"/>
  <c r="D87" i="4"/>
  <c r="J87" i="4"/>
  <c r="L143" i="4"/>
  <c r="L75" i="4"/>
  <c r="L160" i="3"/>
  <c r="L146" i="3"/>
  <c r="L67" i="3"/>
  <c r="D90" i="3"/>
  <c r="D593" i="33" s="1"/>
  <c r="R401" i="33"/>
  <c r="N401" i="33"/>
  <c r="K379" i="33"/>
  <c r="R393" i="33"/>
  <c r="O401" i="33"/>
  <c r="W391" i="33"/>
  <c r="Q393" i="33"/>
  <c r="P393" i="33"/>
  <c r="N379" i="33"/>
  <c r="S401" i="33"/>
  <c r="J401" i="33"/>
  <c r="L401" i="33"/>
  <c r="T360" i="33"/>
  <c r="T401" i="33"/>
  <c r="M360" i="33"/>
  <c r="M401" i="33"/>
  <c r="K401" i="33"/>
  <c r="L157" i="4"/>
  <c r="L64" i="4"/>
  <c r="L78" i="3"/>
  <c r="J90" i="3"/>
  <c r="J593" i="33" s="1"/>
  <c r="L89" i="3"/>
  <c r="L592" i="33" s="1"/>
  <c r="L86" i="4"/>
  <c r="L602" i="33" s="1"/>
  <c r="S393" i="33"/>
  <c r="R379" i="33"/>
  <c r="U363" i="33" l="1"/>
  <c r="W363" i="33"/>
  <c r="O384" i="33"/>
  <c r="U382" i="33"/>
  <c r="O404" i="33"/>
  <c r="J404" i="33"/>
  <c r="Q404" i="33"/>
  <c r="P404" i="33"/>
  <c r="O396" i="33"/>
  <c r="K364" i="33"/>
  <c r="Q364" i="33"/>
  <c r="P396" i="33"/>
  <c r="Q383" i="33"/>
  <c r="N383" i="33"/>
  <c r="Y387" i="33"/>
  <c r="L404" i="33"/>
  <c r="L364" i="33"/>
  <c r="Q396" i="33"/>
  <c r="Y352" i="33"/>
  <c r="T404" i="33"/>
  <c r="J364" i="33"/>
  <c r="R396" i="33"/>
  <c r="K404" i="33"/>
  <c r="Y358" i="33"/>
  <c r="R404" i="33"/>
  <c r="J383" i="33"/>
  <c r="K396" i="33"/>
  <c r="M396" i="33"/>
  <c r="O364" i="33"/>
  <c r="R364" i="33"/>
  <c r="M364" i="33"/>
  <c r="S383" i="33"/>
  <c r="N364" i="33"/>
  <c r="P364" i="33"/>
  <c r="S404" i="33"/>
  <c r="S396" i="33"/>
  <c r="M404" i="33"/>
  <c r="S364" i="33"/>
  <c r="N404" i="33"/>
  <c r="N396" i="33"/>
  <c r="K243" i="33"/>
  <c r="L600" i="33"/>
  <c r="K264" i="33"/>
  <c r="L601" i="33"/>
  <c r="J396" i="33"/>
  <c r="L396" i="33"/>
  <c r="O383" i="33"/>
  <c r="Y391" i="33"/>
  <c r="L383" i="33"/>
  <c r="M383" i="33"/>
  <c r="R383" i="33"/>
  <c r="T380" i="33"/>
  <c r="U380" i="33"/>
  <c r="U377" i="33"/>
  <c r="X377" i="33"/>
  <c r="W377" i="33"/>
  <c r="S380" i="33"/>
  <c r="K383" i="33"/>
  <c r="P383" i="33"/>
  <c r="L49" i="32"/>
  <c r="L466" i="33" s="1"/>
  <c r="L381" i="33"/>
  <c r="L384" i="33" s="1"/>
  <c r="T383" i="33"/>
  <c r="M49" i="32"/>
  <c r="M466" i="33" s="1"/>
  <c r="M381" i="33"/>
  <c r="M384" i="33" s="1"/>
  <c r="Q380" i="33"/>
  <c r="N49" i="32"/>
  <c r="N466" i="33" s="1"/>
  <c r="N381" i="33"/>
  <c r="N384" i="33" s="1"/>
  <c r="Q49" i="32"/>
  <c r="Q466" i="33" s="1"/>
  <c r="Q381" i="33"/>
  <c r="Q384" i="33" s="1"/>
  <c r="P49" i="32"/>
  <c r="P466" i="33" s="1"/>
  <c r="P381" i="33"/>
  <c r="P384" i="33" s="1"/>
  <c r="R49" i="32"/>
  <c r="R466" i="33" s="1"/>
  <c r="R381" i="33"/>
  <c r="R384" i="33" s="1"/>
  <c r="X372" i="33"/>
  <c r="W372" i="33"/>
  <c r="W382" i="33" s="1"/>
  <c r="K49" i="32"/>
  <c r="K466" i="33" s="1"/>
  <c r="K381" i="33"/>
  <c r="K384" i="33" s="1"/>
  <c r="S49" i="32"/>
  <c r="S466" i="33" s="1"/>
  <c r="S381" i="33"/>
  <c r="S384" i="33" s="1"/>
  <c r="M394" i="33"/>
  <c r="U361" i="33"/>
  <c r="U358" i="33"/>
  <c r="P394" i="33"/>
  <c r="O394" i="33"/>
  <c r="L394" i="33"/>
  <c r="S394" i="33"/>
  <c r="N394" i="33"/>
  <c r="Q394" i="33"/>
  <c r="R394" i="33"/>
  <c r="K394" i="33"/>
  <c r="U394" i="33"/>
  <c r="U391" i="33"/>
  <c r="T394" i="33"/>
  <c r="T364" i="33"/>
  <c r="Y353" i="33"/>
  <c r="J243" i="33"/>
  <c r="L570" i="33"/>
  <c r="J264" i="33"/>
  <c r="L581" i="33"/>
  <c r="O49" i="32"/>
  <c r="O466" i="33" s="1"/>
  <c r="O403" i="33"/>
  <c r="M467" i="33"/>
  <c r="P467" i="33"/>
  <c r="O467" i="33"/>
  <c r="X387" i="33"/>
  <c r="Q467" i="33"/>
  <c r="L467" i="33"/>
  <c r="X391" i="33"/>
  <c r="R467" i="33"/>
  <c r="S467" i="33"/>
  <c r="J467" i="33"/>
  <c r="K467" i="33"/>
  <c r="N467" i="33"/>
  <c r="T395" i="33"/>
  <c r="W374" i="33"/>
  <c r="X358" i="33"/>
  <c r="X353" i="33"/>
  <c r="U374" i="33"/>
  <c r="L402" i="33"/>
  <c r="U389" i="33"/>
  <c r="L77" i="18"/>
  <c r="W393" i="33"/>
  <c r="W355" i="33"/>
  <c r="P402" i="33"/>
  <c r="Q402" i="33"/>
  <c r="O402" i="33"/>
  <c r="K402" i="33"/>
  <c r="S402" i="33"/>
  <c r="N402" i="33"/>
  <c r="U399" i="33"/>
  <c r="U401" i="33"/>
  <c r="M77" i="18"/>
  <c r="N21" i="18"/>
  <c r="N22" i="18" s="1"/>
  <c r="J402" i="33"/>
  <c r="M402" i="33"/>
  <c r="U379" i="33"/>
  <c r="R402" i="33"/>
  <c r="U393" i="33"/>
  <c r="W360" i="33"/>
  <c r="T402" i="33"/>
  <c r="U360" i="33"/>
  <c r="J197" i="33"/>
  <c r="L38" i="4"/>
  <c r="L599" i="33" s="1"/>
  <c r="Y355" i="33" l="1"/>
  <c r="Y393" i="33"/>
  <c r="T396" i="33"/>
  <c r="Y374" i="33"/>
  <c r="Y377" i="33"/>
  <c r="W364" i="33"/>
  <c r="O405" i="33"/>
  <c r="L603" i="33"/>
  <c r="U364" i="33"/>
  <c r="U404" i="33"/>
  <c r="U383" i="33"/>
  <c r="X380" i="33"/>
  <c r="X383" i="33" s="1"/>
  <c r="W380" i="33"/>
  <c r="T49" i="32"/>
  <c r="T466" i="33" s="1"/>
  <c r="T381" i="33"/>
  <c r="T384" i="33" s="1"/>
  <c r="Y372" i="33"/>
  <c r="X389" i="33"/>
  <c r="X379" i="33"/>
  <c r="X382" i="33" s="1"/>
  <c r="W379" i="33"/>
  <c r="X394" i="33"/>
  <c r="W394" i="33"/>
  <c r="Y360" i="33"/>
  <c r="U400" i="33"/>
  <c r="X393" i="33"/>
  <c r="T467" i="33"/>
  <c r="U395" i="33"/>
  <c r="X374" i="33"/>
  <c r="J403" i="33"/>
  <c r="W395" i="33"/>
  <c r="X360" i="33"/>
  <c r="X363" i="33" s="1"/>
  <c r="X355" i="33"/>
  <c r="N38" i="18"/>
  <c r="L87" i="4"/>
  <c r="L160" i="4" s="1"/>
  <c r="L164" i="4" s="1"/>
  <c r="K197" i="33"/>
  <c r="L90" i="3"/>
  <c r="J322" i="15"/>
  <c r="X322" i="15" s="1"/>
  <c r="J301" i="15"/>
  <c r="U362" i="33"/>
  <c r="U365" i="33" s="1"/>
  <c r="O21" i="18"/>
  <c r="O22" i="18" s="1"/>
  <c r="U402" i="33"/>
  <c r="U381" i="33"/>
  <c r="U384" i="33" s="1"/>
  <c r="Y395" i="33" l="1"/>
  <c r="Y379" i="33"/>
  <c r="J405" i="33"/>
  <c r="U396" i="33"/>
  <c r="J290" i="33"/>
  <c r="AY322" i="15"/>
  <c r="BA322" i="15"/>
  <c r="AV322" i="15"/>
  <c r="BB322" i="15"/>
  <c r="AF322" i="15"/>
  <c r="AX322" i="15"/>
  <c r="AW322" i="15"/>
  <c r="AZ322" i="15"/>
  <c r="J289" i="33"/>
  <c r="AW301" i="15"/>
  <c r="X301" i="15"/>
  <c r="BB301" i="15"/>
  <c r="BA301" i="15"/>
  <c r="AF301" i="15"/>
  <c r="AZ301" i="15"/>
  <c r="AY301" i="15"/>
  <c r="AX301" i="15"/>
  <c r="AV301" i="15"/>
  <c r="W383" i="33"/>
  <c r="W396" i="33"/>
  <c r="X381" i="33"/>
  <c r="W381" i="33"/>
  <c r="W384" i="33" s="1"/>
  <c r="X362" i="33"/>
  <c r="W362" i="33"/>
  <c r="S403" i="33"/>
  <c r="T403" i="33"/>
  <c r="L403" i="33"/>
  <c r="P403" i="33"/>
  <c r="K403" i="33"/>
  <c r="Q403" i="33"/>
  <c r="N403" i="33"/>
  <c r="R403" i="33"/>
  <c r="M403" i="33"/>
  <c r="O38" i="18"/>
  <c r="O77" i="18" s="1"/>
  <c r="L163" i="3"/>
  <c r="J98" i="14" s="1"/>
  <c r="L593" i="33"/>
  <c r="N77" i="18"/>
  <c r="X395" i="33"/>
  <c r="AN198" i="15"/>
  <c r="AO198" i="15"/>
  <c r="AS198" i="15"/>
  <c r="AT198" i="15"/>
  <c r="AP198" i="15"/>
  <c r="AQ198" i="15"/>
  <c r="AR198" i="15"/>
  <c r="AN177" i="15"/>
  <c r="AO177" i="15"/>
  <c r="AQ177" i="15"/>
  <c r="AR177" i="15"/>
  <c r="AP177" i="15"/>
  <c r="AT177" i="15"/>
  <c r="AS177" i="15"/>
  <c r="J255" i="15"/>
  <c r="U403" i="33"/>
  <c r="P21" i="18"/>
  <c r="P22" i="18" s="1"/>
  <c r="J68" i="33" l="1"/>
  <c r="P405" i="33"/>
  <c r="M405" i="33"/>
  <c r="T405" i="33"/>
  <c r="R405" i="33"/>
  <c r="S405" i="33"/>
  <c r="U405" i="33"/>
  <c r="X396" i="33"/>
  <c r="Q405" i="33"/>
  <c r="X365" i="33"/>
  <c r="X384" i="33"/>
  <c r="L405" i="33"/>
  <c r="N405" i="33"/>
  <c r="K405" i="33"/>
  <c r="K85" i="14"/>
  <c r="K87" i="14" s="1"/>
  <c r="J92" i="13"/>
  <c r="L48" i="13"/>
  <c r="K83" i="13" s="1"/>
  <c r="K35" i="33" s="1"/>
  <c r="L50" i="13"/>
  <c r="AF255" i="15"/>
  <c r="AV255" i="15"/>
  <c r="BB255" i="15"/>
  <c r="AX255" i="15"/>
  <c r="AY255" i="15"/>
  <c r="BA255" i="15"/>
  <c r="AZ255" i="15"/>
  <c r="AW255" i="15"/>
  <c r="J288" i="33"/>
  <c r="X255" i="15"/>
  <c r="K57" i="14"/>
  <c r="Y381" i="33"/>
  <c r="W365" i="33"/>
  <c r="Y362" i="33"/>
  <c r="L49" i="13"/>
  <c r="J109" i="14"/>
  <c r="P38" i="18"/>
  <c r="P77" i="18" s="1"/>
  <c r="AN301" i="15"/>
  <c r="AO301" i="15"/>
  <c r="AS301" i="15"/>
  <c r="AT301" i="15"/>
  <c r="AR301" i="15"/>
  <c r="AP301" i="15"/>
  <c r="AQ301" i="15"/>
  <c r="AN322" i="15"/>
  <c r="AO322" i="15"/>
  <c r="AP322" i="15"/>
  <c r="AT322" i="15"/>
  <c r="AQ322" i="15"/>
  <c r="AR322" i="15"/>
  <c r="AS322" i="15"/>
  <c r="AN131" i="15"/>
  <c r="AO131" i="15"/>
  <c r="AS131" i="15"/>
  <c r="AR131" i="15"/>
  <c r="AT131" i="15"/>
  <c r="AP131" i="15"/>
  <c r="AQ131" i="15"/>
  <c r="Q21" i="18"/>
  <c r="Q22" i="18" s="1"/>
  <c r="Q38" i="18" s="1"/>
  <c r="M57" i="14" l="1"/>
  <c r="K55" i="33"/>
  <c r="K59" i="14"/>
  <c r="K64" i="14" s="1"/>
  <c r="K93" i="14"/>
  <c r="K92" i="14"/>
  <c r="K62" i="33" s="1"/>
  <c r="K102" i="14"/>
  <c r="J79" i="33"/>
  <c r="K57" i="33"/>
  <c r="K89" i="14"/>
  <c r="K91" i="14"/>
  <c r="K61" i="33" s="1"/>
  <c r="K90" i="14"/>
  <c r="K60" i="33" s="1"/>
  <c r="AN255" i="15"/>
  <c r="AP255" i="15"/>
  <c r="AQ255" i="15"/>
  <c r="AT255" i="15"/>
  <c r="AS255" i="15"/>
  <c r="AO255" i="15"/>
  <c r="AR255" i="15"/>
  <c r="R21" i="18"/>
  <c r="R22" i="18" s="1"/>
  <c r="R38" i="18" s="1"/>
  <c r="K63" i="33" l="1"/>
  <c r="K107" i="14"/>
  <c r="K77" i="33" s="1"/>
  <c r="K61" i="14"/>
  <c r="K63" i="14"/>
  <c r="K62" i="14"/>
  <c r="J65" i="14"/>
  <c r="J67" i="14" s="1"/>
  <c r="K67" i="14" s="1"/>
  <c r="K74" i="14" s="1"/>
  <c r="K59" i="33"/>
  <c r="K94" i="14"/>
  <c r="K104" i="14"/>
  <c r="K72" i="33"/>
  <c r="Q77" i="18"/>
  <c r="R77" i="18"/>
  <c r="S21" i="18"/>
  <c r="S22" i="18" s="1"/>
  <c r="S38" i="18" s="1"/>
  <c r="M68" i="14" l="1"/>
  <c r="K74" i="33"/>
  <c r="K106" i="14"/>
  <c r="K76" i="33" s="1"/>
  <c r="K105" i="14"/>
  <c r="K64" i="33"/>
  <c r="K96" i="14"/>
  <c r="M65" i="14"/>
  <c r="M61" i="14"/>
  <c r="M63" i="14"/>
  <c r="S77" i="18"/>
  <c r="T21" i="18"/>
  <c r="T22" i="18" s="1"/>
  <c r="U141" i="18" l="1"/>
  <c r="U742" i="33" s="1"/>
  <c r="U137" i="18"/>
  <c r="U738" i="33" s="1"/>
  <c r="U131" i="18"/>
  <c r="U732" i="33" s="1"/>
  <c r="U132" i="18"/>
  <c r="U733" i="33" s="1"/>
  <c r="U135" i="18"/>
  <c r="U736" i="33" s="1"/>
  <c r="U134" i="18"/>
  <c r="U735" i="33" s="1"/>
  <c r="U139" i="18"/>
  <c r="U740" i="33" s="1"/>
  <c r="U136" i="18"/>
  <c r="U737" i="33" s="1"/>
  <c r="U138" i="18"/>
  <c r="U739" i="33" s="1"/>
  <c r="U133" i="18"/>
  <c r="U734" i="33" s="1"/>
  <c r="U140" i="18"/>
  <c r="U741" i="33" s="1"/>
  <c r="U96" i="18"/>
  <c r="U697" i="33" s="1"/>
  <c r="U116" i="18"/>
  <c r="U717" i="33" s="1"/>
  <c r="U114" i="18"/>
  <c r="U715" i="33" s="1"/>
  <c r="U94" i="18"/>
  <c r="U695" i="33" s="1"/>
  <c r="U98" i="18"/>
  <c r="U699" i="33" s="1"/>
  <c r="U93" i="18"/>
  <c r="U694" i="33" s="1"/>
  <c r="U107" i="18"/>
  <c r="U708" i="33" s="1"/>
  <c r="U118" i="18"/>
  <c r="U719" i="33" s="1"/>
  <c r="U113" i="18"/>
  <c r="U714" i="33" s="1"/>
  <c r="U105" i="18"/>
  <c r="U706" i="33" s="1"/>
  <c r="U115" i="18"/>
  <c r="U716" i="33" s="1"/>
  <c r="U102" i="18"/>
  <c r="U703" i="33" s="1"/>
  <c r="U91" i="18"/>
  <c r="U692" i="33" s="1"/>
  <c r="U90" i="18"/>
  <c r="U691" i="33" s="1"/>
  <c r="U104" i="18"/>
  <c r="U705" i="33" s="1"/>
  <c r="U89" i="18"/>
  <c r="U690" i="33" s="1"/>
  <c r="U109" i="18"/>
  <c r="U710" i="33" s="1"/>
  <c r="U106" i="18"/>
  <c r="U707" i="33" s="1"/>
  <c r="U111" i="18"/>
  <c r="U712" i="33" s="1"/>
  <c r="U100" i="18"/>
  <c r="U701" i="33" s="1"/>
  <c r="U99" i="18"/>
  <c r="U700" i="33" s="1"/>
  <c r="U101" i="18"/>
  <c r="U702" i="33" s="1"/>
  <c r="U108" i="18"/>
  <c r="U709" i="33" s="1"/>
  <c r="U110" i="18"/>
  <c r="U711" i="33" s="1"/>
  <c r="U92" i="18"/>
  <c r="U693" i="33" s="1"/>
  <c r="U97" i="18"/>
  <c r="U698" i="33" s="1"/>
  <c r="U119" i="18"/>
  <c r="U720" i="33" s="1"/>
  <c r="U117" i="18"/>
  <c r="U718" i="33" s="1"/>
  <c r="U103" i="18"/>
  <c r="U704" i="33" s="1"/>
  <c r="U95" i="18"/>
  <c r="U696" i="33" s="1"/>
  <c r="U112" i="18"/>
  <c r="U713" i="33" s="1"/>
  <c r="K98" i="14"/>
  <c r="K66" i="33"/>
  <c r="K75" i="33"/>
  <c r="K109" i="14"/>
  <c r="K509" i="33"/>
  <c r="U84" i="18"/>
  <c r="U685" i="33" s="1"/>
  <c r="U130" i="18"/>
  <c r="U731" i="33" s="1"/>
  <c r="U127" i="18"/>
  <c r="U728" i="33" s="1"/>
  <c r="U124" i="18"/>
  <c r="U725" i="33" s="1"/>
  <c r="U123" i="18"/>
  <c r="U724" i="33" s="1"/>
  <c r="U86" i="18"/>
  <c r="U687" i="33" s="1"/>
  <c r="U125" i="18"/>
  <c r="U726" i="33" s="1"/>
  <c r="U128" i="18"/>
  <c r="U729" i="33" s="1"/>
  <c r="U82" i="18"/>
  <c r="U683" i="33" s="1"/>
  <c r="U80" i="18"/>
  <c r="U681" i="33" s="1"/>
  <c r="U81" i="18"/>
  <c r="U682" i="33" s="1"/>
  <c r="U83" i="18"/>
  <c r="U684" i="33" s="1"/>
  <c r="U85" i="18"/>
  <c r="U686" i="33" s="1"/>
  <c r="U122" i="18"/>
  <c r="U723" i="33" s="1"/>
  <c r="U126" i="18"/>
  <c r="U727" i="33" s="1"/>
  <c r="U129" i="18"/>
  <c r="U730" i="33" s="1"/>
  <c r="U87" i="18"/>
  <c r="U688" i="33" s="1"/>
  <c r="T38" i="18"/>
  <c r="U88" i="18"/>
  <c r="U689" i="33" s="1"/>
  <c r="U121" i="18"/>
  <c r="U722" i="33" s="1"/>
  <c r="U26" i="18"/>
  <c r="U41" i="18"/>
  <c r="U644" i="33" s="1"/>
  <c r="U154" i="18"/>
  <c r="U753" i="33" s="1"/>
  <c r="U155" i="18"/>
  <c r="U754" i="33" s="1"/>
  <c r="U149" i="18"/>
  <c r="U748" i="33" s="1"/>
  <c r="U151" i="18"/>
  <c r="U750" i="33" s="1"/>
  <c r="U156" i="18"/>
  <c r="U755" i="33" s="1"/>
  <c r="U157" i="18"/>
  <c r="U756" i="33" s="1"/>
  <c r="U150" i="18"/>
  <c r="U749" i="33" s="1"/>
  <c r="U152" i="18"/>
  <c r="U751" i="33" s="1"/>
  <c r="U153" i="18"/>
  <c r="U752" i="33" s="1"/>
  <c r="U158" i="18"/>
  <c r="U757" i="33" s="1"/>
  <c r="U44" i="18"/>
  <c r="U647" i="33" s="1"/>
  <c r="U61" i="18"/>
  <c r="U664" i="33" s="1"/>
  <c r="U69" i="18"/>
  <c r="U672" i="33" s="1"/>
  <c r="U60" i="18"/>
  <c r="U663" i="33" s="1"/>
  <c r="U68" i="18"/>
  <c r="U671" i="33" s="1"/>
  <c r="U47" i="18"/>
  <c r="U650" i="33" s="1"/>
  <c r="U45" i="18"/>
  <c r="U648" i="33" s="1"/>
  <c r="U51" i="18"/>
  <c r="U654" i="33" s="1"/>
  <c r="U66" i="18"/>
  <c r="U669" i="33" s="1"/>
  <c r="U64" i="18"/>
  <c r="U667" i="33" s="1"/>
  <c r="U78" i="18"/>
  <c r="U679" i="33" s="1"/>
  <c r="U50" i="18"/>
  <c r="U653" i="33" s="1"/>
  <c r="U49" i="18"/>
  <c r="U652" i="33" s="1"/>
  <c r="U62" i="18"/>
  <c r="U665" i="33" s="1"/>
  <c r="U48" i="18"/>
  <c r="U651" i="33" s="1"/>
  <c r="U79" i="18"/>
  <c r="U680" i="33" s="1"/>
  <c r="U40" i="18"/>
  <c r="U643" i="33" s="1"/>
  <c r="U63" i="18"/>
  <c r="U666" i="33" s="1"/>
  <c r="U54" i="18"/>
  <c r="U65" i="18"/>
  <c r="U668" i="33" s="1"/>
  <c r="U67" i="18"/>
  <c r="U670" i="33" s="1"/>
  <c r="U43" i="18"/>
  <c r="U646" i="33" s="1"/>
  <c r="U52" i="18"/>
  <c r="U655" i="33" s="1"/>
  <c r="U56" i="18"/>
  <c r="U659" i="33" s="1"/>
  <c r="U55" i="18"/>
  <c r="U46" i="18"/>
  <c r="U649" i="33" s="1"/>
  <c r="U53" i="18"/>
  <c r="U656" i="33" s="1"/>
  <c r="U58" i="18"/>
  <c r="U661" i="33" s="1"/>
  <c r="U59" i="18"/>
  <c r="U662" i="33" s="1"/>
  <c r="U39" i="18"/>
  <c r="U642" i="33" s="1"/>
  <c r="U57" i="18"/>
  <c r="U660" i="33" s="1"/>
  <c r="U42" i="18"/>
  <c r="U645" i="33" s="1"/>
  <c r="K92" i="13" l="1"/>
  <c r="K29" i="18"/>
  <c r="U633" i="33"/>
  <c r="U36" i="18"/>
  <c r="U75" i="18" s="1"/>
  <c r="U147" i="18" s="1"/>
  <c r="U164" i="18" s="1"/>
  <c r="U658" i="33"/>
  <c r="K79" i="33"/>
  <c r="K134" i="14"/>
  <c r="K517" i="33" s="1"/>
  <c r="K125" i="14"/>
  <c r="K508" i="33" s="1"/>
  <c r="L102" i="14"/>
  <c r="K133" i="14"/>
  <c r="K68" i="33"/>
  <c r="L85" i="14"/>
  <c r="K124" i="14"/>
  <c r="K513" i="33" s="1"/>
  <c r="K504" i="33"/>
  <c r="M67" i="14"/>
  <c r="T77" i="18"/>
  <c r="K69" i="33" l="1"/>
  <c r="K80" i="33"/>
  <c r="K516" i="33"/>
  <c r="K138" i="14"/>
  <c r="K129" i="14"/>
  <c r="K512" i="33" s="1"/>
  <c r="K507" i="33"/>
  <c r="K119" i="14"/>
  <c r="K502" i="33" s="1"/>
  <c r="L104" i="14"/>
  <c r="L72" i="33"/>
  <c r="K120" i="14"/>
  <c r="K503" i="33" s="1"/>
  <c r="L87" i="14"/>
  <c r="L92" i="14" s="1"/>
  <c r="L62" i="33" s="1"/>
  <c r="L55" i="33"/>
  <c r="K44" i="33"/>
  <c r="L74" i="33" l="1"/>
  <c r="L105" i="14"/>
  <c r="L75" i="33" s="1"/>
  <c r="L106" i="14"/>
  <c r="L76" i="33" s="1"/>
  <c r="L93" i="14"/>
  <c r="L90" i="14"/>
  <c r="L60" i="33" s="1"/>
  <c r="L57" i="33"/>
  <c r="L89" i="14"/>
  <c r="L509" i="33"/>
  <c r="M74" i="14"/>
  <c r="L63" i="33" l="1"/>
  <c r="L107" i="14"/>
  <c r="L77" i="33" s="1"/>
  <c r="K637" i="33"/>
  <c r="L59" i="33"/>
  <c r="L504" i="33"/>
  <c r="K70" i="18"/>
  <c r="K673" i="33" s="1"/>
  <c r="K142" i="18"/>
  <c r="K743" i="33" s="1"/>
  <c r="K159" i="18"/>
  <c r="K758" i="33" s="1"/>
  <c r="L109" i="14" l="1"/>
  <c r="L79" i="33" s="1"/>
  <c r="L80" i="33" s="1"/>
  <c r="K760" i="33"/>
  <c r="K745" i="33"/>
  <c r="L134" i="14"/>
  <c r="L517" i="33" s="1"/>
  <c r="M102" i="14"/>
  <c r="M72" i="33" s="1"/>
  <c r="L125" i="14"/>
  <c r="L508" i="33" s="1"/>
  <c r="K71" i="18"/>
  <c r="K674" i="33" s="1"/>
  <c r="K160" i="18"/>
  <c r="K759" i="33" s="1"/>
  <c r="K32" i="18"/>
  <c r="K638" i="33" s="1"/>
  <c r="K166" i="18"/>
  <c r="K763" i="33" s="1"/>
  <c r="K143" i="18"/>
  <c r="K744" i="33" s="1"/>
  <c r="K675" i="33" l="1"/>
  <c r="M104" i="14"/>
  <c r="M106" i="14" s="1"/>
  <c r="M76" i="33" s="1"/>
  <c r="L120" i="14"/>
  <c r="L503" i="33" s="1"/>
  <c r="K766" i="33"/>
  <c r="M509" i="33"/>
  <c r="K167" i="18"/>
  <c r="K764" i="33" s="1"/>
  <c r="K767" i="33" l="1"/>
  <c r="M105" i="14"/>
  <c r="M75" i="33" s="1"/>
  <c r="M74" i="33"/>
  <c r="M504" i="33"/>
  <c r="N509" i="33" l="1"/>
  <c r="N504" i="33" l="1"/>
  <c r="O509" i="33" l="1"/>
  <c r="O504" i="33"/>
  <c r="P509" i="33" l="1"/>
  <c r="P504" i="33"/>
  <c r="Q108" i="14" l="1"/>
  <c r="Q78" i="33" s="1"/>
  <c r="V504" i="33" l="1"/>
  <c r="Q504" i="33"/>
  <c r="Q509" i="33"/>
  <c r="K84" i="13"/>
  <c r="K88" i="13" l="1"/>
  <c r="K40" i="33" s="1"/>
  <c r="K94" i="13"/>
  <c r="U509" i="33"/>
  <c r="V509" i="33"/>
  <c r="L81" i="13"/>
  <c r="K36" i="33"/>
  <c r="K45" i="33" l="1"/>
  <c r="L88" i="13"/>
  <c r="L87" i="13" s="1"/>
  <c r="M81" i="13"/>
  <c r="L36" i="33"/>
  <c r="M88" i="13" l="1"/>
  <c r="L39" i="33"/>
  <c r="L40" i="33"/>
  <c r="L33" i="33"/>
  <c r="L91" i="14"/>
  <c r="M33" i="33"/>
  <c r="M36" i="33"/>
  <c r="L45" i="33" l="1"/>
  <c r="M87" i="13"/>
  <c r="M39" i="33" s="1"/>
  <c r="N88" i="13"/>
  <c r="M40" i="33"/>
  <c r="M45" i="33"/>
  <c r="L61" i="33"/>
  <c r="L94" i="14"/>
  <c r="O88" i="13" l="1"/>
  <c r="N87" i="13"/>
  <c r="N39" i="33" s="1"/>
  <c r="N40" i="33"/>
  <c r="L96" i="14"/>
  <c r="L64" i="33"/>
  <c r="P88" i="13" l="1"/>
  <c r="O87" i="13"/>
  <c r="O39" i="33" s="1"/>
  <c r="O40" i="33"/>
  <c r="L98" i="14"/>
  <c r="L92" i="13" s="1"/>
  <c r="L66" i="33"/>
  <c r="L29" i="18" l="1"/>
  <c r="Q88" i="13"/>
  <c r="P87" i="13"/>
  <c r="P39" i="33" s="1"/>
  <c r="P40" i="33"/>
  <c r="L124" i="14"/>
  <c r="M85" i="14"/>
  <c r="L68" i="33"/>
  <c r="L133" i="14"/>
  <c r="L44" i="33"/>
  <c r="L69" i="33" l="1"/>
  <c r="Q40" i="33"/>
  <c r="Q87" i="13"/>
  <c r="Q39" i="33" s="1"/>
  <c r="L138" i="14"/>
  <c r="L516" i="33"/>
  <c r="M87" i="14"/>
  <c r="M92" i="14" s="1"/>
  <c r="M62" i="33" s="1"/>
  <c r="M55" i="33"/>
  <c r="L637" i="33"/>
  <c r="L142" i="18"/>
  <c r="L143" i="18" s="1"/>
  <c r="L744" i="33" s="1"/>
  <c r="L70" i="18"/>
  <c r="L32" i="18" s="1"/>
  <c r="L159" i="18"/>
  <c r="L160" i="18" s="1"/>
  <c r="L759" i="33" s="1"/>
  <c r="L129" i="14"/>
  <c r="L507" i="33"/>
  <c r="L119" i="14"/>
  <c r="L502" i="33" s="1"/>
  <c r="L71" i="18" l="1"/>
  <c r="L674" i="33" s="1"/>
  <c r="M57" i="33"/>
  <c r="M89" i="14"/>
  <c r="M91" i="14"/>
  <c r="M61" i="33" s="1"/>
  <c r="M93" i="14"/>
  <c r="M90" i="14"/>
  <c r="M60" i="33" s="1"/>
  <c r="L513" i="33"/>
  <c r="L758" i="33"/>
  <c r="L743" i="33"/>
  <c r="L638" i="33"/>
  <c r="L512" i="33"/>
  <c r="L673" i="33"/>
  <c r="L166" i="18"/>
  <c r="M63" i="33" l="1"/>
  <c r="M107" i="14"/>
  <c r="L760" i="33"/>
  <c r="L745" i="33"/>
  <c r="L675" i="33"/>
  <c r="M94" i="14"/>
  <c r="M59" i="33"/>
  <c r="L763" i="33"/>
  <c r="L167" i="18"/>
  <c r="M77" i="33" l="1"/>
  <c r="M109" i="14"/>
  <c r="L764" i="33"/>
  <c r="L766" i="33"/>
  <c r="M64" i="33"/>
  <c r="M96" i="14"/>
  <c r="M134" i="14" l="1"/>
  <c r="N102" i="14"/>
  <c r="M79" i="33"/>
  <c r="M80" i="33" s="1"/>
  <c r="M125" i="14"/>
  <c r="L767" i="33"/>
  <c r="M66" i="33"/>
  <c r="M98" i="14"/>
  <c r="M92" i="13" s="1"/>
  <c r="M120" i="14" l="1"/>
  <c r="M503" i="33" s="1"/>
  <c r="M508" i="33"/>
  <c r="N72" i="33"/>
  <c r="N104" i="14"/>
  <c r="M517" i="33"/>
  <c r="M29" i="18"/>
  <c r="N85" i="14"/>
  <c r="M44" i="33"/>
  <c r="M124" i="14"/>
  <c r="M68" i="33"/>
  <c r="M133" i="14"/>
  <c r="N105" i="14" l="1"/>
  <c r="N75" i="33" s="1"/>
  <c r="N106" i="14"/>
  <c r="N76" i="33" s="1"/>
  <c r="N74" i="33"/>
  <c r="M69" i="33"/>
  <c r="M637" i="33"/>
  <c r="M142" i="18"/>
  <c r="M143" i="18" s="1"/>
  <c r="M744" i="33" s="1"/>
  <c r="M70" i="18"/>
  <c r="M71" i="18" s="1"/>
  <c r="M674" i="33" s="1"/>
  <c r="M159" i="18"/>
  <c r="M160" i="18" s="1"/>
  <c r="M759" i="33" s="1"/>
  <c r="M138" i="14"/>
  <c r="M516" i="33"/>
  <c r="M507" i="33"/>
  <c r="M129" i="14"/>
  <c r="M119" i="14"/>
  <c r="M502" i="33" s="1"/>
  <c r="N87" i="14"/>
  <c r="N92" i="14" s="1"/>
  <c r="N62" i="33" s="1"/>
  <c r="N55" i="33"/>
  <c r="M675" i="33" l="1"/>
  <c r="M32" i="18"/>
  <c r="M638" i="33" s="1"/>
  <c r="M512" i="33"/>
  <c r="N57" i="33"/>
  <c r="N90" i="14"/>
  <c r="N60" i="33" s="1"/>
  <c r="N91" i="14"/>
  <c r="N61" i="33" s="1"/>
  <c r="N89" i="14"/>
  <c r="N93" i="14"/>
  <c r="M758" i="33"/>
  <c r="M673" i="33"/>
  <c r="M166" i="18"/>
  <c r="M743" i="33"/>
  <c r="M513" i="33"/>
  <c r="N63" i="33" l="1"/>
  <c r="N107" i="14"/>
  <c r="M745" i="33"/>
  <c r="M760" i="33"/>
  <c r="N59" i="33"/>
  <c r="N94" i="14"/>
  <c r="M763" i="33"/>
  <c r="M167" i="18"/>
  <c r="N77" i="33" l="1"/>
  <c r="N109" i="14"/>
  <c r="M766" i="33"/>
  <c r="M764" i="33"/>
  <c r="N64" i="33"/>
  <c r="N96" i="14"/>
  <c r="O102" i="14" l="1"/>
  <c r="N125" i="14"/>
  <c r="N79" i="33"/>
  <c r="N80" i="33" s="1"/>
  <c r="R109" i="14"/>
  <c r="N134" i="14"/>
  <c r="M767" i="33"/>
  <c r="N98" i="14"/>
  <c r="N92" i="13" s="1"/>
  <c r="N66" i="33"/>
  <c r="N508" i="33" l="1"/>
  <c r="N120" i="14"/>
  <c r="N503" i="33" s="1"/>
  <c r="U79" i="33"/>
  <c r="U80" i="33" s="1"/>
  <c r="S109" i="14"/>
  <c r="N517" i="33"/>
  <c r="O104" i="14"/>
  <c r="O72" i="33"/>
  <c r="N29" i="18"/>
  <c r="N124" i="14"/>
  <c r="O85" i="14"/>
  <c r="N68" i="33"/>
  <c r="N44" i="33"/>
  <c r="N133" i="14"/>
  <c r="O74" i="33" l="1"/>
  <c r="O105" i="14"/>
  <c r="O75" i="33" s="1"/>
  <c r="O106" i="14"/>
  <c r="O76" i="33" s="1"/>
  <c r="V79" i="33"/>
  <c r="S120" i="14"/>
  <c r="V503" i="33" s="1"/>
  <c r="N69" i="33"/>
  <c r="O87" i="14"/>
  <c r="O92" i="14" s="1"/>
  <c r="O62" i="33" s="1"/>
  <c r="O55" i="33"/>
  <c r="N637" i="33"/>
  <c r="N70" i="18"/>
  <c r="N159" i="18"/>
  <c r="N160" i="18" s="1"/>
  <c r="N759" i="33" s="1"/>
  <c r="N142" i="18"/>
  <c r="N143" i="18" s="1"/>
  <c r="N744" i="33" s="1"/>
  <c r="N516" i="33"/>
  <c r="N138" i="14"/>
  <c r="N129" i="14"/>
  <c r="N507" i="33"/>
  <c r="N119" i="14"/>
  <c r="N502" i="33" s="1"/>
  <c r="O57" i="33" l="1"/>
  <c r="O89" i="14"/>
  <c r="O91" i="14"/>
  <c r="O61" i="33" s="1"/>
  <c r="O93" i="14"/>
  <c r="O90" i="14"/>
  <c r="O60" i="33" s="1"/>
  <c r="N673" i="33"/>
  <c r="N166" i="18"/>
  <c r="N71" i="18"/>
  <c r="N674" i="33" s="1"/>
  <c r="N32" i="18"/>
  <c r="N743" i="33"/>
  <c r="N512" i="33"/>
  <c r="N513" i="33"/>
  <c r="N758" i="33"/>
  <c r="O63" i="33" l="1"/>
  <c r="O107" i="14"/>
  <c r="N675" i="33"/>
  <c r="N745" i="33"/>
  <c r="N760" i="33"/>
  <c r="N763" i="33"/>
  <c r="N167" i="18"/>
  <c r="N638" i="33"/>
  <c r="O59" i="33"/>
  <c r="O94" i="14"/>
  <c r="O77" i="33" l="1"/>
  <c r="O109" i="14"/>
  <c r="N766" i="33"/>
  <c r="O64" i="33"/>
  <c r="O96" i="14"/>
  <c r="N764" i="33"/>
  <c r="O125" i="14" l="1"/>
  <c r="P102" i="14"/>
  <c r="O79" i="33"/>
  <c r="O80" i="33" s="1"/>
  <c r="O134" i="14"/>
  <c r="N767" i="33"/>
  <c r="O98" i="14"/>
  <c r="O92" i="13" s="1"/>
  <c r="O66" i="33"/>
  <c r="O517" i="33" l="1"/>
  <c r="P104" i="14"/>
  <c r="P72" i="33"/>
  <c r="O508" i="33"/>
  <c r="O120" i="14"/>
  <c r="O503" i="33" s="1"/>
  <c r="O29" i="18"/>
  <c r="O44" i="33"/>
  <c r="O124" i="14"/>
  <c r="P85" i="14"/>
  <c r="O68" i="33"/>
  <c r="O133" i="14"/>
  <c r="P106" i="14" l="1"/>
  <c r="P76" i="33" s="1"/>
  <c r="P74" i="33"/>
  <c r="P105" i="14"/>
  <c r="P75" i="33" s="1"/>
  <c r="O69" i="33"/>
  <c r="P87" i="14"/>
  <c r="P92" i="14" s="1"/>
  <c r="P62" i="33" s="1"/>
  <c r="P55" i="33"/>
  <c r="O138" i="14"/>
  <c r="O516" i="33"/>
  <c r="O129" i="14"/>
  <c r="O507" i="33"/>
  <c r="O119" i="14"/>
  <c r="O502" i="33" s="1"/>
  <c r="O637" i="33"/>
  <c r="O70" i="18"/>
  <c r="O159" i="18"/>
  <c r="O160" i="18" s="1"/>
  <c r="O759" i="33" s="1"/>
  <c r="O142" i="18"/>
  <c r="O513" i="33" l="1"/>
  <c r="O673" i="33"/>
  <c r="O166" i="18"/>
  <c r="O743" i="33"/>
  <c r="O512" i="33"/>
  <c r="O71" i="18"/>
  <c r="O674" i="33" s="1"/>
  <c r="O758" i="33"/>
  <c r="O143" i="18"/>
  <c r="O744" i="33" s="1"/>
  <c r="O32" i="18"/>
  <c r="P90" i="14"/>
  <c r="P60" i="33" s="1"/>
  <c r="P93" i="14"/>
  <c r="P91" i="14"/>
  <c r="P61" i="33" s="1"/>
  <c r="P57" i="33"/>
  <c r="P89" i="14"/>
  <c r="P63" i="33" l="1"/>
  <c r="P107" i="14"/>
  <c r="O675" i="33"/>
  <c r="O760" i="33"/>
  <c r="O745" i="33"/>
  <c r="O763" i="33"/>
  <c r="O167" i="18"/>
  <c r="O638" i="33"/>
  <c r="P59" i="33"/>
  <c r="P94" i="14"/>
  <c r="P77" i="33" l="1"/>
  <c r="P109" i="14"/>
  <c r="O766" i="33"/>
  <c r="P64" i="33"/>
  <c r="P96" i="14"/>
  <c r="O764" i="33"/>
  <c r="Q102" i="14" l="1"/>
  <c r="P79" i="33"/>
  <c r="P80" i="33" s="1"/>
  <c r="P125" i="14"/>
  <c r="P134" i="14"/>
  <c r="O767" i="33"/>
  <c r="P98" i="14"/>
  <c r="P92" i="13" s="1"/>
  <c r="P66" i="33"/>
  <c r="P508" i="33" l="1"/>
  <c r="P120" i="14"/>
  <c r="P503" i="33" s="1"/>
  <c r="P517" i="33"/>
  <c r="Q72" i="33"/>
  <c r="Q104" i="14"/>
  <c r="P29" i="18"/>
  <c r="P44" i="33"/>
  <c r="P68" i="33"/>
  <c r="P124" i="14"/>
  <c r="Q85" i="14"/>
  <c r="P133" i="14"/>
  <c r="Q105" i="14" l="1"/>
  <c r="Q75" i="33" s="1"/>
  <c r="Q106" i="14"/>
  <c r="Q76" i="33" s="1"/>
  <c r="Q74" i="33"/>
  <c r="P69" i="33"/>
  <c r="P138" i="14"/>
  <c r="P516" i="33"/>
  <c r="P637" i="33"/>
  <c r="P70" i="18"/>
  <c r="P142" i="18"/>
  <c r="P159" i="18"/>
  <c r="Q55" i="33"/>
  <c r="Q87" i="14"/>
  <c r="Q92" i="14" s="1"/>
  <c r="Q62" i="33" s="1"/>
  <c r="P129" i="14"/>
  <c r="P507" i="33"/>
  <c r="P119" i="14"/>
  <c r="P502" i="33" s="1"/>
  <c r="Q89" i="14" l="1"/>
  <c r="Q93" i="14"/>
  <c r="Q57" i="33"/>
  <c r="Q90" i="14"/>
  <c r="Q60" i="33" s="1"/>
  <c r="Q91" i="14"/>
  <c r="Q61" i="33" s="1"/>
  <c r="P743" i="33"/>
  <c r="P143" i="18"/>
  <c r="P744" i="33" s="1"/>
  <c r="P758" i="33"/>
  <c r="P673" i="33"/>
  <c r="P166" i="18"/>
  <c r="P71" i="18"/>
  <c r="P674" i="33" s="1"/>
  <c r="P160" i="18"/>
  <c r="P759" i="33" s="1"/>
  <c r="P513" i="33"/>
  <c r="P512" i="33"/>
  <c r="P32" i="18"/>
  <c r="Q63" i="33" l="1"/>
  <c r="Q107" i="14"/>
  <c r="P760" i="33"/>
  <c r="P745" i="33"/>
  <c r="P675" i="33"/>
  <c r="P763" i="33"/>
  <c r="P167" i="18"/>
  <c r="P638" i="33"/>
  <c r="Q59" i="33"/>
  <c r="Q94" i="14"/>
  <c r="Q77" i="33" l="1"/>
  <c r="Q109" i="14"/>
  <c r="P766" i="33"/>
  <c r="Q64" i="33"/>
  <c r="Q96" i="14"/>
  <c r="P764" i="33"/>
  <c r="Q79" i="33" l="1"/>
  <c r="Q80" i="33" s="1"/>
  <c r="Q125" i="14"/>
  <c r="Q134" i="14"/>
  <c r="P767" i="33"/>
  <c r="Q66" i="33"/>
  <c r="Q98" i="14"/>
  <c r="Q92" i="13" s="1"/>
  <c r="Q508" i="33" l="1"/>
  <c r="Q120" i="14"/>
  <c r="Q503" i="33" s="1"/>
  <c r="R125" i="14"/>
  <c r="Q517" i="33"/>
  <c r="R134" i="14"/>
  <c r="U517" i="33" s="1"/>
  <c r="R98" i="14"/>
  <c r="U68" i="33" s="1"/>
  <c r="Q29" i="18"/>
  <c r="Q68" i="33"/>
  <c r="Q124" i="14"/>
  <c r="Q44" i="33"/>
  <c r="Q133" i="14"/>
  <c r="U508" i="33" l="1"/>
  <c r="S125" i="14"/>
  <c r="V508" i="33" s="1"/>
  <c r="T125" i="14"/>
  <c r="S98" i="14"/>
  <c r="S119" i="14" s="1"/>
  <c r="V502" i="33" s="1"/>
  <c r="Q69" i="33"/>
  <c r="U69" i="33"/>
  <c r="Q507" i="33"/>
  <c r="Q129" i="14"/>
  <c r="Q119" i="14"/>
  <c r="Q502" i="33" s="1"/>
  <c r="R124" i="14"/>
  <c r="Q138" i="14"/>
  <c r="R138" i="14" s="1"/>
  <c r="S138" i="14" s="1"/>
  <c r="Q516" i="33"/>
  <c r="R133" i="14"/>
  <c r="Q70" i="18"/>
  <c r="Q32" i="18" s="1"/>
  <c r="Q638" i="33" s="1"/>
  <c r="Q159" i="18"/>
  <c r="Q758" i="33" s="1"/>
  <c r="Q142" i="18"/>
  <c r="Q743" i="33" s="1"/>
  <c r="Q637" i="33"/>
  <c r="R29" i="18"/>
  <c r="V68" i="33" l="1"/>
  <c r="Q760" i="33"/>
  <c r="Q745" i="33"/>
  <c r="Q71" i="18"/>
  <c r="Q674" i="33" s="1"/>
  <c r="Q143" i="18"/>
  <c r="Q744" i="33" s="1"/>
  <c r="U507" i="33"/>
  <c r="T124" i="14"/>
  <c r="S124" i="14"/>
  <c r="Q513" i="33"/>
  <c r="U513" i="33"/>
  <c r="Q160" i="18"/>
  <c r="Q759" i="33" s="1"/>
  <c r="Q673" i="33"/>
  <c r="Q166" i="18"/>
  <c r="Q512" i="33"/>
  <c r="R129" i="14"/>
  <c r="U512" i="33" s="1"/>
  <c r="R637" i="33"/>
  <c r="R142" i="18"/>
  <c r="R743" i="33" s="1"/>
  <c r="R70" i="18"/>
  <c r="S29" i="18"/>
  <c r="R159" i="18"/>
  <c r="R758" i="33" s="1"/>
  <c r="U516" i="33"/>
  <c r="T138" i="14"/>
  <c r="Q675" i="33" l="1"/>
  <c r="R760" i="33"/>
  <c r="R745" i="33"/>
  <c r="R160" i="18"/>
  <c r="R759" i="33" s="1"/>
  <c r="S637" i="33"/>
  <c r="S159" i="18"/>
  <c r="S758" i="33" s="1"/>
  <c r="S70" i="18"/>
  <c r="S71" i="18" s="1"/>
  <c r="S674" i="33" s="1"/>
  <c r="T29" i="18"/>
  <c r="S142" i="18"/>
  <c r="S743" i="33" s="1"/>
  <c r="R673" i="33"/>
  <c r="R166" i="18"/>
  <c r="T131" i="14"/>
  <c r="R143" i="18"/>
  <c r="R744" i="33" s="1"/>
  <c r="V507" i="33"/>
  <c r="S129" i="14"/>
  <c r="R32" i="18"/>
  <c r="R638" i="33" s="1"/>
  <c r="Q763" i="33"/>
  <c r="Q167" i="18"/>
  <c r="R71" i="18"/>
  <c r="R674" i="33" s="1"/>
  <c r="Q764" i="33" l="1"/>
  <c r="Q767" i="33" s="1"/>
  <c r="R675" i="33"/>
  <c r="Q766" i="33"/>
  <c r="S745" i="33"/>
  <c r="S675" i="33"/>
  <c r="S760" i="33"/>
  <c r="S160" i="18"/>
  <c r="S759" i="33" s="1"/>
  <c r="V512" i="33"/>
  <c r="T129" i="14"/>
  <c r="T70" i="18"/>
  <c r="T32" i="18" s="1"/>
  <c r="T159" i="18"/>
  <c r="T637" i="33"/>
  <c r="T142" i="18"/>
  <c r="U29" i="18"/>
  <c r="U637" i="33" s="1"/>
  <c r="S143" i="18"/>
  <c r="S744" i="33" s="1"/>
  <c r="R763" i="33"/>
  <c r="R167" i="18"/>
  <c r="S673" i="33"/>
  <c r="S166" i="18"/>
  <c r="V513" i="33"/>
  <c r="S32" i="18"/>
  <c r="S638" i="33" s="1"/>
  <c r="R764" i="33" l="1"/>
  <c r="R767" i="33" s="1"/>
  <c r="R766" i="33"/>
  <c r="T71" i="18"/>
  <c r="T674" i="33" s="1"/>
  <c r="T743" i="33"/>
  <c r="U142" i="18"/>
  <c r="T638" i="33"/>
  <c r="U32" i="18"/>
  <c r="U638" i="33" s="1"/>
  <c r="T758" i="33"/>
  <c r="U159" i="18"/>
  <c r="T673" i="33"/>
  <c r="T166" i="18"/>
  <c r="U70" i="18"/>
  <c r="T143" i="18"/>
  <c r="T744" i="33" s="1"/>
  <c r="S763" i="33"/>
  <c r="S167" i="18"/>
  <c r="T160" i="18"/>
  <c r="T759" i="33" s="1"/>
  <c r="S764" i="33" l="1"/>
  <c r="S767" i="33" s="1"/>
  <c r="S766" i="33"/>
  <c r="T745" i="33"/>
  <c r="T675" i="33"/>
  <c r="T760" i="33"/>
  <c r="U758" i="33"/>
  <c r="V159" i="18"/>
  <c r="U673" i="33"/>
  <c r="V70" i="18"/>
  <c r="U166" i="18"/>
  <c r="U743" i="33"/>
  <c r="V142" i="18"/>
  <c r="T763" i="33"/>
  <c r="T167" i="18"/>
  <c r="U763" i="33" l="1"/>
  <c r="U766" i="33" s="1"/>
  <c r="U745" i="33"/>
  <c r="U760" i="33"/>
  <c r="U675" i="33"/>
  <c r="T766" i="33"/>
  <c r="T764" i="33"/>
  <c r="U167" i="18"/>
  <c r="U764" i="33" l="1"/>
  <c r="U767" i="33" s="1"/>
  <c r="T767" i="33"/>
</calcChain>
</file>

<file path=xl/comments1.xml><?xml version="1.0" encoding="utf-8"?>
<comments xmlns="http://schemas.openxmlformats.org/spreadsheetml/2006/main">
  <authors>
    <author>Anthony Rush</author>
  </authors>
  <commentList>
    <comment ref="B67" authorId="0" shapeId="0">
      <text>
        <r>
          <rPr>
            <b/>
            <sz val="9"/>
            <color indexed="81"/>
            <rFont val="Tahoma"/>
            <family val="2"/>
          </rPr>
          <t>Anthony Rush:</t>
        </r>
        <r>
          <rPr>
            <sz val="9"/>
            <color indexed="81"/>
            <rFont val="Tahoma"/>
            <family val="2"/>
          </rPr>
          <t xml:space="preserve">
Try going here for a list:
https://www.lgnsw.org.au/about-us/council-links</t>
        </r>
      </text>
    </comment>
  </commentList>
</comments>
</file>

<file path=xl/comments2.xml><?xml version="1.0" encoding="utf-8"?>
<comments xmlns="http://schemas.openxmlformats.org/spreadsheetml/2006/main">
  <authors>
    <author>Bee Thompson</author>
    <author>Edward Jenkins</author>
    <author>Jisoo Mok</author>
    <author>Son Vu</author>
  </authors>
  <commentList>
    <comment ref="K40" authorId="0" shapeId="0">
      <text>
        <r>
          <rPr>
            <b/>
            <sz val="9"/>
            <color indexed="81"/>
            <rFont val="Tahoma"/>
            <family val="2"/>
          </rPr>
          <t>IPART:</t>
        </r>
        <r>
          <rPr>
            <sz val="9"/>
            <color indexed="81"/>
            <rFont val="Tahoma"/>
            <family val="2"/>
          </rPr>
          <t xml:space="preserve">
Select 'no' if, in the absence of the proposed SV (entered in section B below), the rate peg only would apply from Year 1.</t>
        </r>
      </text>
    </comment>
    <comment ref="W40" authorId="0" shapeId="0">
      <text>
        <r>
          <rPr>
            <b/>
            <sz val="9"/>
            <color indexed="81"/>
            <rFont val="Tahoma"/>
            <family val="2"/>
          </rPr>
          <t>Bee Thompson:</t>
        </r>
        <r>
          <rPr>
            <sz val="9"/>
            <color indexed="81"/>
            <rFont val="Tahoma"/>
            <family val="2"/>
          </rPr>
          <t xml:space="preserve">
Do not delete - yes is coded 1 for easy reference elsewhere in the workbook</t>
        </r>
      </text>
    </comment>
    <comment ref="L48" authorId="0" shapeId="0">
      <text>
        <r>
          <rPr>
            <b/>
            <sz val="9"/>
            <color indexed="81"/>
            <rFont val="Tahoma"/>
            <family val="2"/>
          </rPr>
          <t>IPART:</t>
        </r>
        <r>
          <rPr>
            <sz val="9"/>
            <color indexed="81"/>
            <rFont val="Tahoma"/>
            <family val="2"/>
          </rPr>
          <t xml:space="preserve">
Expressed as a percentage of the current year's general income net of the $ value of expiring special variations.</t>
        </r>
      </text>
    </comment>
    <comment ref="M48" authorId="0" shapeId="0">
      <text>
        <r>
          <rPr>
            <b/>
            <sz val="9"/>
            <color indexed="81"/>
            <rFont val="Tahoma"/>
            <family val="2"/>
          </rPr>
          <t>IPART:</t>
        </r>
        <r>
          <rPr>
            <sz val="9"/>
            <color indexed="81"/>
            <rFont val="Tahoma"/>
            <family val="2"/>
          </rPr>
          <t xml:space="preserve">
Some councils may also wish to claim an adjustment for Crown land. Refer to the Office of Local Government (OLG) for advice on this dollar amount.</t>
        </r>
      </text>
    </comment>
    <comment ref="L49" authorId="0" shapeId="0">
      <text>
        <r>
          <rPr>
            <b/>
            <sz val="9"/>
            <color indexed="81"/>
            <rFont val="Tahoma"/>
            <family val="2"/>
          </rPr>
          <t>IPART:</t>
        </r>
        <r>
          <rPr>
            <sz val="9"/>
            <color indexed="81"/>
            <rFont val="Tahoma"/>
            <family val="2"/>
          </rPr>
          <t xml:space="preserve">
Expressed as a percentage of the current year's general income net of the $ value of expiring special variations.</t>
        </r>
      </text>
    </comment>
    <comment ref="L50" authorId="0" shapeId="0">
      <text>
        <r>
          <rPr>
            <b/>
            <sz val="9"/>
            <color indexed="81"/>
            <rFont val="Tahoma"/>
            <family val="2"/>
          </rPr>
          <t>IPART:</t>
        </r>
        <r>
          <rPr>
            <sz val="9"/>
            <color indexed="81"/>
            <rFont val="Tahoma"/>
            <family val="2"/>
          </rPr>
          <t xml:space="preserve">
Expressed as a percentage of the current year's general income net of the $ value of expiring special variations.</t>
        </r>
      </text>
    </comment>
    <comment ref="M50" authorId="0" shapeId="0">
      <text>
        <r>
          <rPr>
            <b/>
            <sz val="9"/>
            <color indexed="81"/>
            <rFont val="Tahoma"/>
            <family val="2"/>
          </rPr>
          <t xml:space="preserve">IPART:
</t>
        </r>
        <r>
          <rPr>
            <sz val="9"/>
            <color indexed="81"/>
            <rFont val="Tahoma"/>
            <family val="2"/>
          </rPr>
          <t>If Council claimed any valuation objections in the previous year, notional general income must be adjusted back to its correct level.
This adjustment should be verified by OLG before submission to IPART.</t>
        </r>
      </text>
    </comment>
    <comment ref="W57" authorId="0" shapeId="0">
      <text>
        <r>
          <rPr>
            <b/>
            <sz val="9"/>
            <color indexed="81"/>
            <rFont val="Tahoma"/>
            <family val="2"/>
          </rPr>
          <t>Bee Thompson:</t>
        </r>
        <r>
          <rPr>
            <sz val="9"/>
            <color indexed="81"/>
            <rFont val="Tahoma"/>
            <family val="2"/>
          </rPr>
          <t xml:space="preserve">
Do not delete. 1 = s508(2), 2 = S508A</t>
        </r>
      </text>
    </comment>
    <comment ref="W58" authorId="0" shapeId="0">
      <text>
        <r>
          <rPr>
            <b/>
            <sz val="9"/>
            <color indexed="81"/>
            <rFont val="Tahoma"/>
            <family val="2"/>
          </rPr>
          <t>Bee Thompson:</t>
        </r>
        <r>
          <rPr>
            <sz val="9"/>
            <color indexed="81"/>
            <rFont val="Tahoma"/>
            <family val="2"/>
          </rPr>
          <t xml:space="preserve">
Do not delete - number of Yrs s508A SV applies</t>
        </r>
      </text>
    </comment>
    <comment ref="B59" authorId="0" shapeId="0">
      <text>
        <r>
          <rPr>
            <b/>
            <sz val="9"/>
            <color indexed="81"/>
            <rFont val="Tahoma"/>
            <family val="2"/>
          </rPr>
          <t>IPART:</t>
        </r>
        <r>
          <rPr>
            <sz val="9"/>
            <color indexed="81"/>
            <rFont val="Tahoma"/>
            <family val="2"/>
          </rPr>
          <t xml:space="preserve">
If council intends to apply for a 'Combined' special variation, please discuss with IPART prior to submission. A 'combined SV' means part of the special variation is temporary, and the remainder is permanent</t>
        </r>
      </text>
    </comment>
    <comment ref="B61" authorId="0" shapeId="0">
      <text>
        <r>
          <rPr>
            <b/>
            <sz val="9"/>
            <color indexed="81"/>
            <rFont val="Tahoma"/>
            <family val="2"/>
          </rPr>
          <t>IPART:</t>
        </r>
        <r>
          <rPr>
            <sz val="9"/>
            <color indexed="81"/>
            <rFont val="Tahoma"/>
            <family val="2"/>
          </rPr>
          <t xml:space="preserve">
Enter in the total number of years before the proposed temporary special variation is due to expire i.e. 5, 10, 20.  
If the special variation is a combination of a permanent and temporary increase, please discuss with IPART prior to submission</t>
        </r>
      </text>
    </comment>
    <comment ref="W61" authorId="0" shapeId="0">
      <text>
        <r>
          <rPr>
            <b/>
            <sz val="9"/>
            <color indexed="81"/>
            <rFont val="Tahoma"/>
            <family val="2"/>
          </rPr>
          <t>Bee Thompson:</t>
        </r>
        <r>
          <rPr>
            <sz val="9"/>
            <color indexed="81"/>
            <rFont val="Tahoma"/>
            <family val="2"/>
          </rPr>
          <t xml:space="preserve">
Do not delete - number of years used in workbook</t>
        </r>
      </text>
    </comment>
    <comment ref="K62" authorId="1" shapeId="0">
      <text>
        <r>
          <rPr>
            <b/>
            <sz val="9"/>
            <color indexed="81"/>
            <rFont val="Tahoma"/>
            <family val="2"/>
          </rPr>
          <t>IPART:</t>
        </r>
        <r>
          <rPr>
            <sz val="9"/>
            <color indexed="81"/>
            <rFont val="Tahoma"/>
            <family val="2"/>
          </rPr>
          <t xml:space="preserve">
This will default to 2.5% if no council is selected.</t>
        </r>
      </text>
    </comment>
    <comment ref="B63" authorId="0" shapeId="0">
      <text>
        <r>
          <rPr>
            <b/>
            <sz val="9"/>
            <color indexed="81"/>
            <rFont val="Tahoma"/>
            <family val="2"/>
          </rPr>
          <t>IPART:</t>
        </r>
        <r>
          <rPr>
            <sz val="9"/>
            <color indexed="81"/>
            <rFont val="Tahoma"/>
            <family val="2"/>
          </rPr>
          <t xml:space="preserve">
Enter the total percentage increase to general income being sought in the first year of the special variation, excluding the rate peg increase and  other income adjustments due to catch ups/excesses, valuation objections and Crown Land adjustments</t>
        </r>
      </text>
    </comment>
    <comment ref="K63" authorId="2" shapeId="0">
      <text>
        <r>
          <rPr>
            <b/>
            <sz val="9"/>
            <color indexed="81"/>
            <rFont val="Tahoma"/>
            <family val="2"/>
          </rPr>
          <t xml:space="preserve">IPART: </t>
        </r>
        <r>
          <rPr>
            <sz val="9"/>
            <color indexed="81"/>
            <rFont val="Tahoma"/>
            <family val="2"/>
          </rPr>
          <t xml:space="preserve">Years 2-7 SV percentages (if applicable) are to be entered into the blue cells in row 84.
</t>
        </r>
      </text>
    </comment>
    <comment ref="L64" authorId="0" shapeId="0">
      <text>
        <r>
          <rPr>
            <b/>
            <sz val="9"/>
            <color indexed="81"/>
            <rFont val="Tahoma"/>
            <family val="2"/>
          </rPr>
          <t>IPART:</t>
        </r>
        <r>
          <rPr>
            <sz val="9"/>
            <color indexed="81"/>
            <rFont val="Tahoma"/>
            <family val="2"/>
          </rPr>
          <t xml:space="preserve">
Enter the % of the Combined SV that is temporary</t>
        </r>
      </text>
    </comment>
    <comment ref="W65" authorId="0" shapeId="0">
      <text>
        <r>
          <rPr>
            <b/>
            <sz val="9"/>
            <color indexed="81"/>
            <rFont val="Tahoma"/>
            <family val="2"/>
          </rPr>
          <t>IPART:</t>
        </r>
        <r>
          <rPr>
            <sz val="9"/>
            <color indexed="81"/>
            <rFont val="Tahoma"/>
            <family val="2"/>
          </rPr>
          <t xml:space="preserve">
DO NOT DELETE
Combined SV = 1, otherwise = 0</t>
        </r>
      </text>
    </comment>
    <comment ref="B75" authorId="0" shapeId="0">
      <text>
        <r>
          <rPr>
            <b/>
            <sz val="9"/>
            <color indexed="81"/>
            <rFont val="Tahoma"/>
            <family val="2"/>
          </rPr>
          <t>IPART:</t>
        </r>
        <r>
          <rPr>
            <sz val="9"/>
            <color indexed="81"/>
            <rFont val="Tahoma"/>
            <family val="2"/>
          </rPr>
          <t xml:space="preserve">
These increases are due to the SV (or SVs) and exclude other income adjustments.</t>
        </r>
      </text>
    </comment>
    <comment ref="B76" authorId="0" shapeId="0">
      <text>
        <r>
          <rPr>
            <b/>
            <sz val="9"/>
            <color indexed="81"/>
            <rFont val="Tahoma"/>
            <family val="2"/>
          </rPr>
          <t>IPART:</t>
        </r>
        <r>
          <rPr>
            <sz val="9"/>
            <color indexed="81"/>
            <rFont val="Tahoma"/>
            <family val="2"/>
          </rPr>
          <t xml:space="preserve">
Enter the full SV for each year in which it applies, and leave the remaining cells blank (or enter 0%). The assumed rate peg of 2.5% will automatically apply in the remaining years. 
For example, assume the council is proposing a (new) four-year SV and has an existing total SV of 6% (incl rate peg) that applies in Years 1 and 2.  The council would enter 6% in columns K and L, and leave columns M and N blank (or enter 0%). The assumed rate peg of 2.5% will automatically apply in Years 3 and 4 (columns I and J).  </t>
        </r>
      </text>
    </comment>
    <comment ref="B78" authorId="3" shapeId="0">
      <text>
        <r>
          <rPr>
            <b/>
            <sz val="9"/>
            <color indexed="81"/>
            <rFont val="Tahoma"/>
            <family val="2"/>
          </rPr>
          <t>IPART:</t>
        </r>
        <r>
          <rPr>
            <sz val="9"/>
            <color indexed="81"/>
            <rFont val="Tahoma"/>
            <family val="2"/>
          </rPr>
          <t xml:space="preserve">
Enter the assumed rate peg used by council. The assumed rate peg can either be 2.5% as advised by the OLG guidelines or a different assumed rate peg percentage, in which case the rationale should be explained in the Part B aplication form. For the years beyond the proposed SV period, the assumed rate peg of 2.5% is used.</t>
        </r>
      </text>
    </comment>
    <comment ref="B84" authorId="0" shapeId="0">
      <text>
        <r>
          <rPr>
            <b/>
            <sz val="9"/>
            <color indexed="81"/>
            <rFont val="Tahoma"/>
            <family val="2"/>
          </rPr>
          <t>IPART:</t>
        </r>
        <r>
          <rPr>
            <sz val="9"/>
            <color indexed="81"/>
            <rFont val="Tahoma"/>
            <family val="2"/>
          </rPr>
          <t xml:space="preserve">
This % increase reflects the additional income sought by Council in the first year (including the rate peg/existing SV income) plus any Crown land adjustments.
</t>
        </r>
      </text>
    </comment>
    <comment ref="K84" authorId="0" shapeId="0">
      <text>
        <r>
          <rPr>
            <b/>
            <sz val="9"/>
            <color indexed="81"/>
            <rFont val="Tahoma"/>
            <family val="2"/>
          </rPr>
          <t>IPART:</t>
        </r>
        <r>
          <rPr>
            <sz val="9"/>
            <color indexed="81"/>
            <rFont val="Tahoma"/>
            <family val="2"/>
          </rPr>
          <t xml:space="preserve">
This % increase reflects the additional income sought by Council in the first year (inc. the rate peg/existing SV income) plus any Crown land adjustments.
</t>
        </r>
      </text>
    </comment>
    <comment ref="B85" authorId="0" shapeId="0">
      <text>
        <r>
          <rPr>
            <b/>
            <sz val="9"/>
            <color indexed="81"/>
            <rFont val="Tahoma"/>
            <family val="2"/>
          </rPr>
          <t>IPART:</t>
        </r>
        <r>
          <rPr>
            <sz val="9"/>
            <color indexed="81"/>
            <rFont val="Tahoma"/>
            <family val="2"/>
          </rPr>
          <t xml:space="preserve">
These increases are due to the SV and exclude other income adjustments.</t>
        </r>
      </text>
    </comment>
    <comment ref="B90" authorId="0" shapeId="0">
      <text>
        <r>
          <rPr>
            <b/>
            <sz val="9"/>
            <color indexed="81"/>
            <rFont val="Tahoma"/>
            <family val="2"/>
          </rPr>
          <t>IPART:</t>
        </r>
        <r>
          <rPr>
            <sz val="9"/>
            <color indexed="81"/>
            <rFont val="Tahoma"/>
            <family val="2"/>
          </rPr>
          <t xml:space="preserve">
Enter the amount of the expiring special variation as a positive whole number.
Council must consult with the Office of Local Government about the correct amount of the expiring special variation, before submitting its application to IPART.</t>
        </r>
      </text>
    </comment>
    <comment ref="D91" authorId="0" shapeId="0">
      <text>
        <r>
          <rPr>
            <b/>
            <sz val="9"/>
            <color indexed="81"/>
            <rFont val="Tahoma"/>
            <family val="2"/>
          </rPr>
          <t>IPART:</t>
        </r>
        <r>
          <rPr>
            <sz val="9"/>
            <color indexed="81"/>
            <rFont val="Tahoma"/>
            <family val="2"/>
          </rPr>
          <t xml:space="preserve">
Enter as a positive whole number</t>
        </r>
      </text>
    </comment>
    <comment ref="B92" authorId="0" shapeId="0">
      <text>
        <r>
          <rPr>
            <b/>
            <sz val="9"/>
            <color indexed="81"/>
            <rFont val="Tahoma"/>
            <family val="2"/>
          </rPr>
          <t>IPART:</t>
        </r>
        <r>
          <rPr>
            <sz val="9"/>
            <color indexed="81"/>
            <rFont val="Tahoma"/>
            <family val="2"/>
          </rPr>
          <t xml:space="preserve">
This is the value of the expiring variation expressed as a percentage of that year's notional general income.</t>
        </r>
      </text>
    </comment>
  </commentList>
</comments>
</file>

<file path=xl/comments3.xml><?xml version="1.0" encoding="utf-8"?>
<comments xmlns="http://schemas.openxmlformats.org/spreadsheetml/2006/main">
  <authors>
    <author>Bee Thompson</author>
  </authors>
  <commentList>
    <comment ref="T131" authorId="0" shapeId="0">
      <text>
        <r>
          <rPr>
            <b/>
            <sz val="9"/>
            <color indexed="81"/>
            <rFont val="Tahoma"/>
            <family val="2"/>
          </rPr>
          <t>Bee Thompson:</t>
        </r>
        <r>
          <rPr>
            <sz val="9"/>
            <color indexed="81"/>
            <rFont val="Tahoma"/>
            <family val="2"/>
          </rPr>
          <t xml:space="preserve">
Total number of assessments. Some assessments pay both an ordinary and a special rate.</t>
        </r>
      </text>
    </comment>
    <comment ref="U131" authorId="0" shapeId="0">
      <text>
        <r>
          <rPr>
            <b/>
            <sz val="9"/>
            <color indexed="81"/>
            <rFont val="Tahoma"/>
            <family val="2"/>
          </rPr>
          <t>Bee Thompson:</t>
        </r>
        <r>
          <rPr>
            <sz val="9"/>
            <color indexed="81"/>
            <rFont val="Tahoma"/>
            <family val="2"/>
          </rPr>
          <t xml:space="preserve">
Total number of assessments. Some assessments pay both an ordinary and a special rate.</t>
        </r>
      </text>
    </comment>
    <comment ref="T177" authorId="0" shapeId="0">
      <text>
        <r>
          <rPr>
            <b/>
            <sz val="9"/>
            <color indexed="81"/>
            <rFont val="Tahoma"/>
            <family val="2"/>
          </rPr>
          <t>Bee Thompson:</t>
        </r>
        <r>
          <rPr>
            <sz val="9"/>
            <color indexed="81"/>
            <rFont val="Tahoma"/>
            <family val="2"/>
          </rPr>
          <t xml:space="preserve">
Total number of assessments. Some assessments pay both an ordinary and a special rate.</t>
        </r>
      </text>
    </comment>
    <comment ref="U177" authorId="0" shapeId="0">
      <text>
        <r>
          <rPr>
            <b/>
            <sz val="9"/>
            <color indexed="81"/>
            <rFont val="Tahoma"/>
            <family val="2"/>
          </rPr>
          <t>Bee Thompson:</t>
        </r>
        <r>
          <rPr>
            <sz val="9"/>
            <color indexed="81"/>
            <rFont val="Tahoma"/>
            <family val="2"/>
          </rPr>
          <t xml:space="preserve">
Total number of assessments. Some assessments pay both an ordinary and a special rate.</t>
        </r>
      </text>
    </comment>
  </commentList>
</comments>
</file>

<file path=xl/comments4.xml><?xml version="1.0" encoding="utf-8"?>
<comments xmlns="http://schemas.openxmlformats.org/spreadsheetml/2006/main">
  <authors>
    <author>Naven, Stephen</author>
    <author>Bee Thompson</author>
  </authors>
  <commentList>
    <comment ref="K32" authorId="0" shapeId="0">
      <text>
        <r>
          <rPr>
            <b/>
            <sz val="9"/>
            <color indexed="81"/>
            <rFont val="Tahoma"/>
            <family val="2"/>
          </rPr>
          <t>Naven, Stephen:</t>
        </r>
        <r>
          <rPr>
            <sz val="9"/>
            <color indexed="81"/>
            <rFont val="Tahoma"/>
            <family val="2"/>
          </rPr>
          <t xml:space="preserve">
As noted in Council's community consultation material, a 15% rate increase will allow $2m to be hypothecated for enhanced public area maintenance and contribute towards a significant improvement to Council's Operating Balance, leading to entries in rows 32 and 55. As Council is seeking to maintain highly-valued services, including through the separate measure of a $2m efficiency target, no entry has been made into Row 39. </t>
        </r>
      </text>
    </comment>
    <comment ref="B38" authorId="1" shapeId="0">
      <text>
        <r>
          <rPr>
            <b/>
            <sz val="9"/>
            <color indexed="81"/>
            <rFont val="Tahoma"/>
            <family val="2"/>
          </rPr>
          <t>Bee Thompson:</t>
        </r>
        <r>
          <rPr>
            <sz val="9"/>
            <color indexed="81"/>
            <rFont val="Tahoma"/>
            <family val="2"/>
          </rPr>
          <t xml:space="preserve">
Include programs to be funded by the additional SV income which will be maintained at current service levels eg, roads program.
Include additional rows if needed.</t>
        </r>
      </text>
    </comment>
    <comment ref="B54" authorId="1" shapeId="0">
      <text>
        <r>
          <rPr>
            <b/>
            <sz val="9"/>
            <color indexed="81"/>
            <rFont val="Tahoma"/>
            <family val="2"/>
          </rPr>
          <t>Bee Thompson:</t>
        </r>
        <r>
          <rPr>
            <sz val="9"/>
            <color indexed="81"/>
            <rFont val="Tahoma"/>
            <family val="2"/>
          </rPr>
          <t xml:space="preserve">
Include programs to be funded by the additional SV income for which service levels will be enhanced eg, sustainability program.
Include additional rows if needed.</t>
        </r>
      </text>
    </comment>
  </commentList>
</comments>
</file>

<file path=xl/comments5.xml><?xml version="1.0" encoding="utf-8"?>
<comments xmlns="http://schemas.openxmlformats.org/spreadsheetml/2006/main">
  <authors>
    <author>Naven, Stephen</author>
  </authors>
  <commentList>
    <comment ref="K394" authorId="0" shapeId="0">
      <text>
        <r>
          <rPr>
            <b/>
            <sz val="9"/>
            <color indexed="81"/>
            <rFont val="Tahoma"/>
            <family val="2"/>
          </rPr>
          <t>Naven, Stephen:</t>
        </r>
        <r>
          <rPr>
            <sz val="9"/>
            <color indexed="81"/>
            <rFont val="Tahoma"/>
            <family val="2"/>
          </rPr>
          <t xml:space="preserve">
The proposed SV has no impact on annual charges (ie: that is Council’s Domestic Waste Management Charge). This small change in annual charges only comes about through an unintended difference in assumptions in the base financial models of the no SV and SV cases, and has no impact on actual charges to the community.</t>
        </r>
      </text>
    </comment>
  </commentList>
</comments>
</file>

<file path=xl/sharedStrings.xml><?xml version="1.0" encoding="utf-8"?>
<sst xmlns="http://schemas.openxmlformats.org/spreadsheetml/2006/main" count="2796" uniqueCount="994">
  <si>
    <t>Review that the QA is for</t>
  </si>
  <si>
    <t>2023-24 Special Variations</t>
  </si>
  <si>
    <t>Name of model</t>
  </si>
  <si>
    <t>&lt;not required for simple spreadsheets if the file name is sufficiently descriptive&gt;</t>
  </si>
  <si>
    <t xml:space="preserve">File name(s):  </t>
  </si>
  <si>
    <t>Name of modeller</t>
  </si>
  <si>
    <t>Jisoo Mok</t>
  </si>
  <si>
    <t>Planned date of QA:</t>
  </si>
  <si>
    <t>Week of 19 September 2022</t>
  </si>
  <si>
    <t>Risk rating for the review:</t>
  </si>
  <si>
    <t>Low</t>
  </si>
  <si>
    <t>Note: low risk models do not require independent QA, however the modeller should indicate in section 2.3 what steps have been taken to ensure accuracy of results.</t>
  </si>
  <si>
    <t>1. PURPOSE OF MODEL</t>
  </si>
  <si>
    <t>The modeller provides a concise summary of the model's purpose(s)</t>
  </si>
  <si>
    <t>Main changes:</t>
  </si>
  <si>
    <t>WK7 - Financials: Request for five years of historical data (i.e. addition of yr -5 and -4).</t>
  </si>
  <si>
    <t xml:space="preserve">WK7 - Financials: Addition of three extra tables that request for IPPE financials and net cash flows from operating activities. </t>
  </si>
  <si>
    <t>WK9 - Ratios: Request for five years of historical data (i.e. addition of yr -5 and -4).</t>
  </si>
  <si>
    <t>2. CONTEXT AND SCOPE OF QA</t>
  </si>
  <si>
    <t>The modeller provides information about the context of the QA and the scope of work.</t>
  </si>
  <si>
    <t>2.1 The model/spreadsheet is for (context)</t>
  </si>
  <si>
    <t>2.2 The scope of the QA is to check</t>
  </si>
  <si>
    <t>Logic checks</t>
  </si>
  <si>
    <t>Input checks</t>
  </si>
  <si>
    <t>* provide details of requirements for "simplified duplication of analysis" and/or "sampling of inputs" in section 2.3 below.</t>
  </si>
  <si>
    <t>2.3 Detailed scope of QA</t>
  </si>
  <si>
    <t>Specify clearly how to identify what needs to be checked (e.g. "check all calculations and inputs highlighted in green on the following worksheets: …")</t>
  </si>
  <si>
    <t>For "simplified duplications of analysis" (if applicable), specify how you and the QAer have agreed the analysis will be duplicated</t>
  </si>
  <si>
    <t>For "sampling of inputs" (if applicable), specify how you and the QAer have agreed the inputs will be sampled</t>
  </si>
  <si>
    <t>WK 0 - Input data:</t>
  </si>
  <si>
    <t>Check cell D44 = 2023</t>
  </si>
  <si>
    <t xml:space="preserve">Check that formulas in rows 54 to 60 are still correct as historical yrs 4 &amp; 5 were added. </t>
  </si>
  <si>
    <t>Check that correct rate pegs have been copied into L269:N398 from D22/19313 -&gt; pop factors</t>
  </si>
  <si>
    <t>Sense check to ensure index match populated correct rate pegs to each council in D270:D398</t>
  </si>
  <si>
    <t xml:space="preserve">Check all the FALSEs in E270:E398 and ensure that the return of FALSE was simply due to the same council being referred to by different names/naming conventions. </t>
  </si>
  <si>
    <t>WK 7 - Financials</t>
  </si>
  <si>
    <t xml:space="preserve">Check all formulas (i.e. white cells only) in the sheet.  </t>
  </si>
  <si>
    <t>WK 9 - Ratios</t>
  </si>
  <si>
    <t>Check all hyperlinks in column Y work.</t>
  </si>
  <si>
    <t>Export</t>
  </si>
  <si>
    <t xml:space="preserve">Check that tables from row 1436 to 1532 reference the correct cells in the relevant sheets. </t>
  </si>
  <si>
    <t>3. QA CHECK LIST</t>
  </si>
  <si>
    <t>3.1 Pre-QA check list (for both medium and high risk QAs)</t>
  </si>
  <si>
    <t>Select an option</t>
  </si>
  <si>
    <t>Yes</t>
  </si>
  <si>
    <t>Is the model consistent with good modelling practice?</t>
  </si>
  <si>
    <t>DO NOT DELETE</t>
  </si>
  <si>
    <t>Tables, inputs and outputs are clearly labelled, e.g.:</t>
  </si>
  <si>
    <t>–     Units e.g. $m, $’000, $ or cents, kL, MWh, GJ, etc</t>
  </si>
  <si>
    <t xml:space="preserve">No </t>
  </si>
  <si>
    <t>–     Nominal or real</t>
  </si>
  <si>
    <t>NA</t>
  </si>
  <si>
    <t>–     Including or excluding GST</t>
  </si>
  <si>
    <t>The QAer can easily identify the parts of the model that need to be checked</t>
  </si>
  <si>
    <t>High</t>
  </si>
  <si>
    <t>The model inputs reflect Tribunal decisions or information from the source documents or related models</t>
  </si>
  <si>
    <t>Medium</t>
  </si>
  <si>
    <t>The source documents (or references) have all been located and provided to the QAer/s</t>
  </si>
  <si>
    <t>select</t>
  </si>
  <si>
    <t>Has the QA scope been reviewed by the Chief Modeller? (Only applicable for external models and high risk price determinations)</t>
  </si>
  <si>
    <t>3.2 QA check list (for RStudio scripts only)</t>
  </si>
  <si>
    <t>Code was rerun successfully; or an alternative calculation successfully replicated results</t>
  </si>
  <si>
    <t>Code is easy to follow, with comments highlighting different sections in code</t>
  </si>
  <si>
    <t>Variable names are easy to understand</t>
  </si>
  <si>
    <t>Test variables are used to check that data is not duplicated or excluded in error when joining data sources</t>
  </si>
  <si>
    <t>If this QA is an update to an existing RStudio script, changes are highlighted and easy to find (e.g. a text comparison tool is used to compare scripts before and after change)</t>
  </si>
  <si>
    <t>4  INDUSTRY TEAM REMINDER – POST QA SIGN OFF IN CM9</t>
  </si>
  <si>
    <t>Has the post-QA deliverable been CM9ed?</t>
  </si>
  <si>
    <t>Has the QA been signed off via action tracking in CM9 by the QA analyst and Director?</t>
  </si>
  <si>
    <t>Hide sheet before publishing</t>
  </si>
  <si>
    <t>EXPORT SHEET</t>
  </si>
  <si>
    <t>Type of application</t>
  </si>
  <si>
    <t>Has existing SV?</t>
  </si>
  <si>
    <t>Years SV requested</t>
  </si>
  <si>
    <t>Permanent or temporary?</t>
  </si>
  <si>
    <t>No yrs if temporary</t>
  </si>
  <si>
    <t>Expiry date</t>
  </si>
  <si>
    <t>check = 0</t>
  </si>
  <si>
    <t xml:space="preserve">IMPACT ON  AVERAGE RATES </t>
  </si>
  <si>
    <t>All other income</t>
  </si>
  <si>
    <t>Year number</t>
  </si>
  <si>
    <t>Financial year</t>
  </si>
  <si>
    <t xml:space="preserve">This worksheet is for IPART Analyst use only. </t>
  </si>
  <si>
    <t>Instructions:</t>
  </si>
  <si>
    <t>Contents</t>
  </si>
  <si>
    <t>row</t>
  </si>
  <si>
    <t>1. Inputs</t>
  </si>
  <si>
    <t>Enter the required information in the blue input cells</t>
  </si>
  <si>
    <t>Table 1 - Analyst and TSO details</t>
  </si>
  <si>
    <t>Who is the Analyst in charge?</t>
  </si>
  <si>
    <t>First Name</t>
  </si>
  <si>
    <t>Jisoo</t>
  </si>
  <si>
    <t>Last Name</t>
  </si>
  <si>
    <t>Mok</t>
  </si>
  <si>
    <t>Email</t>
  </si>
  <si>
    <t>Jisoo.mok@ipart.nsw.gov.au</t>
  </si>
  <si>
    <t>Phone</t>
  </si>
  <si>
    <t>(02) 9019 1955</t>
  </si>
  <si>
    <t>Who is the TSO supporting the Analyst?</t>
  </si>
  <si>
    <t>Arsh</t>
  </si>
  <si>
    <t>Suri</t>
  </si>
  <si>
    <t>localgovernment@ipart.nsw.gov.au</t>
  </si>
  <si>
    <t>(02) 9113 7730</t>
  </si>
  <si>
    <t>Table 2 - SV year and rate peg</t>
  </si>
  <si>
    <t>SV for period commencing 1 July</t>
  </si>
  <si>
    <t>year</t>
  </si>
  <si>
    <t>Rate pegs</t>
  </si>
  <si>
    <t>Rate peg for Year 1</t>
  </si>
  <si>
    <t>%</t>
  </si>
  <si>
    <t>"OLG assumed" rate peg for Year 2 - 7</t>
  </si>
  <si>
    <t xml:space="preserve">Table 3 - SV year, rate peg  and units in display format </t>
  </si>
  <si>
    <t xml:space="preserve">Years </t>
  </si>
  <si>
    <t>Year name</t>
  </si>
  <si>
    <t>Year commencing 1 July</t>
  </si>
  <si>
    <t>Rate peg</t>
  </si>
  <si>
    <t>Units for labels</t>
  </si>
  <si>
    <t>$ nominal</t>
  </si>
  <si>
    <t>2. Council Name</t>
  </si>
  <si>
    <t>Albury City Council</t>
  </si>
  <si>
    <t>Armidale Regional Council</t>
  </si>
  <si>
    <t>Ballina Shire Council</t>
  </si>
  <si>
    <t>Balranald Shire Council</t>
  </si>
  <si>
    <t>Bathurst Regional Council</t>
  </si>
  <si>
    <t>Bayside Council</t>
  </si>
  <si>
    <t>Bega Valley Shire Council</t>
  </si>
  <si>
    <t>Bellingen Shire Council</t>
  </si>
  <si>
    <t>Berrigan Shire Council</t>
  </si>
  <si>
    <t>Blacktown City Council</t>
  </si>
  <si>
    <t>Bland Shire Council</t>
  </si>
  <si>
    <t>Blayney Shire Council</t>
  </si>
  <si>
    <t>Blue Mountains City Council</t>
  </si>
  <si>
    <t>Bogan Shire Council</t>
  </si>
  <si>
    <t>Bourke Shire Council</t>
  </si>
  <si>
    <t>Brewarrina Shire Council</t>
  </si>
  <si>
    <t>Broken Hill City Council</t>
  </si>
  <si>
    <t>Burwood Council</t>
  </si>
  <si>
    <t>Byron Shire Council</t>
  </si>
  <si>
    <t>Cabonne Council</t>
  </si>
  <si>
    <t>Camden Council</t>
  </si>
  <si>
    <t>Campbelltown City Council</t>
  </si>
  <si>
    <t>Canterbury-Bankstown Council</t>
  </si>
  <si>
    <t>Carrathool Shire Council</t>
  </si>
  <si>
    <t>Central Coast Council</t>
  </si>
  <si>
    <t>Central Darling Shire Council</t>
  </si>
  <si>
    <t>Cessnock City Council</t>
  </si>
  <si>
    <t>City of Canada Bay Council</t>
  </si>
  <si>
    <t>City of Parramatta Council</t>
  </si>
  <si>
    <t>City of Ryde Council</t>
  </si>
  <si>
    <t>City of Sydney Council</t>
  </si>
  <si>
    <t>Clarence Valley Council</t>
  </si>
  <si>
    <t>Cobar Shire Council</t>
  </si>
  <si>
    <t>Coffs Harbour City Council</t>
  </si>
  <si>
    <t>Coolamon Shire Council</t>
  </si>
  <si>
    <t>Coonamble Shire Council</t>
  </si>
  <si>
    <t>Cootamundra-Gundagai Council</t>
  </si>
  <si>
    <t>Cowra Shire Council</t>
  </si>
  <si>
    <t>Cumberland Council</t>
  </si>
  <si>
    <t>Dubbo Regional Council</t>
  </si>
  <si>
    <t>Dungog Shire Council</t>
  </si>
  <si>
    <t>Edward River Council</t>
  </si>
  <si>
    <t>Eurobodalla Shire Council</t>
  </si>
  <si>
    <t>Fairfield City Council</t>
  </si>
  <si>
    <t>Federation Council</t>
  </si>
  <si>
    <t>Forbes Shire Council</t>
  </si>
  <si>
    <t>Georges River Council</t>
  </si>
  <si>
    <t>Gilgandra Shire Council</t>
  </si>
  <si>
    <t>Glen Innes Severn Shire Council</t>
  </si>
  <si>
    <t>Goulburn Mulwaree Council</t>
  </si>
  <si>
    <t>Greater Hume Shire Council</t>
  </si>
  <si>
    <t>Griffith City Council</t>
  </si>
  <si>
    <t>Gunnedah Shire Council</t>
  </si>
  <si>
    <t>Gwydir Shire Council</t>
  </si>
  <si>
    <t>Hawkesbury City Council</t>
  </si>
  <si>
    <t>Hay Shire Council</t>
  </si>
  <si>
    <t>Hills Shire Council, The</t>
  </si>
  <si>
    <t>Hilltops Council</t>
  </si>
  <si>
    <t>Hornsby, The Council of the Shire of</t>
  </si>
  <si>
    <t>Hunters Hill, The Council of the Municipality of</t>
  </si>
  <si>
    <t>Inner West Council</t>
  </si>
  <si>
    <t>Inverell Shire Council</t>
  </si>
  <si>
    <t>Junee Shire Council</t>
  </si>
  <si>
    <t>Kempsey Shire Council</t>
  </si>
  <si>
    <t>Kiama, The Council of the Municipality of</t>
  </si>
  <si>
    <t>Ku-ring-gai Municipal Council</t>
  </si>
  <si>
    <t>Kyogle Council</t>
  </si>
  <si>
    <t>Lachlan Shire Council</t>
  </si>
  <si>
    <t>Lake Macquarie City Council</t>
  </si>
  <si>
    <t>Lane Cove Council</t>
  </si>
  <si>
    <t>Leeton Shire Council</t>
  </si>
  <si>
    <t>Lismore City Council</t>
  </si>
  <si>
    <t>Lithgow Council, City of</t>
  </si>
  <si>
    <t>Liverpool City Council</t>
  </si>
  <si>
    <t>Liverpool Plains Shire Council</t>
  </si>
  <si>
    <t>Lockhart Shire Council</t>
  </si>
  <si>
    <t>Maitland City Council</t>
  </si>
  <si>
    <t>Mid-Western Regional Council</t>
  </si>
  <si>
    <t>Moree Plains Shire Council</t>
  </si>
  <si>
    <t>Mosman Municipal Council</t>
  </si>
  <si>
    <t>Murray River Council</t>
  </si>
  <si>
    <t>Murrumbidgee Shire Council</t>
  </si>
  <si>
    <t>Muswellbrook Shire Council</t>
  </si>
  <si>
    <t>Nambucca Shire Council</t>
  </si>
  <si>
    <t>Narrabri Shire Council</t>
  </si>
  <si>
    <t>Narrandera Shire Council</t>
  </si>
  <si>
    <t>Narromine Shire Council</t>
  </si>
  <si>
    <t>Newcastle City Council</t>
  </si>
  <si>
    <t>Northern Beaches Council</t>
  </si>
  <si>
    <t>North Sydney Council</t>
  </si>
  <si>
    <t>Oberon Council</t>
  </si>
  <si>
    <t>Orange City Council</t>
  </si>
  <si>
    <t>Parkes Shire Council</t>
  </si>
  <si>
    <t>Penrith City Council</t>
  </si>
  <si>
    <t>Port Macquarie-Hastings Council</t>
  </si>
  <si>
    <t>Port Stephens Council</t>
  </si>
  <si>
    <t>Queanbeyan-Palerang Regional Council</t>
  </si>
  <si>
    <t>Randwick City Council</t>
  </si>
  <si>
    <t>Richmond Valley Council</t>
  </si>
  <si>
    <t>Shellharbour City Council</t>
  </si>
  <si>
    <t>Shoalhaven City Council</t>
  </si>
  <si>
    <t>Singleton Shire Council</t>
  </si>
  <si>
    <t>Snowy Monaro Regional Council</t>
  </si>
  <si>
    <t>Snowy Valleys Council</t>
  </si>
  <si>
    <t>Strathfield Municipal Council</t>
  </si>
  <si>
    <t>Sutherland Shire Council</t>
  </si>
  <si>
    <t>Tamworth Regional Council</t>
  </si>
  <si>
    <t>Temora Shire Council</t>
  </si>
  <si>
    <t>Tenterfield Shire Council</t>
  </si>
  <si>
    <t>Tweed Shire Council</t>
  </si>
  <si>
    <t>Upper Hunter Shire Council</t>
  </si>
  <si>
    <t>Upper Lachlan Shire Council</t>
  </si>
  <si>
    <t>Uralla Shire Council</t>
  </si>
  <si>
    <t>Wagga Wagga City Council</t>
  </si>
  <si>
    <t>Walcha Council</t>
  </si>
  <si>
    <t>Walgett Shire Council</t>
  </si>
  <si>
    <t>Warren Shire Council</t>
  </si>
  <si>
    <t>Warrumbungle Shire Council</t>
  </si>
  <si>
    <t>Waverley Council</t>
  </si>
  <si>
    <t>Weddin Shire Council</t>
  </si>
  <si>
    <t>Wentworth Shire Council</t>
  </si>
  <si>
    <t>Willoughby City Council</t>
  </si>
  <si>
    <t>Wingecarribee Shire Council</t>
  </si>
  <si>
    <t>Wollondilly Shire Council</t>
  </si>
  <si>
    <t>Wollongong City Council</t>
  </si>
  <si>
    <t>Woollahra Municipal Council</t>
  </si>
  <si>
    <t>Yass Valley Council</t>
  </si>
  <si>
    <t>add rows above this one if you need more</t>
  </si>
  <si>
    <t>3. Lists for expiring special variations and other questions</t>
  </si>
  <si>
    <t>s508(2)</t>
  </si>
  <si>
    <t>s508A</t>
  </si>
  <si>
    <t>List of years for minimum rate increases</t>
  </si>
  <si>
    <t>Text inputs:</t>
  </si>
  <si>
    <t>Yr</t>
  </si>
  <si>
    <t>List:</t>
  </si>
  <si>
    <t xml:space="preserve"> years</t>
  </si>
  <si>
    <t>na</t>
  </si>
  <si>
    <t>Permanent</t>
  </si>
  <si>
    <t>Temporary</t>
  </si>
  <si>
    <t>Combined</t>
  </si>
  <si>
    <t>yes</t>
  </si>
  <si>
    <t>no</t>
  </si>
  <si>
    <t xml:space="preserve">Yes - 30 June </t>
  </si>
  <si>
    <t xml:space="preserve">&amp; 30 June </t>
  </si>
  <si>
    <t xml:space="preserve"> expiry</t>
  </si>
  <si>
    <t>Council name (names list)</t>
  </si>
  <si>
    <t>Council name (rate peg model)</t>
  </si>
  <si>
    <t>Rate peg(including population factor)</t>
  </si>
  <si>
    <t>Matching council names?</t>
  </si>
  <si>
    <t>% in model</t>
  </si>
  <si>
    <t>Name in model</t>
  </si>
  <si>
    <t xml:space="preserve">Albury </t>
  </si>
  <si>
    <t>Armidale Regional</t>
  </si>
  <si>
    <t xml:space="preserve">Ballina </t>
  </si>
  <si>
    <t xml:space="preserve">Balranald </t>
  </si>
  <si>
    <t>Bathurst Regional</t>
  </si>
  <si>
    <t>Bayside</t>
  </si>
  <si>
    <t xml:space="preserve">Bega Valley </t>
  </si>
  <si>
    <t xml:space="preserve">Bellingen </t>
  </si>
  <si>
    <t xml:space="preserve">Berrigan </t>
  </si>
  <si>
    <t xml:space="preserve">Blacktown </t>
  </si>
  <si>
    <t xml:space="preserve">Bland </t>
  </si>
  <si>
    <t xml:space="preserve">Blayney </t>
  </si>
  <si>
    <t xml:space="preserve">Blue Mountains </t>
  </si>
  <si>
    <t xml:space="preserve">Bogan </t>
  </si>
  <si>
    <t xml:space="preserve">Bourke </t>
  </si>
  <si>
    <t xml:space="preserve">Brewarrina </t>
  </si>
  <si>
    <t xml:space="preserve">Broken Hill </t>
  </si>
  <si>
    <t>Burwood</t>
  </si>
  <si>
    <t xml:space="preserve">Byron </t>
  </si>
  <si>
    <t>Cabonne</t>
  </si>
  <si>
    <t>Camden</t>
  </si>
  <si>
    <t xml:space="preserve">Campbelltown </t>
  </si>
  <si>
    <t>Canterbury-Bankstown</t>
  </si>
  <si>
    <t xml:space="preserve">Canada Bay </t>
  </si>
  <si>
    <t xml:space="preserve">Carrathool </t>
  </si>
  <si>
    <t>Central Coast</t>
  </si>
  <si>
    <t xml:space="preserve">Central Darling </t>
  </si>
  <si>
    <t xml:space="preserve">Cessnock </t>
  </si>
  <si>
    <t>Clarence Valley</t>
  </si>
  <si>
    <t xml:space="preserve">Ryde </t>
  </si>
  <si>
    <t xml:space="preserve">Cobar </t>
  </si>
  <si>
    <t xml:space="preserve">Sydney </t>
  </si>
  <si>
    <t xml:space="preserve">Coffs Harbour </t>
  </si>
  <si>
    <t xml:space="preserve">Coolamon </t>
  </si>
  <si>
    <t xml:space="preserve">Coonamble </t>
  </si>
  <si>
    <t>Cootamundra-Gundagai Regional</t>
  </si>
  <si>
    <t xml:space="preserve">Cowra </t>
  </si>
  <si>
    <t>Cumberland</t>
  </si>
  <si>
    <t>Dubbo Regional</t>
  </si>
  <si>
    <t xml:space="preserve">Dungog </t>
  </si>
  <si>
    <t>Edward River</t>
  </si>
  <si>
    <t xml:space="preserve">Eurobodalla </t>
  </si>
  <si>
    <t xml:space="preserve">Fairfield </t>
  </si>
  <si>
    <t>Federation</t>
  </si>
  <si>
    <t xml:space="preserve">Forbes </t>
  </si>
  <si>
    <t>Georges River</t>
  </si>
  <si>
    <t xml:space="preserve">Gilgandra </t>
  </si>
  <si>
    <t>Glen Innes Severn</t>
  </si>
  <si>
    <t>Goulburn Mulwaree</t>
  </si>
  <si>
    <t xml:space="preserve">Greater Hume </t>
  </si>
  <si>
    <t xml:space="preserve">Griffith </t>
  </si>
  <si>
    <t xml:space="preserve">Gunnedah </t>
  </si>
  <si>
    <t xml:space="preserve">Gwydir </t>
  </si>
  <si>
    <t xml:space="preserve">Hawkesbury </t>
  </si>
  <si>
    <t xml:space="preserve">Hay </t>
  </si>
  <si>
    <t>Hilltops</t>
  </si>
  <si>
    <t xml:space="preserve">Hornsby </t>
  </si>
  <si>
    <t xml:space="preserve">Hunters Hill </t>
  </si>
  <si>
    <t xml:space="preserve">Hills </t>
  </si>
  <si>
    <t>Inner West</t>
  </si>
  <si>
    <t xml:space="preserve">Inverell </t>
  </si>
  <si>
    <t xml:space="preserve">Junee </t>
  </si>
  <si>
    <t xml:space="preserve">Kempsey </t>
  </si>
  <si>
    <t xml:space="preserve">Kiama </t>
  </si>
  <si>
    <t>Ku-ring-gai</t>
  </si>
  <si>
    <t>Kyogle</t>
  </si>
  <si>
    <t xml:space="preserve">Lachlan </t>
  </si>
  <si>
    <t xml:space="preserve">Lake Macquarie </t>
  </si>
  <si>
    <t xml:space="preserve">Lane Cove </t>
  </si>
  <si>
    <t xml:space="preserve">Leeton </t>
  </si>
  <si>
    <t xml:space="preserve">Lismore </t>
  </si>
  <si>
    <t xml:space="preserve">Lithgow </t>
  </si>
  <si>
    <t xml:space="preserve">Liverpool </t>
  </si>
  <si>
    <t xml:space="preserve">Liverpool Plains </t>
  </si>
  <si>
    <t xml:space="preserve">Lockhart </t>
  </si>
  <si>
    <t xml:space="preserve">Maitland </t>
  </si>
  <si>
    <t>Mid-Coast</t>
  </si>
  <si>
    <t>Mid-Western Regional</t>
  </si>
  <si>
    <t xml:space="preserve">Moree Plains </t>
  </si>
  <si>
    <t xml:space="preserve">Mosman </t>
  </si>
  <si>
    <t>Murray River</t>
  </si>
  <si>
    <t xml:space="preserve">Muswellbrook </t>
  </si>
  <si>
    <t xml:space="preserve">Nambucca </t>
  </si>
  <si>
    <t xml:space="preserve">Narrabri </t>
  </si>
  <si>
    <t xml:space="preserve">Narrandera </t>
  </si>
  <si>
    <t xml:space="preserve">Narromine </t>
  </si>
  <si>
    <t xml:space="preserve">Newcastle </t>
  </si>
  <si>
    <t>North Sydney</t>
  </si>
  <si>
    <t>Northern Beaches</t>
  </si>
  <si>
    <t>Oberon</t>
  </si>
  <si>
    <t xml:space="preserve">Orange </t>
  </si>
  <si>
    <t xml:space="preserve">Parkes </t>
  </si>
  <si>
    <t xml:space="preserve">Penrith </t>
  </si>
  <si>
    <t>Port Macquarie-Hastings</t>
  </si>
  <si>
    <t>Port Stephens</t>
  </si>
  <si>
    <t>Queanbeyan-Palerang Regional</t>
  </si>
  <si>
    <t xml:space="preserve">Randwick </t>
  </si>
  <si>
    <t>Richmond Valley</t>
  </si>
  <si>
    <t xml:space="preserve">Shellharbour </t>
  </si>
  <si>
    <t xml:space="preserve">Shoalhaven </t>
  </si>
  <si>
    <t>Singleton</t>
  </si>
  <si>
    <t>Snowy Monaro Regional</t>
  </si>
  <si>
    <t>Snowy Valleys</t>
  </si>
  <si>
    <t xml:space="preserve">Strathfield </t>
  </si>
  <si>
    <t xml:space="preserve">Sutherland </t>
  </si>
  <si>
    <t>Tamworth Regional</t>
  </si>
  <si>
    <t xml:space="preserve">Temora </t>
  </si>
  <si>
    <t xml:space="preserve">Tenterfield </t>
  </si>
  <si>
    <t xml:space="preserve">Tweed </t>
  </si>
  <si>
    <t xml:space="preserve">Upper Hunter </t>
  </si>
  <si>
    <t xml:space="preserve">Upper Lachlan </t>
  </si>
  <si>
    <t xml:space="preserve">Uralla </t>
  </si>
  <si>
    <t xml:space="preserve">Wagga Wagga </t>
  </si>
  <si>
    <t>Walcha</t>
  </si>
  <si>
    <t xml:space="preserve">Walgett </t>
  </si>
  <si>
    <t xml:space="preserve">Warren </t>
  </si>
  <si>
    <t xml:space="preserve">Warrumbungle </t>
  </si>
  <si>
    <t>Waverley</t>
  </si>
  <si>
    <t xml:space="preserve">Weddin </t>
  </si>
  <si>
    <t xml:space="preserve">Wentworth </t>
  </si>
  <si>
    <t xml:space="preserve">Willoughby </t>
  </si>
  <si>
    <t xml:space="preserve">Wingecarribee </t>
  </si>
  <si>
    <t xml:space="preserve">Wollondilly </t>
  </si>
  <si>
    <t xml:space="preserve">Wollongong </t>
  </si>
  <si>
    <t xml:space="preserve">Woollahra </t>
  </si>
  <si>
    <t>Yass Valley</t>
  </si>
  <si>
    <t>Nature of Council's application</t>
  </si>
  <si>
    <t>Special Variation</t>
  </si>
  <si>
    <t>Minimum Rate Increase</t>
  </si>
  <si>
    <t>Special Variation and Minimum Rate Increase</t>
  </si>
  <si>
    <t>&lt;&lt; Council to indicate application type&gt;&gt;</t>
  </si>
  <si>
    <t>Column reference</t>
  </si>
  <si>
    <t>A</t>
  </si>
  <si>
    <t>B</t>
  </si>
  <si>
    <t>C</t>
  </si>
  <si>
    <t>D</t>
  </si>
  <si>
    <t>E</t>
  </si>
  <si>
    <t>F</t>
  </si>
  <si>
    <t>G</t>
  </si>
  <si>
    <t>H</t>
  </si>
  <si>
    <t>I</t>
  </si>
  <si>
    <t>J</t>
  </si>
  <si>
    <t>K</t>
  </si>
  <si>
    <t>L</t>
  </si>
  <si>
    <t>M</t>
  </si>
  <si>
    <t>N</t>
  </si>
  <si>
    <t xml:space="preserve">O </t>
  </si>
  <si>
    <t>P</t>
  </si>
  <si>
    <t>Q</t>
  </si>
  <si>
    <t>R</t>
  </si>
  <si>
    <t>S</t>
  </si>
  <si>
    <t>T</t>
  </si>
  <si>
    <t>V</t>
  </si>
  <si>
    <t>THE INDEPENDENT PRICING AND REGULATORY TRIBUNAL OF NSW</t>
  </si>
  <si>
    <t>(1) A special variation to general income under Section 508A and 508(2) of the Local Government Act 1993</t>
  </si>
  <si>
    <t>OR</t>
  </si>
  <si>
    <t>(2) Minimum rate increases above the statutory limit under Section 548(3) of the Local Government Act 1993</t>
  </si>
  <si>
    <t>(3) Both - Special Variation and Minimum Rate Increases</t>
  </si>
  <si>
    <t>OVERVIEW</t>
  </si>
  <si>
    <t xml:space="preserve">- Generally, a special variation is the total percentage increase permitted in a council's general income, including the rate peg and Crown land adjustments, before adjustments are made for </t>
  </si>
  <si>
    <r>
      <t xml:space="preserve">catch ups/excesses and valuation objections. </t>
    </r>
    <r>
      <rPr>
        <i/>
        <sz val="9"/>
        <rFont val="Arial"/>
        <family val="2"/>
      </rPr>
      <t xml:space="preserve"> </t>
    </r>
  </si>
  <si>
    <t>- Section 508A allows a council to increase general income by a percentage that is greater than the rate peg each year, up to a maximum of 7 years.</t>
  </si>
  <si>
    <t xml:space="preserve">- Section 508(2) allows a council to increase general income by a percentage that is greater than the rate peg in a single year. </t>
  </si>
  <si>
    <r>
      <t xml:space="preserve">- The council must identify the percentage increase requested for each year </t>
    </r>
    <r>
      <rPr>
        <u/>
        <sz val="9"/>
        <rFont val="Arial"/>
        <family val="2"/>
      </rPr>
      <t>inclusive of the rate peg</t>
    </r>
    <r>
      <rPr>
        <sz val="9"/>
        <rFont val="Arial"/>
        <family val="2"/>
      </rPr>
      <t>.</t>
    </r>
  </si>
  <si>
    <t>- The rate pegs for years 2-7 can either be (a) the OLG's assumed rate peg of 2.5% or (b) any other percentages assumed by Council.</t>
  </si>
  <si>
    <t>- The council must also identify percentage increases in the minimum rates for each year, if the increases exceed the rate peg or SV percentage. This is even if the council has been</t>
  </si>
  <si>
    <t xml:space="preserve"> approved to be above the statutory limit in the past.</t>
  </si>
  <si>
    <t xml:space="preserve">Note: </t>
  </si>
  <si>
    <t xml:space="preserve">&gt; IPART can approve a percentage increase to minimum rates above the statutory limit that differs from the proposed special variation percentage increase </t>
  </si>
  <si>
    <t>as long as the council has justified and properly consulted on that percentage. See Attachment 3 of the Special Variation Guidelines for further details.</t>
  </si>
  <si>
    <t>&gt; Note: SV percentages are a total amount, i.e. not just the incremental percentage above the rate peg.</t>
  </si>
  <si>
    <t>- Enquiries regarding the completion of this application should be directed to:</t>
  </si>
  <si>
    <t>GENERAL INSTRUCTIONS</t>
  </si>
  <si>
    <t xml:space="preserve">                 </t>
  </si>
  <si>
    <t>&gt; Before completing this form, you MUST read the Office of Local Government's Guidelines for the preparation of an application for a special variation to general income</t>
  </si>
  <si>
    <t>or Guidelines for the preparation of an application to increase minimum rates above the statutory limit (as applicable to the council's application).</t>
  </si>
  <si>
    <t>These Guidelines are available on the Office of Local Government’s website at www.olg.nsw.gov.au.</t>
  </si>
  <si>
    <t xml:space="preserve">&gt; This part of the application must be completed in conjunction with Part B Application Form. If the council applies for an increase in minimum rates and a special variation, </t>
  </si>
  <si>
    <t>the council needs to complete two (2) separate Part B application forms and this Part A application.</t>
  </si>
  <si>
    <t>&gt; Both Part A and Part B of the application should be submitted to IPART (us) via the Council Portal on our website at https://ipart.service-now.com/lg</t>
  </si>
  <si>
    <t>&gt; This Part A form consists of 12 worksheets and each worksheet comprises of a number of tables. In completing this Part A application form please note the following:</t>
  </si>
  <si>
    <r>
      <t xml:space="preserve">* The data requirement </t>
    </r>
    <r>
      <rPr>
        <b/>
        <sz val="9"/>
        <rFont val="Arial"/>
        <family val="2"/>
      </rPr>
      <t xml:space="preserve">varies slightly </t>
    </r>
    <r>
      <rPr>
        <sz val="9"/>
        <rFont val="Arial"/>
        <family val="2"/>
      </rPr>
      <t>for each type of application. For example, most of the data in WS8 are not required for an application to increase the minimum rate only.</t>
    </r>
  </si>
  <si>
    <t>* All dollars are to be in nominal terms</t>
  </si>
  <si>
    <t>* Please pay attention to the dollar units of each table as it can vary between tables. For example, some tables require dollars to be in thousands ($'000) whereas others are in dollars ($)</t>
  </si>
  <si>
    <t>&gt; Further detailed instructions, if any, can be found in each worksheet.</t>
  </si>
  <si>
    <t>&gt; In filling out each worksheet, please have regard to the colour coding of each cell in each tables.</t>
  </si>
  <si>
    <t xml:space="preserve">Colour codes </t>
  </si>
  <si>
    <t>Enter data in the blue input cells. Completion of these cells are compulsory.</t>
  </si>
  <si>
    <t>Green = voluntary inputs (actual and/or projections)</t>
  </si>
  <si>
    <t>Hard-coded values that should not be changed</t>
  </si>
  <si>
    <t>Key outputs</t>
  </si>
  <si>
    <t>Special instructions</t>
  </si>
  <si>
    <t xml:space="preserve">Error checks </t>
  </si>
  <si>
    <t>Double red line indicates a change in formula</t>
  </si>
  <si>
    <r>
      <rPr>
        <b/>
        <sz val="9"/>
        <rFont val="Arial"/>
        <family val="2"/>
      </rPr>
      <t>SV</t>
    </r>
    <r>
      <rPr>
        <sz val="9"/>
        <rFont val="Arial"/>
        <family val="2"/>
      </rPr>
      <t xml:space="preserve"> = Special variation</t>
    </r>
  </si>
  <si>
    <r>
      <rPr>
        <b/>
        <sz val="9"/>
        <rFont val="Arial"/>
        <family val="2"/>
      </rPr>
      <t>MR</t>
    </r>
    <r>
      <rPr>
        <sz val="9"/>
        <rFont val="Arial"/>
        <family val="2"/>
      </rPr>
      <t xml:space="preserve"> = Minimum rate increase</t>
    </r>
  </si>
  <si>
    <r>
      <rPr>
        <b/>
        <sz val="9"/>
        <rFont val="Arial"/>
        <family val="2"/>
      </rPr>
      <t>SV &amp; MR</t>
    </r>
    <r>
      <rPr>
        <sz val="9"/>
        <rFont val="Arial"/>
        <family val="2"/>
      </rPr>
      <t xml:space="preserve"> = Special variation and minimum rate increase</t>
    </r>
  </si>
  <si>
    <t>GENERAL DESCRIPTION OF WORKSHEETS IN THIS PART A APPLICATION</t>
  </si>
  <si>
    <t>A general description of each worksheet is given below. Further detailed information, if any, can be found in each worksheet.</t>
  </si>
  <si>
    <r>
      <t>WS1- Application:</t>
    </r>
    <r>
      <rPr>
        <sz val="9"/>
        <rFont val="Arial"/>
        <family val="2"/>
      </rPr>
      <t xml:space="preserve"> </t>
    </r>
  </si>
  <si>
    <t>- Identifies your council and a council contact officer, and the nature of council's proposal (i.e. special variation, minimum rate increase or both).</t>
  </si>
  <si>
    <t>- Based on the nature of council's application, table 1.2 in this worksheet lists all the data requirements that council must provide.</t>
  </si>
  <si>
    <r>
      <t>WS2- Proposal:</t>
    </r>
    <r>
      <rPr>
        <sz val="9"/>
        <rFont val="Arial"/>
        <family val="2"/>
      </rPr>
      <t xml:space="preserve"> </t>
    </r>
  </si>
  <si>
    <t>- Collects key information on council's proposal, including proposed SV percentage increases and proposed duration of SV increases</t>
  </si>
  <si>
    <t>- It also collects information about Crown Land adjustments, catch-ups or excess adjustments and valuation objections.</t>
  </si>
  <si>
    <r>
      <t>WS3 - Notional General Income:</t>
    </r>
    <r>
      <rPr>
        <sz val="9"/>
        <rFont val="Arial"/>
        <family val="2"/>
      </rPr>
      <t xml:space="preserve"> </t>
    </r>
  </si>
  <si>
    <t>WS4- Yr 1 YIELD</t>
  </si>
  <si>
    <t>WS5- Yrs 2-7 YIELD</t>
  </si>
  <si>
    <t>WS6 - PGI Summary</t>
  </si>
  <si>
    <t xml:space="preserve">- Summarises the council's Permissible General Income based on the 1st year's percentage for the proposed SV and Crown Land adjustments, </t>
  </si>
  <si>
    <t>plus other income adjustments. It also shows the council's PGI, the annual and cumulative impacts of the proposed SV over the proposed SV period.</t>
  </si>
  <si>
    <t>WS7- Impact on Rates</t>
  </si>
  <si>
    <t xml:space="preserve"> - Calculates the average annual and cumulative increases in rates for each category/sub-category for each year of the proposed SV, with and without the proposed SV.</t>
  </si>
  <si>
    <t>NB: the council can use worksheet 12 to provide data that are relevant in explaining the impact of proposed SV on rates.</t>
  </si>
  <si>
    <r>
      <t>WS8 - Expenditure Program</t>
    </r>
    <r>
      <rPr>
        <sz val="9"/>
        <rFont val="Arial"/>
        <family val="2"/>
      </rPr>
      <t xml:space="preserve"> </t>
    </r>
  </si>
  <si>
    <t xml:space="preserve">- Collects data on how the council intends to use the additional income from the proposed SV. </t>
  </si>
  <si>
    <t>WS9 - Financials</t>
  </si>
  <si>
    <t>- Collects historical information from your financial statements and forecasts for selected balance sheet items from your long term financial plan (LTFP).</t>
  </si>
  <si>
    <t>WS10- LTFP (Long Term Financial Plan)</t>
  </si>
  <si>
    <t>- Collects information on your Long Term Financial Plan including scenarios with and without the proposed special variation.</t>
  </si>
  <si>
    <t>WS11- Ratios</t>
  </si>
  <si>
    <t>- Captures financial ratios, some of which are calculated while others are entered as inputs.</t>
  </si>
  <si>
    <t xml:space="preserve">WS 12 - Other: </t>
  </si>
  <si>
    <t>- Captures data relevant to explaining the impact of the proposed special variations on rates, such as overdue notices, pensioner rebates and hardship policy.</t>
  </si>
  <si>
    <t>- The council can also provide data on rateable and non-rateable assessments to assist in explaining the increase in rates resulting from the special variations.</t>
  </si>
  <si>
    <t xml:space="preserve">- This worksheet also contains a blank table for council's use as needed. For example, council can use this optional table to provide other data, </t>
  </si>
  <si>
    <t>not already provided/requested, to explain its proposed SV and impact.</t>
  </si>
  <si>
    <t>Instructions and notes</t>
  </si>
  <si>
    <t>&gt; Select council name from the drop down list and enter contact details.</t>
  </si>
  <si>
    <t>* It is important to specify the nature of the application correctly as data requirements vary slightly between a special variation application and a mininum rate increase only application.</t>
  </si>
  <si>
    <t>Notes:</t>
  </si>
  <si>
    <t>These data obligations are as follow:</t>
  </si>
  <si>
    <t>Y = Must complete</t>
  </si>
  <si>
    <t>N = No need to complete</t>
  </si>
  <si>
    <t>P = Partial, some tables/sections apply</t>
  </si>
  <si>
    <t>O = Optional</t>
  </si>
  <si>
    <t>Council Name:</t>
  </si>
  <si>
    <t>Council Name if not listed:</t>
  </si>
  <si>
    <t>Contact Details:</t>
  </si>
  <si>
    <t xml:space="preserve">  Name:</t>
  </si>
  <si>
    <t xml:space="preserve">  Position:</t>
  </si>
  <si>
    <t xml:space="preserve"> Telephone:</t>
  </si>
  <si>
    <t xml:space="preserve">  Email:</t>
  </si>
  <si>
    <t>Note: Please provide direct contact information for relevant council officer. Contact details will be redacted before publication.</t>
  </si>
  <si>
    <t>Nature of application</t>
  </si>
  <si>
    <t>- It is important to specify the nature of the application correctly as data requirements vary slightly between a special variation/ special variation and minimum rate increase application and a mininum rate increase only application.</t>
  </si>
  <si>
    <t>Obligation to complete (Y/N/P/O)</t>
  </si>
  <si>
    <t>&gt; Indicate whether you have any existing SVs by selecting 'yes' or 'no' from the drop down box:</t>
  </si>
  <si>
    <t>&gt; Answer the questions about expiring SVs:</t>
  </si>
  <si>
    <t>- If the council does not have any SVs due to expire in the period of the proposed SV, leave the field blank or select 'na'.</t>
  </si>
  <si>
    <t>Any amounts entered need to be verified by the OLG before the application is submitted to us.</t>
  </si>
  <si>
    <t>&gt; Answer the questions about Crown land adjustments, catch ups and valuation objections:</t>
  </si>
  <si>
    <t>- If the council does not have any adjustments, leave the fields in this section blank.</t>
  </si>
  <si>
    <t>Note that applications for Crown land adjustments still need to be separately made to OLG.</t>
  </si>
  <si>
    <t>Instruction for SV application or SV &amp; MR application</t>
  </si>
  <si>
    <t>&gt; Select (or enter) the type and duration of the proposed special variation.</t>
  </si>
  <si>
    <t>If council intends to apply for a 'combined' SV please discuss with IPART prior to submission.</t>
  </si>
  <si>
    <t>* An assumed rate peg of 2.5% as advised by the OLG guidelines should be used. If a different assumed rate peg is used, this should be explained in the Part B application form.</t>
  </si>
  <si>
    <t>* If no percentage is entered for any particular year, a rate of 2.50% p.a. as advised by the OLG guideline is assumed.</t>
  </si>
  <si>
    <t>* If the rate peg turns out to be different from that assumed, the total % increase in general income with an approved SV does not change.</t>
  </si>
  <si>
    <t>Instruction for MR increase only application</t>
  </si>
  <si>
    <t>a. Existing special variations (SVs)</t>
  </si>
  <si>
    <t>b. Expiring special variations (SVs)</t>
  </si>
  <si>
    <t>Does the council have an expiring variation? If yes, please specify when.</t>
  </si>
  <si>
    <t xml:space="preserve">1st Expiring SV </t>
  </si>
  <si>
    <t>select option</t>
  </si>
  <si>
    <t>2nd Expiring SV</t>
  </si>
  <si>
    <t>c. Crown Land adjustments, catch ups, valuation objections</t>
  </si>
  <si>
    <t>% Year 0 income</t>
  </si>
  <si>
    <t>Enter the amount of any Crown Land adjustments required</t>
  </si>
  <si>
    <t xml:space="preserve">enter $ </t>
  </si>
  <si>
    <t>Enter the amount for any catch ups or excess adjustments required</t>
  </si>
  <si>
    <t>Enter any valuation objections required (input as a positive whole number)</t>
  </si>
  <si>
    <t>a. Proposed special variations (SVs)</t>
  </si>
  <si>
    <t>Instructions</t>
  </si>
  <si>
    <t>Check</t>
  </si>
  <si>
    <t>Is the council applying for a one-year increase (s508(2)) or a multi-year increase (s508A)?</t>
  </si>
  <si>
    <r>
      <t>For</t>
    </r>
    <r>
      <rPr>
        <b/>
        <sz val="9"/>
        <rFont val="Arial"/>
        <family val="2"/>
      </rPr>
      <t xml:space="preserve"> s508A</t>
    </r>
    <r>
      <rPr>
        <sz val="9"/>
        <rFont val="Arial"/>
        <family val="2"/>
      </rPr>
      <t xml:space="preserve"> applications: for how many years is the council requesting % increases as part of this application?</t>
    </r>
  </si>
  <si>
    <r>
      <t>For</t>
    </r>
    <r>
      <rPr>
        <b/>
        <sz val="9"/>
        <rFont val="Arial"/>
        <family val="2"/>
      </rPr>
      <t xml:space="preserve"> s508A</t>
    </r>
    <r>
      <rPr>
        <sz val="9"/>
        <rFont val="Arial"/>
        <family val="2"/>
      </rPr>
      <t xml:space="preserve"> &amp; </t>
    </r>
    <r>
      <rPr>
        <b/>
        <sz val="9"/>
        <rFont val="Arial"/>
        <family val="2"/>
      </rPr>
      <t>s508(2)</t>
    </r>
    <r>
      <rPr>
        <sz val="9"/>
        <rFont val="Arial"/>
        <family val="2"/>
      </rPr>
      <t xml:space="preserve"> applications: is the special variation permanent or temporary?   </t>
    </r>
  </si>
  <si>
    <t>b. Requested annual percentage increases and expiring SV amounts</t>
  </si>
  <si>
    <t>Note: Approved SV% increases do not change if the actual rate peg turns out to be different from that assumed for a particular year.</t>
  </si>
  <si>
    <t>1= included in SV period</t>
  </si>
  <si>
    <t>0 = beyond temporary SV period</t>
  </si>
  <si>
    <t>Annual % increases</t>
  </si>
  <si>
    <t>Assumed rate peg used by council</t>
  </si>
  <si>
    <t>Rate peg only</t>
  </si>
  <si>
    <t>Crown Land adjustment</t>
  </si>
  <si>
    <t>Cumulative % increase</t>
  </si>
  <si>
    <t>Plus: additional increases</t>
  </si>
  <si>
    <t>c. Expiring special variations (ESV)</t>
  </si>
  <si>
    <t>$ value of ESV</t>
  </si>
  <si>
    <t>$ (nominal)</t>
  </si>
  <si>
    <t>% value of ESV</t>
  </si>
  <si>
    <t>check = ok</t>
  </si>
  <si>
    <t>- This worksheet must reflect the rating structure levied in the current year ( ie year 0 or the year prior to the application of the proposed special variation).</t>
  </si>
  <si>
    <t>(1) Any inclusion in this worksheet as “supplementary valuation” must agree with section 4 of the Valuation of Land Act 1916.</t>
  </si>
  <si>
    <t>(a) supplementaries having the same base date and furnished to Council during that year, and</t>
  </si>
  <si>
    <t>(b) estimates of increases in valuations provided to the Council under section 513.</t>
  </si>
  <si>
    <t xml:space="preserve">(3) All dollars are to be in nominal terms </t>
  </si>
  <si>
    <t>Rating Category   (s514-518)</t>
  </si>
  <si>
    <t xml:space="preserve">Name of 
sub-category </t>
  </si>
  <si>
    <t>Number of Assessments</t>
  </si>
  <si>
    <t>Ad Valorem Rate (cents)</t>
  </si>
  <si>
    <t>Base Amount
$</t>
  </si>
  <si>
    <t>Base Amount %</t>
  </si>
  <si>
    <t>Minimum
Amount
$</t>
  </si>
  <si>
    <t>Number on Minimum</t>
  </si>
  <si>
    <t>Land Value
(see note above)
$</t>
  </si>
  <si>
    <t>Land Value of Land on Minimum</t>
  </si>
  <si>
    <t>Notional General 
Income</t>
  </si>
  <si>
    <t>Residential</t>
  </si>
  <si>
    <t>Total Residential</t>
  </si>
  <si>
    <t>Business</t>
  </si>
  <si>
    <t>Total Business</t>
  </si>
  <si>
    <t>Farmland</t>
  </si>
  <si>
    <t>Total Farmland</t>
  </si>
  <si>
    <t>Mining</t>
  </si>
  <si>
    <t>Total Mining</t>
  </si>
  <si>
    <t>Total Assessments:</t>
  </si>
  <si>
    <t>Total Rateable Land Value:</t>
  </si>
  <si>
    <t>Sub-Total:</t>
  </si>
  <si>
    <t>Name of special rate</t>
  </si>
  <si>
    <t>Ad Valorem Rate</t>
  </si>
  <si>
    <t>Land Value
(see note above)</t>
  </si>
  <si>
    <t xml:space="preserve">Notional
Income
</t>
  </si>
  <si>
    <t>Annual Charges (excluding water supply, sewerage and domestic and non-domestic waste management services)</t>
  </si>
  <si>
    <t>Number of
Assessments</t>
  </si>
  <si>
    <t>Amount of Charge
$</t>
  </si>
  <si>
    <t>Total Notional General Income:</t>
  </si>
  <si>
    <r>
      <t>Note:</t>
    </r>
    <r>
      <rPr>
        <sz val="9"/>
        <rFont val="Arial"/>
        <family val="2"/>
      </rPr>
      <t xml:space="preserve"> Section </t>
    </r>
    <r>
      <rPr>
        <b/>
        <sz val="9"/>
        <rFont val="Arial"/>
        <family val="2"/>
      </rPr>
      <t>505(a)</t>
    </r>
    <r>
      <rPr>
        <sz val="9"/>
        <rFont val="Arial"/>
        <family val="2"/>
      </rPr>
      <t xml:space="preserve"> of the Act provides for those rates and charges that are to be included in general income, including certain section 501 annual charges.</t>
    </r>
  </si>
  <si>
    <t>This worksheet calculates the proposed Notional General Income (Year 1). It should apply the proposed rating structure, including proposed SV increase, to land values adjusted by any supplementary valuations.</t>
  </si>
  <si>
    <t>It is the council's responsibility to check its rating structure with OLG before submission to IPART.</t>
  </si>
  <si>
    <t>(2) All dollars are to be in nominal terms.</t>
  </si>
  <si>
    <t>Ad valorem rate
(cents)</t>
  </si>
  <si>
    <t>Base Amount
%</t>
  </si>
  <si>
    <t>Land Value as at
start of year
$</t>
  </si>
  <si>
    <t>Land Value of Land on Minimum $</t>
  </si>
  <si>
    <t>Notional General
Income</t>
  </si>
  <si>
    <t>Land Value
as at
start of year</t>
  </si>
  <si>
    <t xml:space="preserve">Notional Income
</t>
  </si>
  <si>
    <t>Total Notional General Income</t>
  </si>
  <si>
    <t xml:space="preserve">LESS: Valuation Objection Income </t>
  </si>
  <si>
    <t>NET   Notional General Income</t>
  </si>
  <si>
    <r>
      <t>Note:</t>
    </r>
    <r>
      <rPr>
        <sz val="10"/>
        <rFont val="Arial"/>
        <family val="2"/>
      </rPr>
      <t xml:space="preserve"> Section </t>
    </r>
    <r>
      <rPr>
        <b/>
        <sz val="10"/>
        <rFont val="Arial"/>
        <family val="2"/>
      </rPr>
      <t>505(a)</t>
    </r>
    <r>
      <rPr>
        <sz val="10"/>
        <rFont val="Arial"/>
        <family val="2"/>
      </rPr>
      <t xml:space="preserve"> of the Act provides for those rates and charges that are to be included in general income, including certain section 501 annual charges.</t>
    </r>
  </si>
  <si>
    <t>This worksheet shows council's calculation of notional general income for years 2 to 7. This calculation assists IPART in assessing council's proposed</t>
  </si>
  <si>
    <t>special variations and/or proposed increases to minimum rates. It should apply the proposed rating structure, including proposed SV increase, to land values adjusted by any supplementary valuations.</t>
  </si>
  <si>
    <r>
      <rPr>
        <b/>
        <sz val="9"/>
        <rFont val="Arial"/>
        <family val="2"/>
      </rPr>
      <t>(1) NO INPUTS ARE REQUIRED IN THIS WORKSHEET</t>
    </r>
    <r>
      <rPr>
        <sz val="9"/>
        <rFont val="Arial"/>
        <family val="2"/>
      </rPr>
      <t>. See an example of PGI calculation for year 1 below.</t>
    </r>
  </si>
  <si>
    <t>(2) Please check all income adjustments and expiring variation amounts with OLG before submitting the application.</t>
  </si>
  <si>
    <t>(3) PGI estimates for years beyond proposed and/or exisiting SV period shown in light grey font. PGI beyond a temporary SV period = 0</t>
  </si>
  <si>
    <t>Example of PGI calculation for Year 1</t>
  </si>
  <si>
    <t>XYZ Council</t>
  </si>
  <si>
    <t>All dollars in nominal terms</t>
  </si>
  <si>
    <t>Please check all income adjustments and expiring variation amounts with OLG before submitting the application.</t>
  </si>
  <si>
    <t>Prior year Notional General Income</t>
  </si>
  <si>
    <r>
      <t xml:space="preserve">Less: Expiry of a prior special variation </t>
    </r>
    <r>
      <rPr>
        <vertAlign val="superscript"/>
        <sz val="9"/>
        <rFont val="Arial"/>
        <family val="2"/>
      </rPr>
      <t>(1)</t>
    </r>
  </si>
  <si>
    <t>Adjusted first year Notional General Income</t>
  </si>
  <si>
    <t>$</t>
  </si>
  <si>
    <t>Plus: Rate peg increase - first year</t>
  </si>
  <si>
    <r>
      <t xml:space="preserve">Plus: Additional increase - first year </t>
    </r>
    <r>
      <rPr>
        <vertAlign val="superscript"/>
        <sz val="9"/>
        <rFont val="Arial"/>
        <family val="2"/>
      </rPr>
      <t>(2)</t>
    </r>
  </si>
  <si>
    <r>
      <t xml:space="preserve">Plus: Crown Land adjustment - first year </t>
    </r>
    <r>
      <rPr>
        <vertAlign val="superscript"/>
        <sz val="9"/>
        <rFont val="Arial"/>
        <family val="2"/>
      </rPr>
      <t xml:space="preserve">(3) </t>
    </r>
  </si>
  <si>
    <t>Total special variation - first year</t>
  </si>
  <si>
    <r>
      <t xml:space="preserve">Other First Year Adjustments: </t>
    </r>
    <r>
      <rPr>
        <b/>
        <u/>
        <vertAlign val="superscript"/>
        <sz val="9"/>
        <rFont val="Arial"/>
        <family val="2"/>
      </rPr>
      <t>(4)</t>
    </r>
  </si>
  <si>
    <t>Plus/Minus: Prior year Catch-up/(Excess)</t>
  </si>
  <si>
    <t>Minus: Valuation Objections claimed in prior year</t>
  </si>
  <si>
    <t>Total Adjustments</t>
  </si>
  <si>
    <t>First year Permissible General Income</t>
  </si>
  <si>
    <t>(2) This is the additional percentage increase being sought above the rate peg, excluding any other income adjustments.</t>
  </si>
  <si>
    <t>(3) Crown land claims will increase Permissible General Income. The $ amount of any Crown land adjustment is converted into a % amount to be included in the final special variation for consideration by IPART.</t>
  </si>
  <si>
    <t>(4) Other adjustments</t>
  </si>
  <si>
    <t>There are two other possible adjustments that are not included in the proposed SV % but will affect Permissible General Income:</t>
  </si>
  <si>
    <t>a. Prior year results: this is the catch up or excess amount from the previous year, as advised by OLG.</t>
  </si>
  <si>
    <t>b. Valuation objections: if you successfully claimed valuation objections in the previous year, Permissible General Income must be reduced to remove the extra income claimed from the revenue base.</t>
  </si>
  <si>
    <t>Units</t>
  </si>
  <si>
    <t>Less: Expiry of a prior special variation</t>
  </si>
  <si>
    <t>Plus: Rate peg - first year</t>
  </si>
  <si>
    <t>Plus: Crown Land adjustment - first year</t>
  </si>
  <si>
    <t>Other First Year Adjustments:</t>
  </si>
  <si>
    <t>Total increase</t>
  </si>
  <si>
    <t>PGI with proposed SV</t>
  </si>
  <si>
    <t>Prior year Notional General Income (NGI)</t>
  </si>
  <si>
    <t>less: expiry of a prior special variation</t>
  </si>
  <si>
    <t>Adjusted Notional General income</t>
  </si>
  <si>
    <t>plus: rate peg increase</t>
  </si>
  <si>
    <t>plus: crown land adjustment</t>
  </si>
  <si>
    <t>Total proposed SV</t>
  </si>
  <si>
    <t>Notional General Income after SV applied</t>
  </si>
  <si>
    <t>plus: other 1st-year adjustments</t>
  </si>
  <si>
    <t>Total</t>
  </si>
  <si>
    <t>increase</t>
  </si>
  <si>
    <t>Annual % increase in PGI</t>
  </si>
  <si>
    <t>Annual $ increase in PGI</t>
  </si>
  <si>
    <t>Annual $ increase in PGI with proposed SV more than:</t>
  </si>
  <si>
    <t>Cumulative PGI</t>
  </si>
  <si>
    <t>Increase in cumulative PGI with proposed SV that exceeds the increase in the PGI under</t>
  </si>
  <si>
    <t>The aim of this sheet is to show the minimum rate increases (if applicable), the average rate increase per sub-category (inclusive of all relevant rates) and the proposed annual charges in each year of the proposed special variation.</t>
  </si>
  <si>
    <t>It also aims to compare average rates with and without the proposed special variation. All ordinary rates and special rates need to be included.</t>
  </si>
  <si>
    <t>&gt; Enter the required information in blue input cells. The values in white cells will calculate automatically.</t>
  </si>
  <si>
    <t>These figures are intended to illustrate the impact of the proposed SV (or MR increase) on any specific minimum rate.</t>
  </si>
  <si>
    <t xml:space="preserve">(1) All dollars are to be in nominal terms </t>
  </si>
  <si>
    <t xml:space="preserve"> (a) If the council levies minimum rates for any category or sub-category, these rates should be detailed below. </t>
  </si>
  <si>
    <t>Annual and cumulative increases</t>
  </si>
  <si>
    <t>Number of assessments</t>
  </si>
  <si>
    <t>Annual increases (nominal $ per year)</t>
  </si>
  <si>
    <t>Annual increases (%)</t>
  </si>
  <si>
    <t>Cumulative increases (nominal $ per year)</t>
  </si>
  <si>
    <t>Cumulative increases (%)</t>
  </si>
  <si>
    <t>Category</t>
  </si>
  <si>
    <t>Sub-category or Special Rate name</t>
  </si>
  <si>
    <t>Current Minimum Rate</t>
  </si>
  <si>
    <t>Minimum
Rate
Year 1</t>
  </si>
  <si>
    <t>Minimum
Rate
Year 2</t>
  </si>
  <si>
    <t>Minimum
Rate
Year 3</t>
  </si>
  <si>
    <t>Minimum
Rate
Year 4</t>
  </si>
  <si>
    <t>Minimum
Rate
Year 5</t>
  </si>
  <si>
    <t>Minimum
Rate
Year 6</t>
  </si>
  <si>
    <t>Minimum
Rate
Year 7</t>
  </si>
  <si>
    <t>(used to calculate average</t>
  </si>
  <si>
    <t>rates)</t>
  </si>
  <si>
    <t>$ nominal p.a.</t>
  </si>
  <si>
    <t>Current Average Rate</t>
  </si>
  <si>
    <t>Average
Rate
Year 1</t>
  </si>
  <si>
    <t>Average
Rate
Year 2</t>
  </si>
  <si>
    <t>Average
Rate
Year 3</t>
  </si>
  <si>
    <t>Average
Rate
Year 4</t>
  </si>
  <si>
    <t>Average
Rate
Year 5</t>
  </si>
  <si>
    <t>Average
Rate
Year 6</t>
  </si>
  <si>
    <t>Average
Rate
Year 7</t>
  </si>
  <si>
    <t>Average Rates - with proposed special variation</t>
  </si>
  <si>
    <t>Special rate</t>
  </si>
  <si>
    <t>TOTAL AVERAGE</t>
  </si>
  <si>
    <t xml:space="preserve">Average Rates - without proposed special variation </t>
  </si>
  <si>
    <t>(Enter the current annual charge and the proposed annual charge for each year of the application.)</t>
  </si>
  <si>
    <t>Description</t>
  </si>
  <si>
    <t>Current Average Charge</t>
  </si>
  <si>
    <t>Annual
Charge
Year 1</t>
  </si>
  <si>
    <t>Annual
Charge
Year 2</t>
  </si>
  <si>
    <t>Annual
Charge
Year 3</t>
  </si>
  <si>
    <t>Annual
Charge
Year 4</t>
  </si>
  <si>
    <t>Annual
Charge
Year 5</t>
  </si>
  <si>
    <t>Annual
Charge
Year 6</t>
  </si>
  <si>
    <t>Annual
Charge
Year 7</t>
  </si>
  <si>
    <t>- If the council is applying for a SV or SV and MR increase, then this sheet shows how the council proposes to use the additional income from the special variation.</t>
  </si>
  <si>
    <t xml:space="preserve">(2) All dollars are to be in nominal terms </t>
  </si>
  <si>
    <t>Is proposed SV permanent or temporary?</t>
  </si>
  <si>
    <t>Duration of proposed SV (years)</t>
  </si>
  <si>
    <t xml:space="preserve">Year </t>
  </si>
  <si>
    <t>No</t>
  </si>
  <si>
    <t>Is the Temporary SV in place in the year?</t>
  </si>
  <si>
    <t>Income</t>
  </si>
  <si>
    <t>Operating balance</t>
  </si>
  <si>
    <t>Change in Operating Balance due to proposed SV</t>
  </si>
  <si>
    <t>Fund existing service levels (eg, libraries)</t>
  </si>
  <si>
    <t>Fund new/enhanced service levels (eg, sustainability program)</t>
  </si>
  <si>
    <t>Annual total</t>
  </si>
  <si>
    <t>Cumulative totals by year</t>
  </si>
  <si>
    <t>Renewals:</t>
  </si>
  <si>
    <t>New assets</t>
  </si>
  <si>
    <t>Total use of proposed SV income</t>
  </si>
  <si>
    <t>Difference between additional SRV income and its uses</t>
  </si>
  <si>
    <t>This sheet captures the council's historical financial information as reported in its financial statements and forecasts</t>
  </si>
  <si>
    <t>of selected balance sheet items for financial ratios. Please ensure that these figures are for the GENERAL FUND only.</t>
  </si>
  <si>
    <t>Note: All dollars are to be in nominal terms and in thousands ($'000)</t>
  </si>
  <si>
    <t xml:space="preserve">Rates </t>
  </si>
  <si>
    <t>$'000 nominal</t>
  </si>
  <si>
    <t>Annual charges</t>
  </si>
  <si>
    <t>User Charges &amp; Fees</t>
  </si>
  <si>
    <t>Interest and Investment Revenues</t>
  </si>
  <si>
    <t>Other Revenues</t>
  </si>
  <si>
    <t>Grants &amp; Contributions Op purposes</t>
  </si>
  <si>
    <t>Grants &amp; Contributions Capital purposes</t>
  </si>
  <si>
    <t>Net gains asset sales</t>
  </si>
  <si>
    <t>Fair value gains</t>
  </si>
  <si>
    <t>Joint Ventures and Associated Entities</t>
  </si>
  <si>
    <t>Total Income</t>
  </si>
  <si>
    <t>Income excluding Cap. Grants &amp; Contrib.</t>
  </si>
  <si>
    <t>Income excl cap grants &amp; cont.; net gains from asset disposal; profit on joint ventures; and fair value gains</t>
  </si>
  <si>
    <t>Expenses</t>
  </si>
  <si>
    <t>Employee Benefits &amp; On-costs</t>
  </si>
  <si>
    <t>Borrowing Costs (i.e. interest costs)</t>
  </si>
  <si>
    <t>Materials &amp; Contracts</t>
  </si>
  <si>
    <t>Depreciation &amp; Amortisation</t>
  </si>
  <si>
    <t>Impairment</t>
  </si>
  <si>
    <t>Other Expenses</t>
  </si>
  <si>
    <t>Interest &amp; Investment losses</t>
  </si>
  <si>
    <t>Net loss from disposal of assets</t>
  </si>
  <si>
    <t>Fair value losses</t>
  </si>
  <si>
    <t>Total Expenses</t>
  </si>
  <si>
    <t>Expenses excluding investment losses</t>
  </si>
  <si>
    <t>Total expenses continuing operations excl net loss from asset disposals, joint ventures and fair value adjustments</t>
  </si>
  <si>
    <t>Operating result from continuing operations</t>
  </si>
  <si>
    <t>Net operating result before Cap. Grants &amp; Contrib</t>
  </si>
  <si>
    <t>Net operating result before Cap. Grants &amp; Contrib, net gains from asset sales, profit on joint ventures and fair value adjustments</t>
  </si>
  <si>
    <r>
      <t>Operating Performance Ratio</t>
    </r>
    <r>
      <rPr>
        <vertAlign val="superscript"/>
        <sz val="9"/>
        <rFont val="Arial"/>
        <family val="2"/>
      </rPr>
      <t>a</t>
    </r>
  </si>
  <si>
    <t>a. Net Operating Balance (excl Cap. Grants &amp; Contrib. and net gains from asset sales etc) as % income (excl Cap. Grants &amp; Contrib. and net gains from asset sales etc)</t>
  </si>
  <si>
    <t>Borrowing costs</t>
  </si>
  <si>
    <t>Repayment of borrowings and advances</t>
  </si>
  <si>
    <t>Source: Cash flow statement (General fund)</t>
  </si>
  <si>
    <t>1. Infrastructure renewals ratio</t>
  </si>
  <si>
    <t>2. Infrastructure backlog ratio</t>
  </si>
  <si>
    <t>3. Asset maintenance ratio</t>
  </si>
  <si>
    <t>Source: Special Schedule 7 (General fund)</t>
  </si>
  <si>
    <t>6a - Cash and cash equivalents</t>
  </si>
  <si>
    <t>Cash on hand and at bank</t>
  </si>
  <si>
    <t>Cash-equivalent assets</t>
  </si>
  <si>
    <t>6b - Investments</t>
  </si>
  <si>
    <t>Current</t>
  </si>
  <si>
    <t>Non-current</t>
  </si>
  <si>
    <t>Total cash, cash equivalents, and investments</t>
  </si>
  <si>
    <t>6c Restricted cash, cash equivalents, and investments</t>
  </si>
  <si>
    <t>External restrictions</t>
  </si>
  <si>
    <t>Internal restrictions</t>
  </si>
  <si>
    <t>Unrestricted</t>
  </si>
  <si>
    <t>Source: Note 6a, 6b, 6c</t>
  </si>
  <si>
    <t>Actual</t>
  </si>
  <si>
    <t>Forecast</t>
  </si>
  <si>
    <t>Assets</t>
  </si>
  <si>
    <t>Cash &amp; Cash Equivalents</t>
  </si>
  <si>
    <t>Receivables</t>
  </si>
  <si>
    <t>Investments</t>
  </si>
  <si>
    <t>Liabilities</t>
  </si>
  <si>
    <t>Payables</t>
  </si>
  <si>
    <t>Borrowing</t>
  </si>
  <si>
    <t>&gt; Enter the figures from the most recent Long Term Financial Plan over 10 years under each of the headings as relevant. Add rows if necessary.</t>
  </si>
  <si>
    <t>&gt;  Please ensure that these figures match the latest version of the Long Term Financial Plan provided with the application and that these figures are for the GENERAL FUND ONLY.</t>
  </si>
  <si>
    <t>(1) All dollars in are to be nominal terms</t>
  </si>
  <si>
    <t>1(a)</t>
  </si>
  <si>
    <t>Sum of 10 years</t>
  </si>
  <si>
    <t xml:space="preserve">  Change over 10 years</t>
  </si>
  <si>
    <t>Income from continuing operations</t>
  </si>
  <si>
    <t>Revenue:</t>
  </si>
  <si>
    <t xml:space="preserve">Rates  </t>
  </si>
  <si>
    <t>Annual Charges</t>
  </si>
  <si>
    <t>Interest &amp; Investment Revenue</t>
  </si>
  <si>
    <t>Grants &amp; Contributions Op Purposes</t>
  </si>
  <si>
    <t>Grants &amp; Contributions Capital Purposes</t>
  </si>
  <si>
    <t>&lt;include additional items here&gt;</t>
  </si>
  <si>
    <t>Other Income (items excluded from ratio analyis)</t>
  </si>
  <si>
    <t>Net share of profit  on joint ventures</t>
  </si>
  <si>
    <t>Net gains from disposal of assets</t>
  </si>
  <si>
    <t>Total Income Continuing Operations</t>
  </si>
  <si>
    <t>Income excluding capital grants and contributions</t>
  </si>
  <si>
    <t>Income excluding capital grants and contributions, net gains from asset disposals, profit on joint ventures and fair value gains</t>
  </si>
  <si>
    <t>Expenses from continuing operations</t>
  </si>
  <si>
    <r>
      <t xml:space="preserve">Other Expenses </t>
    </r>
    <r>
      <rPr>
        <sz val="9"/>
        <rFont val="Arial"/>
        <family val="2"/>
      </rPr>
      <t>(items excluded from ratio analyis)</t>
    </r>
  </si>
  <si>
    <t>Net loss on joint ventures</t>
  </si>
  <si>
    <t>Total expenses continuing operations</t>
  </si>
  <si>
    <t>Total expenses continuing operations excluding net loss from asset disposals, joint ventures and fair value losses</t>
  </si>
  <si>
    <t>Operating results</t>
  </si>
  <si>
    <t>Net operating result before capital grants &amp; contributions</t>
  </si>
  <si>
    <t>Net operating result before capital grants &amp; contributions, gains/losses on asset disposals, gains/losses on joint ventures and fair value adjustments</t>
  </si>
  <si>
    <t>Increase in rates and annual charges</t>
  </si>
  <si>
    <t>$ Increase in rates and annual charges</t>
  </si>
  <si>
    <t>% Increase in rates and annual charges</t>
  </si>
  <si>
    <t>1(b)</t>
  </si>
  <si>
    <t>Cash flow from operating activities</t>
  </si>
  <si>
    <t>Receipts:</t>
  </si>
  <si>
    <t>Rates &amp; Annual Charges</t>
  </si>
  <si>
    <t>Interest &amp; Investment Revenue Received</t>
  </si>
  <si>
    <t>Grants &amp; Contributions</t>
  </si>
  <si>
    <t>Bonds &amp; Deposits Received</t>
  </si>
  <si>
    <t>Other</t>
  </si>
  <si>
    <t>Payments:</t>
  </si>
  <si>
    <t>Employee Benefits &amp; On-Costs</t>
  </si>
  <si>
    <t>Borrowing Costs</t>
  </si>
  <si>
    <t>Bonds &amp; Deposits Refunded</t>
  </si>
  <si>
    <t>Net cash provided (or used in) operating activities</t>
  </si>
  <si>
    <t>Cashflow from investing activities</t>
  </si>
  <si>
    <t>Sale of investment securities</t>
  </si>
  <si>
    <t>Sale of Infrastructure, Property, Plant &amp; Equipment</t>
  </si>
  <si>
    <t>Sale of real estate assets</t>
  </si>
  <si>
    <t>Sale of investment properties</t>
  </si>
  <si>
    <t>Purchase of Investment Securities</t>
  </si>
  <si>
    <t>Purchase of Investment Properties</t>
  </si>
  <si>
    <t>Purchase of Infrastructure, Property, Plant &amp; Equipment</t>
  </si>
  <si>
    <t>Purchase of real estate assets</t>
  </si>
  <si>
    <t>Net cash provided (or used in) investing activities</t>
  </si>
  <si>
    <t>Cashflow from financing activities</t>
  </si>
  <si>
    <t>Proceeds from borrowings &amp; advances</t>
  </si>
  <si>
    <t>Proceeds from finance lease</t>
  </si>
  <si>
    <t>Repayment of Borrowings &amp; Advances</t>
  </si>
  <si>
    <t>Repayment of lease liabilities (principal repayments)</t>
  </si>
  <si>
    <t>Net cash provided (or used in) financing activities</t>
  </si>
  <si>
    <t>Net Increase/(Decrease) in Cash &amp; Cash Equivalents</t>
  </si>
  <si>
    <t>Cash &amp; Cash Equivalents - beginning of year</t>
  </si>
  <si>
    <t>Cash &amp; Cash Equivalents - end of year</t>
  </si>
  <si>
    <t xml:space="preserve">Cash &amp; cash equivalents - end of year </t>
  </si>
  <si>
    <t>Investment - end of the year</t>
  </si>
  <si>
    <t>Cash, Cash Equivalents &amp; Investment - end of year</t>
  </si>
  <si>
    <t>Representing</t>
  </si>
  <si>
    <t xml:space="preserve"> - External Restrictions</t>
  </si>
  <si>
    <t>Total external restriction</t>
  </si>
  <si>
    <t>- Internal Restrictions</t>
  </si>
  <si>
    <t>Total internal restrictions</t>
  </si>
  <si>
    <t>- Unrestricted</t>
  </si>
  <si>
    <t>.2(a)</t>
  </si>
  <si>
    <t>.2(b)</t>
  </si>
  <si>
    <t>Total internal restriction</t>
  </si>
  <si>
    <t>.3</t>
  </si>
  <si>
    <t>Growth in labour costs</t>
  </si>
  <si>
    <t xml:space="preserve">% </t>
  </si>
  <si>
    <t>Scenario 2 - Base case (no SV)</t>
  </si>
  <si>
    <t>Growth in employee numbers</t>
  </si>
  <si>
    <t>Growth in assessment numbers</t>
  </si>
  <si>
    <t>Inflation rate applied to Materials &amp; Contracts</t>
  </si>
  <si>
    <t>Planned operating cost savings</t>
  </si>
  <si>
    <t>.4</t>
  </si>
  <si>
    <t>.5</t>
  </si>
  <si>
    <t>This worksheet captures financial ratios for five historical years as well as the current and forecast years (0 to 10).</t>
  </si>
  <si>
    <t>The historical ratios are calculated from information provided in Worksheet 9 and two of the forecast ratios are calculated from information entered in Worksheet 10.</t>
  </si>
  <si>
    <t>&gt; Please enter the financial data and financial ratios in the blue input cells. If cells are highlighted in black, it means that they do not need to be completed (for MR increase only application).</t>
  </si>
  <si>
    <t xml:space="preserve">&gt; Enter the two optional ratios (Asset Maintenance Ratio and Debt Service Ratio) only if they are relevant to your Council's application, otherwise leave blank. </t>
  </si>
  <si>
    <t xml:space="preserve">Notes </t>
  </si>
  <si>
    <t xml:space="preserve"> # Hybrid case  - SV expenditure but no SV income </t>
  </si>
  <si>
    <t>Definitions</t>
  </si>
  <si>
    <t>Operating Performance Ratio</t>
  </si>
  <si>
    <t>https://yourcouncil.nsw.gov.au/nsw-overview/finances/</t>
  </si>
  <si>
    <t>(excluding capital grants and contributions).</t>
  </si>
  <si>
    <t>Own Source Revenue Ratio</t>
  </si>
  <si>
    <t xml:space="preserve">The ratio is calculated by total continuing operating revenue (excludes fair value adjustments, net gain/loss on sale of assets, net share/loss on joint ventures) less all grants and contributions </t>
  </si>
  <si>
    <r>
      <rPr>
        <b/>
        <sz val="9"/>
        <rFont val="Arial"/>
        <family val="2"/>
      </rPr>
      <t>divided</t>
    </r>
    <r>
      <rPr>
        <sz val="9"/>
        <rFont val="Arial"/>
        <family val="2"/>
      </rPr>
      <t xml:space="preserve"> by total continuing operating revenue (excludes fair value adjustments, net gain/loss on sale of assets, net share/loss on joint ventures) inclusive of capital grants and contributions.</t>
    </r>
  </si>
  <si>
    <t>Infrastructure Renewals Ratio</t>
  </si>
  <si>
    <t>Asset renewals (building and infrastructure)</t>
  </si>
  <si>
    <t>https://www.yourcouncil.nsw.gov.au/wp-content/uploads/2021/09/Your-Council-2019-20-Data-Definitions-and-Source.pdf</t>
  </si>
  <si>
    <t>Depreciation, amortisation and impairment (building and infrastructure)</t>
  </si>
  <si>
    <r>
      <t>Calculated by asset renewals (infrastructure, buildings and other structures)</t>
    </r>
    <r>
      <rPr>
        <b/>
        <sz val="9"/>
        <rFont val="Arial"/>
        <family val="2"/>
      </rPr>
      <t xml:space="preserve"> divided</t>
    </r>
    <r>
      <rPr>
        <sz val="9"/>
        <rFont val="Arial"/>
        <family val="2"/>
      </rPr>
      <t xml:space="preserve"> by depreciation, impairment, amortisation of infrastructure, buildings, other structures. </t>
    </r>
  </si>
  <si>
    <t>Infrastructure Backlog Ratio</t>
  </si>
  <si>
    <t>Estimated cost to bring assets to satisfactory condition</t>
  </si>
  <si>
    <r>
      <t xml:space="preserve">Calculated by using estimated cost to bring assets (infrastructure, buildings, other structures) to a satisfactory condition </t>
    </r>
    <r>
      <rPr>
        <b/>
        <sz val="9"/>
        <rFont val="Arial"/>
        <family val="2"/>
      </rPr>
      <t>divided</t>
    </r>
    <r>
      <rPr>
        <sz val="9"/>
        <rFont val="Arial"/>
        <family val="2"/>
      </rPr>
      <t xml:space="preserve"> by total written down value of infrastructure, buildings, other </t>
    </r>
  </si>
  <si>
    <t>structures and depreciable land improvement assets.</t>
  </si>
  <si>
    <t>Asset Maintenance Ratio</t>
  </si>
  <si>
    <t>Actual asset maintenance</t>
  </si>
  <si>
    <t>Required asset maintenance</t>
  </si>
  <si>
    <t>Debt Service Ratio</t>
  </si>
  <si>
    <t>.1</t>
  </si>
  <si>
    <t>Historical ratios</t>
  </si>
  <si>
    <t>Forecast ratios</t>
  </si>
  <si>
    <t xml:space="preserve">The ratio is calculated by total continuing operating revenue (excludes fair value adjustments, </t>
  </si>
  <si>
    <t>net gain/loss on sale of assets, net share/loss on joint ventures) excluding capital grants and</t>
  </si>
  <si>
    <t xml:space="preserve"> contributions, less operating expenses, divided by total continuing operating revenue </t>
  </si>
  <si>
    <t xml:space="preserve">The ratio is calculated by total continuing operating revenue (excludes fair value adjustments, </t>
  </si>
  <si>
    <t xml:space="preserve">net gain/loss on sale of assets, net share/loss on joint ventures) less all grants and contributions </t>
  </si>
  <si>
    <t xml:space="preserve">divided by total continuing operating revenue (excludes fair value adjustments, net gain/loss on sale </t>
  </si>
  <si>
    <t>Please enter forecast ratios</t>
  </si>
  <si>
    <t xml:space="preserve">Calculated by asset renewals (infrastructure, buildings and other structures) divided by depreciation, </t>
  </si>
  <si>
    <t xml:space="preserve">impairment, amortisation of infrastructure, buildings, other structures. </t>
  </si>
  <si>
    <t>.2</t>
  </si>
  <si>
    <t xml:space="preserve">Calculated by using estimated cost to bring assets (infrastructure, buildings, other structures) to </t>
  </si>
  <si>
    <t xml:space="preserve">a satisfactory condition divided by total written down value of infrastructure, buildings, other </t>
  </si>
  <si>
    <r>
      <rPr>
        <sz val="9"/>
        <color rgb="FF0000FF"/>
        <rFont val="Arial"/>
        <family val="2"/>
      </rPr>
      <t>Optional</t>
    </r>
    <r>
      <rPr>
        <sz val="9"/>
        <rFont val="Arial"/>
        <family val="2"/>
      </rPr>
      <t>: Enter forecast ratios only if they are relevant to your council's application. Otherwise leave blank</t>
    </r>
  </si>
  <si>
    <t xml:space="preserve">Asset renewals (building and infrastructure) </t>
  </si>
  <si>
    <r>
      <t>Total (WDV)</t>
    </r>
    <r>
      <rPr>
        <vertAlign val="superscript"/>
        <sz val="9"/>
        <rFont val="Arial"/>
        <family val="2"/>
      </rPr>
      <t>b</t>
    </r>
    <r>
      <rPr>
        <sz val="9"/>
        <rFont val="Arial"/>
        <family val="2"/>
      </rPr>
      <t xml:space="preserve"> of infrastructure, buildings, other  structures, depreciable land, and improvement assets</t>
    </r>
  </si>
  <si>
    <t>(1) This worksheet captures data on pensioners rebate, the number of non-rateble assessments and other information</t>
  </si>
  <si>
    <t>that are relevant in explaining the impact of proposed SV on various rate categories.</t>
  </si>
  <si>
    <t>Overdue Notices</t>
  </si>
  <si>
    <t>Number of rate notices issued by council</t>
  </si>
  <si>
    <t>No.</t>
  </si>
  <si>
    <t xml:space="preserve">Farmland </t>
  </si>
  <si>
    <t>Total number of rate notices issued</t>
  </si>
  <si>
    <t>Number of rate notices overdue @ 30 June</t>
  </si>
  <si>
    <t>% of rate notices overdue</t>
  </si>
  <si>
    <t>Dollar value of rate notices issued</t>
  </si>
  <si>
    <t>$' nominal</t>
  </si>
  <si>
    <t>Total value of rate notices issued</t>
  </si>
  <si>
    <t>Dollar value of overdue notices @ 30 June</t>
  </si>
  <si>
    <t>Total value of overdue notices @ 30 June</t>
  </si>
  <si>
    <t>PENSIONER REBATE</t>
  </si>
  <si>
    <t>Number of rate notices receiving pensioner rebate</t>
  </si>
  <si>
    <t>% of rate notices receiving pensioner rebate</t>
  </si>
  <si>
    <t>HARDSHIP POLICY</t>
  </si>
  <si>
    <t>Number of hardship applications</t>
  </si>
  <si>
    <t>Total number of hardship applications</t>
  </si>
  <si>
    <t>Ratepayers on hardship policy</t>
  </si>
  <si>
    <t>Number of ratepayers on hardship policy</t>
  </si>
  <si>
    <t>Total ratepayers on hardship policy</t>
  </si>
  <si>
    <t>Total debt owed by ratepayers on hardship policy @ 30 June</t>
  </si>
  <si>
    <t>Number of non-rateable assessments</t>
  </si>
  <si>
    <t>Historical data</t>
  </si>
  <si>
    <t>Forecast data</t>
  </si>
  <si>
    <t>&lt;&lt; optional - council to specify information, insert more rows if needed. Please specify headings in column B and units in column D&gt;&gt;</t>
  </si>
  <si>
    <t>NB: Copy of post QA model D23/30779: STV 13/11/2023</t>
  </si>
  <si>
    <t>Mid-Coast Council</t>
  </si>
  <si>
    <t>4.  Council Rate pegs for 2024-25</t>
  </si>
  <si>
    <t>Murrumbidgee</t>
  </si>
  <si>
    <t>Parramatta</t>
  </si>
  <si>
    <t>Model list: D23/27153</t>
  </si>
  <si>
    <t>OK: STV 13/11/23</t>
  </si>
  <si>
    <t>Hide before publish</t>
  </si>
  <si>
    <t>&lt;&lt;Choose your council&gt;&gt;</t>
  </si>
  <si>
    <t xml:space="preserve">- This worksheet calculates the Notional General Income for the current year (Year 0), by applying the rating structure used in that year to land values, adjusted by supplementary valuations received during that year.  </t>
  </si>
  <si>
    <r>
      <t xml:space="preserve">(1) The rating structure entered here must be checked by OLG. A rating structure that does not comply with the legislation </t>
    </r>
    <r>
      <rPr>
        <b/>
        <sz val="9"/>
        <rFont val="Arial"/>
        <family val="2"/>
      </rPr>
      <t>may not be approved.</t>
    </r>
  </si>
  <si>
    <r>
      <t xml:space="preserve">(1) The rating structure entered here must be checked by OLG. A rating structure that does not comply with the legislation </t>
    </r>
    <r>
      <rPr>
        <b/>
        <sz val="9"/>
        <rFont val="Arial"/>
        <family val="2"/>
      </rPr>
      <t>may not be approved</t>
    </r>
    <r>
      <rPr>
        <sz val="9"/>
        <rFont val="Arial"/>
        <family val="2"/>
      </rPr>
      <t>.</t>
    </r>
  </si>
  <si>
    <t xml:space="preserve">(2) An average rate equals total income in a category or sub-category divided by the number of assessments in that same category or sub-category (i.e. including assessments on the minimum rate). </t>
  </si>
  <si>
    <t>(3) These figures should reflect the reduction from any expiring SVs so that the net change in rates is measured. Rate estimates should reflect expected minimum or average rates, inclusive of any expiring variations.</t>
  </si>
  <si>
    <t>(4) Minimum Rates - with proposed special variation</t>
  </si>
  <si>
    <t>(1) Columns K to T are formatted black if no data are required for a temporary SV. That is, any tables/cells in this worksheet with black highlights do not need to be completed.</t>
  </si>
  <si>
    <t>(3 The spreadsheet will calculate the difference between the additional income from the proposed special variation and what it is spent on. A positive difference means that the additional income is not all spent on operating expenditure or capital expenditure.</t>
  </si>
  <si>
    <t>(4) Part B of the application provides councils with the opportunity to explain their expenditure plans and the impacts on their financial position.</t>
  </si>
  <si>
    <t>then This sheet shows how the council's Long Term Financial Plan reflects the impact of the proposed special variation versus its base case (no special variation) and the hybrid case (no SV income but SV expenditure).</t>
  </si>
  <si>
    <t>The ratio is calculated by total continuing operating revenue excluding fair value adjustments, net gain/loss on sale of assets, net share/loss on joint ventures and capital grants and contributions</t>
  </si>
  <si>
    <t>Scenario 2: Base case (no SV)</t>
  </si>
  <si>
    <t>Total number of rate notices overdue @ 30 June</t>
  </si>
  <si>
    <t>Number of rateable assessments</t>
  </si>
  <si>
    <t>&gt; If temporary, enter the number of years before the proposed temporary special variation is due to expire. If 'combined' SV, please discuss with IPART prior to submission</t>
  </si>
  <si>
    <t xml:space="preserve">A special variation is the total % increase permitted in a council's general income, Including the rate peg and Crown land adjustments, before adjustments are made for catch ups/excesses and valuation objections.  </t>
  </si>
  <si>
    <t>For additional SV income in years beyond the period of the proposed special variation, we increase the income after the final year of the variation by the assumed rate peg used by council for the proposed period and 2.5% for all other years.</t>
  </si>
  <si>
    <r>
      <rPr>
        <b/>
        <sz val="9"/>
        <rFont val="Arial"/>
        <family val="2"/>
      </rPr>
      <t>less</t>
    </r>
    <r>
      <rPr>
        <sz val="9"/>
        <rFont val="Arial"/>
        <family val="2"/>
      </rPr>
      <t xml:space="preserve"> operating expenses and then </t>
    </r>
    <r>
      <rPr>
        <b/>
        <sz val="9"/>
        <rFont val="Arial"/>
        <family val="2"/>
      </rPr>
      <t>divided</t>
    </r>
    <r>
      <rPr>
        <sz val="9"/>
        <rFont val="Arial"/>
        <family val="2"/>
      </rPr>
      <t xml:space="preserve"> by total continuing operating revenue </t>
    </r>
  </si>
  <si>
    <r>
      <t>Actual asset maintenance</t>
    </r>
    <r>
      <rPr>
        <b/>
        <sz val="9"/>
        <rFont val="Arial"/>
        <family val="2"/>
      </rPr>
      <t xml:space="preserve"> divided </t>
    </r>
    <r>
      <rPr>
        <sz val="9"/>
        <rFont val="Arial"/>
        <family val="2"/>
      </rPr>
      <t>by required asset maintenance</t>
    </r>
  </si>
  <si>
    <r>
      <t xml:space="preserve">The cost of debt service (interest expense and principal repayments) </t>
    </r>
    <r>
      <rPr>
        <b/>
        <sz val="9"/>
        <rFont val="Arial"/>
        <family val="2"/>
      </rPr>
      <t>divided</t>
    </r>
    <r>
      <rPr>
        <sz val="9"/>
        <rFont val="Arial"/>
        <family val="2"/>
      </rPr>
      <t xml:space="preserve"> by total continuing operating revenue (excluding capital grants and contributions)</t>
    </r>
  </si>
  <si>
    <r>
      <t>This worksheet calculates Permissible General Income and the value of the proposed SV after taking into account various adjustments.</t>
    </r>
    <r>
      <rPr>
        <b/>
        <sz val="9"/>
        <rFont val="Arial"/>
        <family val="2"/>
      </rPr>
      <t xml:space="preserve"> Income adjustments and expiring SV amounts are to be verified by OLG before the application is submitted to us.</t>
    </r>
  </si>
  <si>
    <t>Checked against published rates, particulaly councils intending to apply. STV 21/11/2023</t>
  </si>
  <si>
    <t>Chatswood Town Centre</t>
  </si>
  <si>
    <t>Chatswood Major Retail - Chase</t>
  </si>
  <si>
    <t>Chatswood Major Retail - Westfield</t>
  </si>
  <si>
    <t>Strata Storage</t>
  </si>
  <si>
    <t>Other Income (Rental Income)</t>
  </si>
  <si>
    <t>Developer Contributions</t>
  </si>
  <si>
    <t>Domestic Waste Management</t>
  </si>
  <si>
    <t>Affordable Housing</t>
  </si>
  <si>
    <t>Other Externally Restricted Reserves</t>
  </si>
  <si>
    <t>Internal Reserves as assigned by Council</t>
  </si>
  <si>
    <t>Mark Skelsey</t>
  </si>
  <si>
    <t>Special Rate Variation Project Manager</t>
  </si>
  <si>
    <t>Mark.Skelsey@Willoughby.nsw.gov.au</t>
  </si>
  <si>
    <t>(02)9777 7706</t>
  </si>
  <si>
    <t>Public area maintenance and urban tree canopy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</si>
</sst>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5" formatCode="&quot;$&quot;#,##0;\-&quot;$&quot;#,##0"/>
    <numFmt numFmtId="41" formatCode="_-* #,##0_-;\-* #,##0_-;_-* &quot;-&quot;_-;_-@_-"/>
    <numFmt numFmtId="43" formatCode="_-* #,##0.00_-;\-* #,##0.00_-;_-* &quot;-&quot;??_-;_-@_-"/>
    <numFmt numFmtId="164" formatCode="_(* #,##0_);_(* \(#,##0\);_(* &quot;-&quot;_);_(@_)"/>
    <numFmt numFmtId="165" formatCode="0.0%"/>
    <numFmt numFmtId="166" formatCode="_(* #,##0_);_(* \(#,##0\);_(* &quot;-&quot;??_);_(@_)"/>
    <numFmt numFmtId="167" formatCode="_(* #,##0_);_(* \(#,##0\);_(* &quot;&quot;??_);_(@_)"/>
    <numFmt numFmtId="168" formatCode="_-* #,##0_-;\-* #,##0_-;_-* &quot;-&quot;??_-;_-@_-"/>
    <numFmt numFmtId="169" formatCode="#,##0.0"/>
    <numFmt numFmtId="170" formatCode="#,##0;;&quot;&quot;"/>
    <numFmt numFmtId="171" formatCode="#,##0.0000"/>
    <numFmt numFmtId="172" formatCode="0.0000000000000000%"/>
    <numFmt numFmtId="173" formatCode="0.000000"/>
  </numFmts>
  <fonts count="83" x14ac:knownFonts="1">
    <font>
      <sz val="9"/>
      <name val="Arial"/>
      <family val="2"/>
    </font>
    <font>
      <sz val="9"/>
      <name val="Arial"/>
      <family val="2"/>
    </font>
    <font>
      <sz val="9"/>
      <name val="Arial"/>
      <family val="2"/>
    </font>
    <font>
      <sz val="8"/>
      <name val="Arial Narrow"/>
      <family val="2"/>
    </font>
    <font>
      <sz val="10"/>
      <name val="Arial"/>
      <family val="2"/>
    </font>
    <font>
      <b/>
      <sz val="10"/>
      <name val="Arial"/>
      <family val="2"/>
    </font>
    <font>
      <b/>
      <sz val="14"/>
      <name val="Arial"/>
      <family val="2"/>
    </font>
    <font>
      <b/>
      <sz val="12"/>
      <name val="Arial"/>
      <family val="2"/>
    </font>
    <font>
      <sz val="10"/>
      <name val="Arial"/>
      <family val="2"/>
    </font>
    <font>
      <sz val="9"/>
      <color indexed="10"/>
      <name val="Arial"/>
      <family val="2"/>
    </font>
    <font>
      <b/>
      <sz val="9"/>
      <color indexed="9"/>
      <name val="Arial"/>
      <family val="2"/>
    </font>
    <font>
      <u/>
      <sz val="9"/>
      <color indexed="12"/>
      <name val="Arial"/>
      <family val="2"/>
    </font>
    <font>
      <sz val="8"/>
      <name val="Arial"/>
      <family val="2"/>
    </font>
    <font>
      <sz val="14"/>
      <name val="Arial"/>
      <family val="2"/>
    </font>
    <font>
      <sz val="12"/>
      <name val="Arial"/>
      <family val="2"/>
    </font>
    <font>
      <b/>
      <u/>
      <sz val="12"/>
      <name val="Arial"/>
      <family val="2"/>
    </font>
    <font>
      <b/>
      <sz val="12"/>
      <color indexed="39"/>
      <name val="Arial"/>
      <family val="2"/>
    </font>
    <font>
      <b/>
      <u/>
      <sz val="10"/>
      <name val="Arial"/>
      <family val="2"/>
    </font>
    <font>
      <b/>
      <sz val="11"/>
      <name val="Arial"/>
      <family val="2"/>
    </font>
    <font>
      <b/>
      <u/>
      <sz val="18"/>
      <name val="Arial"/>
      <family val="2"/>
    </font>
    <font>
      <b/>
      <sz val="8"/>
      <name val="Arial"/>
      <family val="2"/>
    </font>
    <font>
      <sz val="16"/>
      <name val="Arial"/>
      <family val="2"/>
    </font>
    <font>
      <sz val="11"/>
      <name val="Arial"/>
      <family val="2"/>
    </font>
    <font>
      <sz val="9"/>
      <name val="Arial"/>
      <family val="2"/>
    </font>
    <font>
      <b/>
      <sz val="9"/>
      <name val="Arial"/>
      <family val="2"/>
    </font>
    <font>
      <b/>
      <u/>
      <sz val="9"/>
      <name val="Arial"/>
      <family val="2"/>
    </font>
    <font>
      <u/>
      <sz val="9"/>
      <name val="Arial"/>
      <family val="2"/>
    </font>
    <font>
      <b/>
      <sz val="15"/>
      <name val="Arial"/>
      <family val="2"/>
    </font>
    <font>
      <sz val="9"/>
      <color indexed="81"/>
      <name val="Tahoma"/>
      <family val="2"/>
    </font>
    <font>
      <b/>
      <sz val="9"/>
      <color indexed="81"/>
      <name val="Tahoma"/>
      <family val="2"/>
    </font>
    <font>
      <b/>
      <sz val="18"/>
      <color theme="3"/>
      <name val="Cambria"/>
      <family val="2"/>
      <scheme val="major"/>
    </font>
    <font>
      <sz val="9"/>
      <color rgb="FFFF0000"/>
      <name val="Arial"/>
      <family val="2"/>
    </font>
    <font>
      <b/>
      <sz val="15"/>
      <color rgb="FFFF0000"/>
      <name val="Arial"/>
      <family val="2"/>
    </font>
    <font>
      <b/>
      <sz val="9"/>
      <color indexed="57"/>
      <name val="Arial"/>
      <family val="2"/>
    </font>
    <font>
      <sz val="8"/>
      <color indexed="14"/>
      <name val="Arial"/>
      <family val="2"/>
    </font>
    <font>
      <b/>
      <sz val="9"/>
      <color rgb="FFFF0000"/>
      <name val="Arial"/>
      <family val="2"/>
    </font>
    <font>
      <i/>
      <sz val="9"/>
      <name val="Arial"/>
      <family val="2"/>
    </font>
    <font>
      <sz val="9"/>
      <color indexed="12"/>
      <name val="Arial"/>
      <family val="2"/>
    </font>
    <font>
      <b/>
      <sz val="10"/>
      <color indexed="9"/>
      <name val="Arial"/>
      <family val="2"/>
    </font>
    <font>
      <sz val="9"/>
      <color theme="0" tint="-0.34998626667073579"/>
      <name val="Arial"/>
      <family val="2"/>
    </font>
    <font>
      <sz val="8"/>
      <color theme="0" tint="-0.34998626667073579"/>
      <name val="Arial"/>
      <family val="2"/>
    </font>
    <font>
      <b/>
      <sz val="9"/>
      <color indexed="39"/>
      <name val="Arial"/>
      <family val="2"/>
    </font>
    <font>
      <sz val="9"/>
      <color indexed="18"/>
      <name val="Arial"/>
      <family val="2"/>
    </font>
    <font>
      <b/>
      <sz val="9"/>
      <color indexed="10"/>
      <name val="Arial"/>
      <family val="2"/>
    </font>
    <font>
      <b/>
      <sz val="9"/>
      <color theme="1"/>
      <name val="Arial"/>
      <family val="2"/>
    </font>
    <font>
      <b/>
      <sz val="9"/>
      <color theme="9" tint="-0.499984740745262"/>
      <name val="Arial"/>
      <family val="2"/>
    </font>
    <font>
      <b/>
      <i/>
      <sz val="9"/>
      <color theme="9" tint="-0.499984740745262"/>
      <name val="Arial"/>
      <family val="2"/>
    </font>
    <font>
      <sz val="9"/>
      <color theme="0" tint="-0.499984740745262"/>
      <name val="Arial"/>
      <family val="2"/>
    </font>
    <font>
      <i/>
      <sz val="9"/>
      <color theme="9" tint="-0.499984740745262"/>
      <name val="Arial"/>
      <family val="2"/>
    </font>
    <font>
      <sz val="9"/>
      <color theme="9" tint="-0.499984740745262"/>
      <name val="Arial"/>
      <family val="2"/>
    </font>
    <font>
      <vertAlign val="superscript"/>
      <sz val="9"/>
      <name val="Arial"/>
      <family val="2"/>
    </font>
    <font>
      <b/>
      <sz val="9"/>
      <color theme="0" tint="-0.499984740745262"/>
      <name val="Arial"/>
      <family val="2"/>
    </font>
    <font>
      <b/>
      <sz val="9"/>
      <color theme="0" tint="-0.34998626667073579"/>
      <name val="Arial"/>
      <family val="2"/>
    </font>
    <font>
      <sz val="9"/>
      <color rgb="FF0000FF"/>
      <name val="Arial"/>
      <family val="2"/>
    </font>
    <font>
      <b/>
      <sz val="9"/>
      <color indexed="12"/>
      <name val="Arial"/>
      <family val="2"/>
    </font>
    <font>
      <sz val="18"/>
      <name val="Arial"/>
      <family val="2"/>
    </font>
    <font>
      <sz val="9"/>
      <color theme="8" tint="-0.249977111117893"/>
      <name val="Arial"/>
      <family val="2"/>
    </font>
    <font>
      <sz val="9"/>
      <color theme="4"/>
      <name val="Arial"/>
      <family val="2"/>
    </font>
    <font>
      <sz val="9"/>
      <color theme="4" tint="0.249977111117893"/>
      <name val="Arial"/>
      <family val="2"/>
    </font>
    <font>
      <sz val="10"/>
      <color theme="4"/>
      <name val="Arial"/>
      <family val="2"/>
    </font>
    <font>
      <b/>
      <u/>
      <sz val="9"/>
      <color rgb="FFC00000"/>
      <name val="Arial"/>
      <family val="2"/>
    </font>
    <font>
      <b/>
      <sz val="9"/>
      <color rgb="FF0000FF"/>
      <name val="Arial"/>
      <family val="2"/>
    </font>
    <font>
      <sz val="9"/>
      <color theme="0" tint="-0.249977111117893"/>
      <name val="Arial"/>
      <family val="2"/>
    </font>
    <font>
      <b/>
      <sz val="12"/>
      <color theme="0" tint="-0.249977111117893"/>
      <name val="Arial"/>
      <family val="2"/>
    </font>
    <font>
      <sz val="11"/>
      <color theme="0" tint="-0.249977111117893"/>
      <name val="Arial"/>
      <family val="2"/>
    </font>
    <font>
      <sz val="9"/>
      <color indexed="63"/>
      <name val="Arial"/>
      <family val="2"/>
    </font>
    <font>
      <sz val="11"/>
      <color rgb="FF9C0006"/>
      <name val="Calibri"/>
      <family val="2"/>
      <scheme val="minor"/>
    </font>
    <font>
      <sz val="10"/>
      <color indexed="14"/>
      <name val="Arial"/>
      <family val="2"/>
    </font>
    <font>
      <sz val="9"/>
      <color theme="0"/>
      <name val="Arial"/>
      <family val="2"/>
    </font>
    <font>
      <sz val="9"/>
      <color theme="0" tint="-4.9989318521683403E-2"/>
      <name val="Arial"/>
      <family val="2"/>
    </font>
    <font>
      <b/>
      <sz val="9"/>
      <color theme="0" tint="-4.9989318521683403E-2"/>
      <name val="Arial"/>
      <family val="2"/>
    </font>
    <font>
      <i/>
      <sz val="9"/>
      <color rgb="FF974706"/>
      <name val="Arial"/>
      <family val="2"/>
    </font>
    <font>
      <sz val="9"/>
      <color theme="0" tint="-0.14999847407452621"/>
      <name val="Arial"/>
      <family val="2"/>
    </font>
    <font>
      <b/>
      <sz val="9"/>
      <color theme="0" tint="-0.14999847407452621"/>
      <name val="Arial"/>
      <family val="2"/>
    </font>
    <font>
      <sz val="12"/>
      <color theme="0" tint="-0.14999847407452621"/>
      <name val="Arial"/>
      <family val="2"/>
    </font>
    <font>
      <b/>
      <u/>
      <vertAlign val="superscript"/>
      <sz val="9"/>
      <name val="Arial"/>
      <family val="2"/>
    </font>
    <font>
      <sz val="10"/>
      <color theme="0"/>
      <name val="Arial"/>
      <family val="2"/>
    </font>
    <font>
      <b/>
      <sz val="9"/>
      <color theme="0"/>
      <name val="Arial"/>
      <family val="2"/>
    </font>
    <font>
      <b/>
      <sz val="9"/>
      <color rgb="FF974706"/>
      <name val="Arial"/>
      <family val="2"/>
    </font>
    <font>
      <sz val="9"/>
      <color rgb="FF974706"/>
      <name val="Arial"/>
      <family val="2"/>
    </font>
    <font>
      <b/>
      <i/>
      <sz val="9"/>
      <name val="Arial"/>
      <family val="2"/>
    </font>
    <font>
      <sz val="8"/>
      <color rgb="FF000000"/>
      <name val="Tahoma"/>
      <family val="2"/>
    </font>
    <font>
      <b/>
      <sz val="9"/>
      <color theme="3" tint="0.39997558519241921"/>
      <name val="Arial"/>
      <family val="2"/>
    </font>
  </fonts>
  <fills count="24">
    <fill>
      <patternFill patternType="none"/>
    </fill>
    <fill>
      <patternFill patternType="gray125"/>
    </fill>
    <fill>
      <patternFill patternType="lightGray">
        <fgColor indexed="13"/>
      </patternFill>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FF00FF"/>
      </patternFill>
    </fill>
    <fill>
      <patternFill patternType="solid">
        <fgColor theme="0"/>
        <bgColor rgb="FF00FFFF"/>
      </patternFill>
    </fill>
    <fill>
      <patternFill patternType="solid">
        <fgColor indexed="44"/>
        <bgColor rgb="FF00FFFF"/>
      </patternFill>
    </fill>
    <fill>
      <patternFill patternType="solid">
        <fgColor theme="0" tint="-0.14999847407452621"/>
        <bgColor rgb="FF00FFFF"/>
      </patternFill>
    </fill>
    <fill>
      <patternFill patternType="solid">
        <fgColor theme="0"/>
        <bgColor indexed="8"/>
      </patternFill>
    </fill>
    <fill>
      <patternFill patternType="solid">
        <fgColor indexed="18"/>
        <bgColor rgb="FF00FFFF"/>
      </patternFill>
    </fill>
    <fill>
      <patternFill patternType="solid">
        <fgColor theme="0" tint="-4.9989318521683403E-2"/>
        <bgColor rgb="FF00FFFF"/>
      </patternFill>
    </fill>
    <fill>
      <patternFill patternType="solid">
        <fgColor theme="0" tint="-0.14996795556505021"/>
        <bgColor indexed="64"/>
      </patternFill>
    </fill>
    <fill>
      <patternFill patternType="solid">
        <fgColor indexed="42"/>
        <bgColor indexed="64"/>
      </patternFill>
    </fill>
    <fill>
      <patternFill patternType="solid">
        <fgColor indexed="31"/>
        <bgColor indexed="64"/>
      </patternFill>
    </fill>
    <fill>
      <patternFill patternType="solid">
        <fgColor rgb="FFCCFFCC"/>
        <bgColor indexed="64"/>
      </patternFill>
    </fill>
    <fill>
      <patternFill patternType="solid">
        <fgColor rgb="FFFFC7CE"/>
      </patternFill>
    </fill>
    <fill>
      <patternFill patternType="solid">
        <fgColor theme="1" tint="4.9989318521683403E-2"/>
        <bgColor indexed="64"/>
      </patternFill>
    </fill>
    <fill>
      <patternFill patternType="solid">
        <fgColor theme="0" tint="-0.14996795556505021"/>
        <bgColor rgb="FF00FFFF"/>
      </patternFill>
    </fill>
    <fill>
      <patternFill patternType="solid">
        <fgColor rgb="FF00FF00"/>
        <bgColor indexed="64"/>
      </patternFill>
    </fill>
  </fills>
  <borders count="116">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right style="double">
        <color rgb="FFFF0000"/>
      </right>
      <top/>
      <bottom/>
      <diagonal/>
    </border>
    <border>
      <left style="hair">
        <color indexed="64"/>
      </left>
      <right/>
      <top style="thin">
        <color indexed="64"/>
      </top>
      <bottom/>
      <diagonal/>
    </border>
    <border>
      <left style="hair">
        <color indexed="64"/>
      </left>
      <right/>
      <top/>
      <bottom/>
      <diagonal/>
    </border>
    <border>
      <left/>
      <right/>
      <top/>
      <bottom style="thin">
        <color theme="0" tint="-0.34998626667073579"/>
      </bottom>
      <diagonal/>
    </border>
    <border>
      <left/>
      <right/>
      <top style="thin">
        <color theme="0" tint="-0.34998626667073579"/>
      </top>
      <bottom/>
      <diagonal/>
    </border>
    <border>
      <left/>
      <right/>
      <top/>
      <bottom style="thin">
        <color theme="0" tint="-0.499984740745262"/>
      </bottom>
      <diagonal/>
    </border>
    <border>
      <left style="thin">
        <color indexed="64"/>
      </left>
      <right/>
      <top/>
      <bottom style="double">
        <color rgb="FFFF0000"/>
      </bottom>
      <diagonal/>
    </border>
    <border>
      <left/>
      <right style="thin">
        <color indexed="64"/>
      </right>
      <top/>
      <bottom style="double">
        <color rgb="FFFF0000"/>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double">
        <color rgb="FFFF0000"/>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style="hair">
        <color indexed="64"/>
      </left>
      <right/>
      <top/>
      <bottom style="thin">
        <color indexed="64"/>
      </bottom>
      <diagonal/>
    </border>
    <border>
      <left/>
      <right/>
      <top style="thin">
        <color auto="1"/>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style="double">
        <color rgb="FFFF0000"/>
      </right>
      <top style="thin">
        <color indexed="64"/>
      </top>
      <bottom style="double">
        <color indexed="64"/>
      </bottom>
      <diagonal/>
    </border>
    <border>
      <left/>
      <right style="thin">
        <color indexed="64"/>
      </right>
      <top style="thin">
        <color auto="1"/>
      </top>
      <bottom/>
      <diagonal/>
    </border>
    <border>
      <left style="thin">
        <color indexed="64"/>
      </left>
      <right/>
      <top style="thin">
        <color indexed="64"/>
      </top>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indexed="64"/>
      </right>
      <top style="double">
        <color rgb="FFFF0000"/>
      </top>
      <bottom style="double">
        <color rgb="FFFF0000"/>
      </bottom>
      <diagonal/>
    </border>
    <border>
      <left/>
      <right/>
      <top style="double">
        <color rgb="FFFF0000"/>
      </top>
      <bottom style="double">
        <color rgb="FFFF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double">
        <color rgb="FFFF0000"/>
      </top>
      <bottom style="double">
        <color rgb="FFFF0000"/>
      </bottom>
      <diagonal/>
    </border>
    <border>
      <left/>
      <right style="thin">
        <color indexed="64"/>
      </right>
      <top style="thin">
        <color indexed="64"/>
      </top>
      <bottom style="double">
        <color indexed="64"/>
      </bottom>
      <diagonal/>
    </border>
    <border>
      <left/>
      <right style="thin">
        <color theme="0" tint="-0.24994659260841701"/>
      </right>
      <top/>
      <bottom/>
      <diagonal/>
    </border>
    <border>
      <left/>
      <right/>
      <top/>
      <bottom style="double">
        <color rgb="FFFF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hair">
        <color indexed="64"/>
      </bottom>
      <diagonal/>
    </border>
    <border>
      <left/>
      <right/>
      <top style="hair">
        <color indexed="64"/>
      </top>
      <bottom style="hair">
        <color indexed="64"/>
      </bottom>
      <diagonal/>
    </border>
    <border>
      <left style="thin">
        <color theme="0" tint="-0.34998626667073579"/>
      </left>
      <right/>
      <top/>
      <bottom style="thin">
        <color auto="1"/>
      </bottom>
      <diagonal/>
    </border>
    <border>
      <left style="thin">
        <color theme="0" tint="-0.34998626667073579"/>
      </left>
      <right/>
      <top style="thin">
        <color auto="1"/>
      </top>
      <bottom/>
      <diagonal/>
    </border>
    <border>
      <left style="thin">
        <color indexed="64"/>
      </left>
      <right style="thin">
        <color theme="0" tint="-0.34998626667073579"/>
      </right>
      <top style="thin">
        <color indexed="64"/>
      </top>
      <bottom style="thin">
        <color indexed="64"/>
      </bottom>
      <diagonal/>
    </border>
    <border>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right style="thin">
        <color theme="0" tint="-0.34998626667073579"/>
      </right>
      <top style="thin">
        <color auto="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auto="1"/>
      </top>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diagonal/>
    </border>
    <border>
      <left style="thin">
        <color theme="0" tint="-0.34998626667073579"/>
      </left>
      <right style="double">
        <color theme="0" tint="-0.34998626667073579"/>
      </right>
      <top/>
      <bottom/>
      <diagonal/>
    </border>
    <border>
      <left style="thin">
        <color theme="0" tint="-0.34998626667073579"/>
      </left>
      <right style="double">
        <color theme="0" tint="-0.34998626667073579"/>
      </right>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theme="0" tint="-0.34998626667073579"/>
      </left>
      <right style="thin">
        <color theme="0" tint="-0.34998626667073579"/>
      </right>
      <top/>
      <bottom/>
      <diagonal/>
    </border>
    <border>
      <left style="double">
        <color theme="0" tint="-0.34998626667073579"/>
      </left>
      <right style="thin">
        <color theme="0" tint="-0.34998626667073579"/>
      </right>
      <top/>
      <bottom style="thin">
        <color theme="0" tint="-0.34998626667073579"/>
      </bottom>
      <diagonal/>
    </border>
    <border>
      <left style="double">
        <color theme="0" tint="-0.34998626667073579"/>
      </left>
      <right style="thin">
        <color theme="0" tint="-0.34998626667073579"/>
      </right>
      <top style="thin">
        <color theme="0" tint="-0.34998626667073579"/>
      </top>
      <bottom style="thin">
        <color theme="0" tint="-0.34998626667073579"/>
      </bottom>
      <diagonal/>
    </border>
    <border>
      <left style="double">
        <color theme="0" tint="-0.34998626667073579"/>
      </left>
      <right style="thin">
        <color theme="0" tint="-0.34998626667073579"/>
      </right>
      <top style="thin">
        <color theme="0" tint="-0.34998626667073579"/>
      </top>
      <bottom/>
      <diagonal/>
    </border>
    <border>
      <left style="double">
        <color theme="0" tint="-0.34998626667073579"/>
      </left>
      <right/>
      <top/>
      <bottom/>
      <diagonal/>
    </border>
    <border>
      <left style="double">
        <color theme="0" tint="-0.34998626667073579"/>
      </left>
      <right/>
      <top/>
      <bottom style="thin">
        <color theme="0" tint="-0.34998626667073579"/>
      </bottom>
      <diagonal/>
    </border>
    <border>
      <left/>
      <right style="double">
        <color theme="0" tint="-0.34998626667073579"/>
      </right>
      <top style="thin">
        <color theme="0" tint="-0.34998626667073579"/>
      </top>
      <bottom/>
      <diagonal/>
    </border>
    <border>
      <left/>
      <right style="double">
        <color theme="0" tint="-0.34998626667073579"/>
      </right>
      <top/>
      <bottom/>
      <diagonal/>
    </border>
    <border>
      <left/>
      <right style="double">
        <color theme="0" tint="-0.34998626667073579"/>
      </right>
      <top/>
      <bottom style="thin">
        <color theme="0" tint="-0.34998626667073579"/>
      </bottom>
      <diagonal/>
    </border>
    <border>
      <left style="thin">
        <color indexed="64"/>
      </left>
      <right style="double">
        <color theme="0" tint="-0.34998626667073579"/>
      </right>
      <top style="thin">
        <color indexed="64"/>
      </top>
      <bottom style="thin">
        <color indexed="64"/>
      </bottom>
      <diagonal/>
    </border>
    <border>
      <left/>
      <right style="double">
        <color theme="0" tint="-0.34998626667073579"/>
      </right>
      <top style="thin">
        <color indexed="64"/>
      </top>
      <bottom style="thin">
        <color indexed="64"/>
      </bottom>
      <diagonal/>
    </border>
    <border>
      <left/>
      <right style="thin">
        <color theme="0" tint="-0.24994659260841701"/>
      </right>
      <top style="thin">
        <color theme="0" tint="-0.34998626667073579"/>
      </top>
      <bottom/>
      <diagonal/>
    </border>
    <border>
      <left style="thin">
        <color theme="0" tint="-0.34998626667073579"/>
      </left>
      <right/>
      <top/>
      <bottom style="double">
        <color rgb="FFFF0000"/>
      </bottom>
      <diagonal/>
    </border>
    <border>
      <left/>
      <right style="thin">
        <color theme="0" tint="-0.34998626667073579"/>
      </right>
      <top/>
      <bottom style="double">
        <color rgb="FFFF0000"/>
      </bottom>
      <diagonal/>
    </border>
    <border>
      <left style="thin">
        <color theme="0" tint="-0.34998626667073579"/>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indexed="64"/>
      </right>
      <top style="thin">
        <color theme="0" tint="-0.34998626667073579"/>
      </top>
      <bottom/>
      <diagonal/>
    </border>
    <border>
      <left style="thin">
        <color theme="0" tint="-0.34998626667073579"/>
      </left>
      <right style="double">
        <color rgb="FFFF0000"/>
      </right>
      <top/>
      <bottom/>
      <diagonal/>
    </border>
    <border>
      <left style="thin">
        <color theme="0" tint="-0.34998626667073579"/>
      </left>
      <right/>
      <top/>
      <bottom style="hair">
        <color indexed="64"/>
      </bottom>
      <diagonal/>
    </border>
    <border>
      <left style="thin">
        <color theme="0" tint="-0.34998626667073579"/>
      </left>
      <right style="thin">
        <color theme="0" tint="-0.34998626667073579"/>
      </right>
      <top/>
      <bottom style="hair">
        <color indexed="64"/>
      </bottom>
      <diagonal/>
    </border>
    <border>
      <left style="thin">
        <color theme="0" tint="-0.34998626667073579"/>
      </left>
      <right style="thin">
        <color theme="0" tint="-0.34998626667073579"/>
      </right>
      <top style="hair">
        <color indexed="64"/>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theme="0" tint="-0.24994659260841701"/>
      </left>
      <right/>
      <top style="thin">
        <color theme="0" tint="-0.34998626667073579"/>
      </top>
      <bottom style="thin">
        <color theme="0" tint="-0.34998626667073579"/>
      </bottom>
      <diagonal/>
    </border>
    <border>
      <left style="thin">
        <color rgb="FFA6A6A6"/>
      </left>
      <right style="thin">
        <color rgb="FFA6A6A6"/>
      </right>
      <top/>
      <bottom/>
      <diagonal/>
    </border>
    <border>
      <left style="thin">
        <color rgb="FFA6A6A6"/>
      </left>
      <right/>
      <top/>
      <bottom/>
      <diagonal/>
    </border>
    <border>
      <left/>
      <right style="thin">
        <color rgb="FFA6A6A6"/>
      </right>
      <top/>
      <bottom/>
      <diagonal/>
    </border>
  </borders>
  <cellStyleXfs count="28">
    <xf numFmtId="0" fontId="0" fillId="0" borderId="0"/>
    <xf numFmtId="43" fontId="1" fillId="0" borderId="0" applyFont="0" applyFill="0" applyBorder="0" applyAlignment="0" applyProtection="0"/>
    <xf numFmtId="0" fontId="35" fillId="6" borderId="0" applyNumberFormat="0" applyBorder="0" applyAlignment="0" applyProtection="0"/>
    <xf numFmtId="165" fontId="1" fillId="2" borderId="0" applyBorder="0" applyAlignment="0">
      <alignment horizontal="left"/>
      <protection locked="0"/>
    </xf>
    <xf numFmtId="169" fontId="1" fillId="2" borderId="0" applyBorder="0" applyAlignment="0">
      <alignment horizontal="right"/>
      <protection locked="0"/>
    </xf>
    <xf numFmtId="0" fontId="11" fillId="0" borderId="0" applyNumberFormat="0" applyFill="0" applyBorder="0" applyAlignment="0" applyProtection="0"/>
    <xf numFmtId="0" fontId="9" fillId="0" borderId="0" applyNumberFormat="0" applyFill="0" applyBorder="0" applyAlignment="0"/>
    <xf numFmtId="4" fontId="34" fillId="0" borderId="0" applyNumberFormat="0" applyFill="0" applyBorder="0" applyAlignment="0">
      <alignment horizontal="left"/>
    </xf>
    <xf numFmtId="0" fontId="33" fillId="0" borderId="0" applyNumberFormat="0" applyFill="0" applyBorder="0" applyAlignment="0" applyProtection="0"/>
    <xf numFmtId="41" fontId="10" fillId="5" borderId="0" applyNumberFormat="0" applyBorder="0" applyAlignment="0"/>
    <xf numFmtId="165" fontId="1" fillId="3" borderId="0" applyBorder="0" applyAlignment="0">
      <protection locked="0"/>
    </xf>
    <xf numFmtId="169" fontId="1" fillId="3" borderId="1" applyBorder="0" applyAlignment="0">
      <alignment horizontal="right"/>
      <protection locked="0"/>
    </xf>
    <xf numFmtId="165" fontId="1" fillId="4" borderId="0" applyBorder="0" applyAlignment="0">
      <alignment horizontal="right"/>
      <protection locked="0"/>
    </xf>
    <xf numFmtId="4" fontId="1" fillId="4" borderId="0" applyBorder="0" applyAlignment="0">
      <alignment horizontal="right"/>
      <protection locked="0"/>
    </xf>
    <xf numFmtId="9" fontId="2" fillId="0" borderId="0" applyFont="0" applyFill="0" applyBorder="0" applyAlignment="0" applyProtection="0"/>
    <xf numFmtId="0" fontId="30" fillId="0" borderId="0" applyNumberFormat="0" applyFill="0" applyBorder="0" applyAlignment="0" applyProtection="0"/>
    <xf numFmtId="41" fontId="1" fillId="0" borderId="0" applyFont="0" applyFill="0" applyBorder="0" applyAlignment="0" applyProtection="0"/>
    <xf numFmtId="3" fontId="37" fillId="0" borderId="0" applyNumberFormat="0" applyFill="0" applyBorder="0" applyAlignment="0" applyProtection="0">
      <protection locked="0"/>
    </xf>
    <xf numFmtId="0" fontId="1" fillId="0" borderId="16" applyNumberFormat="0" applyFont="0" applyFill="0" applyAlignment="0">
      <alignment horizontal="left"/>
    </xf>
    <xf numFmtId="43" fontId="1" fillId="0" borderId="0" applyFont="0" applyFill="0" applyBorder="0" applyAlignment="0" applyProtection="0"/>
    <xf numFmtId="41" fontId="10" fillId="5" borderId="0" applyNumberFormat="0" applyBorder="0" applyAlignment="0"/>
    <xf numFmtId="9" fontId="1" fillId="0" borderId="0" applyFont="0" applyFill="0" applyBorder="0" applyAlignment="0" applyProtection="0"/>
    <xf numFmtId="4" fontId="24" fillId="15" borderId="35" applyNumberFormat="0" applyFont="0" applyBorder="0" applyAlignment="0" applyProtection="0">
      <alignment horizontal="left"/>
    </xf>
    <xf numFmtId="3" fontId="1" fillId="16" borderId="0" applyNumberFormat="0" applyFont="0" applyBorder="0" applyAlignment="0" applyProtection="0">
      <protection locked="0"/>
    </xf>
    <xf numFmtId="169" fontId="65" fillId="17" borderId="0" applyNumberFormat="0" applyBorder="0">
      <protection locked="0"/>
    </xf>
    <xf numFmtId="3" fontId="65" fillId="18" borderId="0" applyBorder="0"/>
    <xf numFmtId="0" fontId="66" fillId="20" borderId="0" applyNumberFormat="0" applyBorder="0" applyAlignment="0" applyProtection="0"/>
    <xf numFmtId="0" fontId="35" fillId="23" borderId="0"/>
  </cellStyleXfs>
  <cellXfs count="1646">
    <xf numFmtId="0" fontId="0" fillId="0" borderId="0" xfId="0"/>
    <xf numFmtId="0" fontId="0" fillId="8" borderId="0" xfId="0" applyFill="1" applyAlignment="1">
      <alignment horizontal="left"/>
    </xf>
    <xf numFmtId="0" fontId="24" fillId="8" borderId="0" xfId="0" applyFont="1" applyFill="1"/>
    <xf numFmtId="0" fontId="0" fillId="8" borderId="0" xfId="0" applyFill="1"/>
    <xf numFmtId="0" fontId="7" fillId="8" borderId="0" xfId="0" applyFont="1" applyFill="1"/>
    <xf numFmtId="0" fontId="0" fillId="0" borderId="0" xfId="0" applyAlignment="1">
      <alignment horizontal="left"/>
    </xf>
    <xf numFmtId="0" fontId="24" fillId="0" borderId="0" xfId="0" applyFont="1"/>
    <xf numFmtId="0" fontId="10" fillId="5" borderId="0" xfId="9" applyNumberFormat="1" applyBorder="1" applyAlignment="1"/>
    <xf numFmtId="4" fontId="1" fillId="4" borderId="0" xfId="13" applyBorder="1" applyAlignment="1">
      <protection locked="0"/>
    </xf>
    <xf numFmtId="0" fontId="4" fillId="0" borderId="0" xfId="0" applyFont="1"/>
    <xf numFmtId="0" fontId="22" fillId="0" borderId="0" xfId="0" applyFont="1"/>
    <xf numFmtId="166" fontId="8" fillId="0" borderId="0" xfId="1" applyNumberFormat="1" applyFont="1" applyProtection="1"/>
    <xf numFmtId="0" fontId="0" fillId="0" borderId="0" xfId="0" applyAlignment="1">
      <alignment horizontal="right" vertical="center"/>
    </xf>
    <xf numFmtId="0" fontId="27" fillId="8" borderId="0" xfId="0" applyFont="1" applyFill="1" applyAlignment="1">
      <alignment horizontal="left" vertical="center"/>
    </xf>
    <xf numFmtId="0" fontId="0" fillId="0" borderId="0" xfId="0" applyAlignment="1">
      <alignment horizontal="right"/>
    </xf>
    <xf numFmtId="0" fontId="36" fillId="8" borderId="0" xfId="0" applyFont="1" applyFill="1"/>
    <xf numFmtId="0" fontId="0" fillId="8" borderId="0" xfId="0" applyFill="1" applyAlignment="1">
      <alignment horizontal="right"/>
    </xf>
    <xf numFmtId="0" fontId="18" fillId="8" borderId="0" xfId="0" applyFont="1" applyFill="1"/>
    <xf numFmtId="0" fontId="0" fillId="7" borderId="0" xfId="0" applyFill="1"/>
    <xf numFmtId="0" fontId="0" fillId="8" borderId="0" xfId="0" applyFill="1" applyAlignment="1">
      <alignment horizontal="center"/>
    </xf>
    <xf numFmtId="0" fontId="4" fillId="8" borderId="0" xfId="0" applyFont="1" applyFill="1"/>
    <xf numFmtId="0" fontId="21" fillId="8" borderId="0" xfId="0" applyFont="1" applyFill="1" applyAlignment="1">
      <alignment horizontal="left"/>
    </xf>
    <xf numFmtId="0" fontId="15" fillId="8" borderId="0" xfId="0" applyFont="1" applyFill="1" applyAlignment="1">
      <alignment horizontal="center"/>
    </xf>
    <xf numFmtId="0" fontId="19" fillId="8" borderId="0" xfId="0" applyFont="1" applyFill="1" applyAlignment="1">
      <alignment horizontal="center"/>
    </xf>
    <xf numFmtId="166" fontId="4" fillId="8" borderId="0" xfId="1" applyNumberFormat="1" applyFont="1" applyFill="1" applyBorder="1" applyAlignment="1" applyProtection="1">
      <alignment horizontal="center"/>
    </xf>
    <xf numFmtId="166" fontId="4" fillId="8" borderId="0" xfId="1" applyNumberFormat="1" applyFont="1" applyFill="1" applyBorder="1" applyAlignment="1" applyProtection="1"/>
    <xf numFmtId="0" fontId="13" fillId="8" borderId="0" xfId="0" applyFont="1" applyFill="1"/>
    <xf numFmtId="0" fontId="0" fillId="8" borderId="0" xfId="0" applyFill="1" applyAlignment="1">
      <alignment vertical="top"/>
    </xf>
    <xf numFmtId="0" fontId="0" fillId="0" borderId="0" xfId="0" applyAlignment="1">
      <alignment vertical="top"/>
    </xf>
    <xf numFmtId="0" fontId="24" fillId="8" borderId="4" xfId="0" applyFont="1" applyFill="1" applyBorder="1"/>
    <xf numFmtId="0" fontId="0" fillId="8" borderId="1" xfId="0" applyFill="1" applyBorder="1"/>
    <xf numFmtId="0" fontId="0" fillId="8" borderId="4" xfId="0" applyFill="1" applyBorder="1"/>
    <xf numFmtId="0" fontId="0" fillId="8" borderId="6" xfId="0" applyFill="1" applyBorder="1"/>
    <xf numFmtId="0" fontId="0" fillId="8" borderId="7" xfId="0" applyFill="1" applyBorder="1"/>
    <xf numFmtId="166" fontId="4" fillId="8" borderId="0" xfId="1" applyNumberFormat="1" applyFont="1" applyFill="1" applyAlignment="1" applyProtection="1"/>
    <xf numFmtId="166" fontId="4" fillId="0" borderId="0" xfId="1" applyNumberFormat="1" applyFont="1" applyAlignment="1" applyProtection="1"/>
    <xf numFmtId="0" fontId="15" fillId="8" borderId="0" xfId="0" applyFont="1" applyFill="1"/>
    <xf numFmtId="0" fontId="15" fillId="8" borderId="0" xfId="0" applyFont="1" applyFill="1" applyAlignment="1">
      <alignment horizontal="left"/>
    </xf>
    <xf numFmtId="0" fontId="24" fillId="8" borderId="0" xfId="0" applyFont="1" applyFill="1" applyAlignment="1">
      <alignment horizontal="left"/>
    </xf>
    <xf numFmtId="0" fontId="24" fillId="8" borderId="0" xfId="0" applyFont="1" applyFill="1" applyAlignment="1">
      <alignment horizontal="right"/>
    </xf>
    <xf numFmtId="0" fontId="24" fillId="8" borderId="1" xfId="0" applyFont="1" applyFill="1" applyBorder="1"/>
    <xf numFmtId="166" fontId="0" fillId="8" borderId="0" xfId="1" applyNumberFormat="1" applyFont="1" applyFill="1" applyBorder="1" applyAlignment="1" applyProtection="1"/>
    <xf numFmtId="0" fontId="25" fillId="8" borderId="0" xfId="0" applyFont="1" applyFill="1" applyAlignment="1">
      <alignment horizontal="left"/>
    </xf>
    <xf numFmtId="0" fontId="25" fillId="8" borderId="0" xfId="0" applyFont="1" applyFill="1" applyAlignment="1">
      <alignment horizontal="center"/>
    </xf>
    <xf numFmtId="166" fontId="0" fillId="8" borderId="0" xfId="1" applyNumberFormat="1" applyFont="1" applyFill="1" applyBorder="1" applyAlignment="1" applyProtection="1">
      <alignment horizontal="center"/>
    </xf>
    <xf numFmtId="0" fontId="25" fillId="8" borderId="0" xfId="0" applyFont="1" applyFill="1"/>
    <xf numFmtId="167" fontId="0" fillId="8" borderId="0" xfId="1" applyNumberFormat="1" applyFont="1" applyFill="1" applyBorder="1" applyAlignment="1" applyProtection="1"/>
    <xf numFmtId="166" fontId="24" fillId="8" borderId="0" xfId="1" applyNumberFormat="1" applyFont="1" applyFill="1" applyBorder="1" applyAlignment="1" applyProtection="1">
      <alignment horizontal="right"/>
    </xf>
    <xf numFmtId="166" fontId="0" fillId="8" borderId="0" xfId="1" applyNumberFormat="1" applyFont="1" applyFill="1" applyAlignment="1" applyProtection="1"/>
    <xf numFmtId="0" fontId="14" fillId="8" borderId="0" xfId="0" applyFont="1" applyFill="1"/>
    <xf numFmtId="166" fontId="20" fillId="8" borderId="0" xfId="1" applyNumberFormat="1" applyFont="1" applyFill="1" applyBorder="1" applyAlignment="1" applyProtection="1">
      <alignment horizontal="center"/>
    </xf>
    <xf numFmtId="166" fontId="24" fillId="8" borderId="0" xfId="1" applyNumberFormat="1" applyFont="1" applyFill="1" applyBorder="1" applyAlignment="1" applyProtection="1">
      <alignment horizontal="center"/>
    </xf>
    <xf numFmtId="4" fontId="0" fillId="8" borderId="0" xfId="0" applyNumberFormat="1" applyFill="1"/>
    <xf numFmtId="0" fontId="7" fillId="8" borderId="0" xfId="0" applyFont="1" applyFill="1" applyAlignment="1">
      <alignment horizontal="center"/>
    </xf>
    <xf numFmtId="0" fontId="0" fillId="8" borderId="2" xfId="0" applyFill="1" applyBorder="1"/>
    <xf numFmtId="0" fontId="14" fillId="8" borderId="0" xfId="0" applyFont="1" applyFill="1" applyAlignment="1">
      <alignment horizontal="left"/>
    </xf>
    <xf numFmtId="0" fontId="16" fillId="8" borderId="0" xfId="0" applyFont="1" applyFill="1" applyAlignment="1" applyProtection="1">
      <alignment horizontal="center"/>
      <protection locked="0"/>
    </xf>
    <xf numFmtId="0" fontId="0" fillId="8" borderId="12" xfId="0" applyFill="1" applyBorder="1"/>
    <xf numFmtId="0" fontId="14" fillId="0" borderId="0" xfId="0" applyFont="1"/>
    <xf numFmtId="0" fontId="14" fillId="8" borderId="0" xfId="0" applyFont="1" applyFill="1" applyAlignment="1">
      <alignment horizontal="right"/>
    </xf>
    <xf numFmtId="0" fontId="14" fillId="0" borderId="0" xfId="0" applyFont="1" applyAlignment="1">
      <alignment horizontal="right"/>
    </xf>
    <xf numFmtId="0" fontId="14" fillId="0" borderId="0" xfId="0" applyFont="1" applyAlignment="1">
      <alignment horizontal="left"/>
    </xf>
    <xf numFmtId="10" fontId="0" fillId="8" borderId="0" xfId="14" applyNumberFormat="1" applyFont="1" applyFill="1" applyBorder="1" applyAlignment="1" applyProtection="1"/>
    <xf numFmtId="0" fontId="24" fillId="8" borderId="0" xfId="0" applyFont="1" applyFill="1" applyAlignment="1">
      <alignment horizontal="center"/>
    </xf>
    <xf numFmtId="3" fontId="0" fillId="8" borderId="6" xfId="0" applyNumberFormat="1" applyFill="1" applyBorder="1" applyAlignment="1">
      <alignment horizontal="right"/>
    </xf>
    <xf numFmtId="3" fontId="0" fillId="8" borderId="12" xfId="0" applyNumberFormat="1" applyFill="1" applyBorder="1" applyAlignment="1">
      <alignment horizontal="right"/>
    </xf>
    <xf numFmtId="165" fontId="1" fillId="4" borderId="0" xfId="12" applyBorder="1" applyAlignment="1">
      <protection locked="0"/>
    </xf>
    <xf numFmtId="1" fontId="24" fillId="4" borderId="0" xfId="13" applyNumberFormat="1" applyFont="1" applyBorder="1" applyAlignment="1">
      <protection locked="0"/>
    </xf>
    <xf numFmtId="0" fontId="23" fillId="0" borderId="0" xfId="0" applyFont="1"/>
    <xf numFmtId="0" fontId="2" fillId="0" borderId="0" xfId="0" applyFont="1"/>
    <xf numFmtId="0" fontId="15" fillId="8" borderId="0" xfId="0" applyFont="1" applyFill="1" applyAlignment="1" applyProtection="1">
      <alignment horizontal="center"/>
      <protection locked="0"/>
    </xf>
    <xf numFmtId="0" fontId="14" fillId="8" borderId="0" xfId="0" applyFont="1" applyFill="1" applyProtection="1">
      <protection locked="0"/>
    </xf>
    <xf numFmtId="0" fontId="7" fillId="8" borderId="0" xfId="0" applyFont="1" applyFill="1" applyAlignment="1" applyProtection="1">
      <alignment horizontal="center"/>
      <protection locked="0"/>
    </xf>
    <xf numFmtId="3" fontId="1" fillId="4" borderId="0" xfId="13" applyNumberFormat="1" applyBorder="1" applyAlignment="1">
      <alignment horizontal="right"/>
      <protection locked="0"/>
    </xf>
    <xf numFmtId="0" fontId="0" fillId="0" borderId="0" xfId="0" applyAlignment="1">
      <alignment horizontal="center"/>
    </xf>
    <xf numFmtId="0" fontId="18" fillId="8" borderId="0" xfId="0" applyFont="1" applyFill="1" applyAlignment="1">
      <alignment horizontal="center"/>
    </xf>
    <xf numFmtId="0" fontId="24" fillId="8" borderId="0" xfId="0" applyFont="1" applyFill="1" applyAlignment="1">
      <alignment horizontal="center" wrapText="1"/>
    </xf>
    <xf numFmtId="0" fontId="45" fillId="8" borderId="0" xfId="0" applyFont="1" applyFill="1" applyAlignment="1">
      <alignment horizontal="center"/>
    </xf>
    <xf numFmtId="166" fontId="4" fillId="0" borderId="0" xfId="1" applyNumberFormat="1" applyFont="1" applyBorder="1" applyAlignment="1" applyProtection="1"/>
    <xf numFmtId="0" fontId="0" fillId="7" borderId="1" xfId="0" applyFill="1" applyBorder="1"/>
    <xf numFmtId="0" fontId="24" fillId="7" borderId="1" xfId="0" applyFont="1" applyFill="1" applyBorder="1" applyAlignment="1">
      <alignment horizontal="center"/>
    </xf>
    <xf numFmtId="5" fontId="0" fillId="8" borderId="0" xfId="0" applyNumberFormat="1" applyFill="1"/>
    <xf numFmtId="0" fontId="41" fillId="8" borderId="0" xfId="0" applyFont="1" applyFill="1" applyAlignment="1">
      <alignment horizontal="center"/>
    </xf>
    <xf numFmtId="0" fontId="24" fillId="8" borderId="0" xfId="0" applyFont="1" applyFill="1" applyAlignment="1">
      <alignment horizontal="center" vertical="center"/>
    </xf>
    <xf numFmtId="0" fontId="0" fillId="8" borderId="0" xfId="0" applyFill="1" applyAlignment="1">
      <alignment horizontal="center" vertical="center"/>
    </xf>
    <xf numFmtId="3" fontId="0" fillId="8" borderId="0" xfId="0" applyNumberFormat="1" applyFill="1"/>
    <xf numFmtId="0" fontId="35" fillId="8" borderId="0" xfId="2" applyFill="1" applyBorder="1" applyAlignment="1" applyProtection="1"/>
    <xf numFmtId="166" fontId="24" fillId="8" borderId="0" xfId="1" applyNumberFormat="1" applyFont="1" applyFill="1" applyBorder="1" applyAlignment="1" applyProtection="1"/>
    <xf numFmtId="0" fontId="0" fillId="8" borderId="0" xfId="0" applyFill="1" applyAlignment="1">
      <alignment vertical="center"/>
    </xf>
    <xf numFmtId="0" fontId="24" fillId="8" borderId="7" xfId="0" applyFont="1" applyFill="1" applyBorder="1"/>
    <xf numFmtId="0" fontId="0" fillId="8" borderId="0" xfId="0" applyFill="1" applyAlignment="1">
      <alignment horizontal="left" vertical="center"/>
    </xf>
    <xf numFmtId="0" fontId="22" fillId="8" borderId="0" xfId="0" applyFont="1" applyFill="1" applyAlignment="1">
      <alignment horizontal="center" vertical="center"/>
    </xf>
    <xf numFmtId="3" fontId="1" fillId="11" borderId="0" xfId="13" applyNumberFormat="1" applyFill="1" applyBorder="1" applyAlignment="1">
      <alignment horizontal="right"/>
      <protection locked="0"/>
    </xf>
    <xf numFmtId="2" fontId="24" fillId="8" borderId="0" xfId="0" applyNumberFormat="1" applyFont="1" applyFill="1"/>
    <xf numFmtId="3" fontId="0" fillId="8" borderId="2" xfId="0" applyNumberFormat="1" applyFill="1" applyBorder="1"/>
    <xf numFmtId="4" fontId="0" fillId="8" borderId="0" xfId="0" applyNumberFormat="1" applyFill="1" applyAlignment="1">
      <alignment horizontal="right"/>
    </xf>
    <xf numFmtId="10" fontId="0" fillId="8" borderId="0" xfId="14" applyNumberFormat="1" applyFont="1" applyFill="1" applyBorder="1" applyAlignment="1" applyProtection="1">
      <alignment horizontal="right"/>
    </xf>
    <xf numFmtId="0" fontId="24" fillId="8" borderId="2" xfId="0" applyFont="1" applyFill="1" applyBorder="1"/>
    <xf numFmtId="10" fontId="0" fillId="8" borderId="2" xfId="14" applyNumberFormat="1" applyFont="1" applyFill="1" applyBorder="1"/>
    <xf numFmtId="10" fontId="0" fillId="8" borderId="0" xfId="14" applyNumberFormat="1" applyFont="1" applyFill="1" applyBorder="1"/>
    <xf numFmtId="10" fontId="0" fillId="8" borderId="4" xfId="14" applyNumberFormat="1" applyFont="1" applyFill="1" applyBorder="1"/>
    <xf numFmtId="3" fontId="0" fillId="9" borderId="0" xfId="0" applyNumberFormat="1" applyFill="1" applyAlignment="1">
      <alignment horizontal="center"/>
    </xf>
    <xf numFmtId="0" fontId="37" fillId="8" borderId="3" xfId="17" applyNumberFormat="1" applyFill="1" applyBorder="1" applyProtection="1"/>
    <xf numFmtId="0" fontId="37" fillId="8" borderId="12" xfId="17" applyNumberFormat="1" applyFill="1" applyBorder="1" applyProtection="1"/>
    <xf numFmtId="0" fontId="37" fillId="8" borderId="15" xfId="17" applyNumberFormat="1" applyFill="1" applyBorder="1" applyProtection="1"/>
    <xf numFmtId="4" fontId="0" fillId="4" borderId="0" xfId="13" applyFont="1" applyBorder="1" applyAlignment="1">
      <protection locked="0"/>
    </xf>
    <xf numFmtId="0" fontId="0" fillId="8" borderId="3" xfId="0" applyFill="1" applyBorder="1"/>
    <xf numFmtId="0" fontId="0" fillId="8" borderId="15" xfId="0" applyFill="1" applyBorder="1"/>
    <xf numFmtId="4" fontId="0" fillId="8" borderId="2" xfId="0" applyNumberFormat="1" applyFill="1" applyBorder="1"/>
    <xf numFmtId="4" fontId="37" fillId="8" borderId="0" xfId="17" applyNumberFormat="1" applyFill="1" applyBorder="1" applyAlignment="1" applyProtection="1">
      <alignment horizontal="left"/>
    </xf>
    <xf numFmtId="3" fontId="0" fillId="8" borderId="1" xfId="0" applyNumberFormat="1" applyFill="1" applyBorder="1" applyAlignment="1">
      <alignment horizontal="left"/>
    </xf>
    <xf numFmtId="3" fontId="0" fillId="8" borderId="2" xfId="0" applyNumberFormat="1" applyFill="1" applyBorder="1" applyAlignment="1">
      <alignment horizontal="right"/>
    </xf>
    <xf numFmtId="3" fontId="0" fillId="10" borderId="0" xfId="0" applyNumberFormat="1" applyFill="1" applyAlignment="1">
      <alignment horizontal="right"/>
    </xf>
    <xf numFmtId="3" fontId="24" fillId="10" borderId="2" xfId="0" applyNumberFormat="1" applyFont="1" applyFill="1" applyBorder="1" applyAlignment="1">
      <alignment horizontal="right"/>
    </xf>
    <xf numFmtId="4" fontId="0" fillId="10" borderId="2" xfId="0" applyNumberFormat="1" applyFill="1" applyBorder="1" applyAlignment="1">
      <alignment horizontal="left"/>
    </xf>
    <xf numFmtId="4" fontId="24" fillId="10" borderId="2" xfId="0" applyNumberFormat="1" applyFont="1" applyFill="1" applyBorder="1" applyAlignment="1">
      <alignment horizontal="left"/>
    </xf>
    <xf numFmtId="3" fontId="0" fillId="8" borderId="7" xfId="0" applyNumberFormat="1" applyFill="1" applyBorder="1" applyAlignment="1">
      <alignment horizontal="right"/>
    </xf>
    <xf numFmtId="0" fontId="0" fillId="8" borderId="0" xfId="0" applyFill="1" applyAlignment="1">
      <alignment horizontal="right" vertical="center"/>
    </xf>
    <xf numFmtId="3" fontId="24" fillId="10" borderId="0" xfId="0" applyNumberFormat="1" applyFont="1" applyFill="1" applyAlignment="1">
      <alignment horizontal="right"/>
    </xf>
    <xf numFmtId="3" fontId="0" fillId="8" borderId="1" xfId="0" applyNumberFormat="1" applyFill="1" applyBorder="1" applyAlignment="1">
      <alignment horizontal="right"/>
    </xf>
    <xf numFmtId="3" fontId="0" fillId="8" borderId="4" xfId="0" applyNumberFormat="1" applyFill="1" applyBorder="1" applyAlignment="1">
      <alignment horizontal="right"/>
    </xf>
    <xf numFmtId="10" fontId="0" fillId="8" borderId="0" xfId="14" applyNumberFormat="1" applyFont="1" applyFill="1" applyAlignment="1">
      <alignment horizontal="right"/>
    </xf>
    <xf numFmtId="10" fontId="0" fillId="8" borderId="0" xfId="14" applyNumberFormat="1" applyFont="1" applyFill="1" applyAlignment="1">
      <alignment horizontal="center"/>
    </xf>
    <xf numFmtId="166" fontId="0" fillId="8" borderId="0" xfId="1" applyNumberFormat="1" applyFont="1" applyFill="1" applyBorder="1" applyAlignment="1" applyProtection="1">
      <alignment horizontal="left"/>
    </xf>
    <xf numFmtId="166" fontId="0" fillId="8" borderId="0" xfId="1" applyNumberFormat="1" applyFont="1" applyFill="1" applyBorder="1" applyProtection="1"/>
    <xf numFmtId="10" fontId="0" fillId="8" borderId="0" xfId="0" applyNumberFormat="1" applyFill="1"/>
    <xf numFmtId="0" fontId="31" fillId="8" borderId="0" xfId="0" applyFont="1" applyFill="1"/>
    <xf numFmtId="0" fontId="0" fillId="8" borderId="18" xfId="0" applyFill="1" applyBorder="1"/>
    <xf numFmtId="3" fontId="26" fillId="8" borderId="0" xfId="18" applyNumberFormat="1" applyFont="1" applyFill="1" applyBorder="1" applyAlignment="1"/>
    <xf numFmtId="10" fontId="24" fillId="8" borderId="0" xfId="14" quotePrefix="1" applyNumberFormat="1" applyFont="1" applyFill="1" applyBorder="1" applyAlignment="1" applyProtection="1"/>
    <xf numFmtId="3" fontId="24" fillId="8" borderId="0" xfId="18" applyNumberFormat="1" applyFont="1" applyFill="1" applyBorder="1" applyAlignment="1"/>
    <xf numFmtId="10" fontId="1" fillId="8" borderId="0" xfId="14" quotePrefix="1" applyNumberFormat="1" applyFont="1" applyFill="1" applyBorder="1" applyAlignment="1" applyProtection="1"/>
    <xf numFmtId="3" fontId="1" fillId="8" borderId="0" xfId="18" applyNumberFormat="1" applyFont="1" applyFill="1" applyBorder="1" applyAlignment="1"/>
    <xf numFmtId="3" fontId="0" fillId="8" borderId="18" xfId="0" quotePrefix="1" applyNumberFormat="1" applyFill="1" applyBorder="1"/>
    <xf numFmtId="0" fontId="34" fillId="8" borderId="0" xfId="7" applyNumberFormat="1" applyFill="1" applyBorder="1" applyAlignment="1"/>
    <xf numFmtId="0" fontId="0" fillId="8" borderId="17" xfId="0" applyFill="1" applyBorder="1"/>
    <xf numFmtId="165" fontId="0" fillId="8" borderId="18" xfId="14" quotePrefix="1" applyNumberFormat="1" applyFont="1" applyFill="1" applyBorder="1" applyAlignment="1" applyProtection="1"/>
    <xf numFmtId="3" fontId="0" fillId="8" borderId="0" xfId="18" applyNumberFormat="1" applyFont="1" applyFill="1" applyBorder="1" applyAlignment="1"/>
    <xf numFmtId="0" fontId="0" fillId="8" borderId="1" xfId="0" applyFill="1" applyBorder="1" applyAlignment="1">
      <alignment horizontal="left"/>
    </xf>
    <xf numFmtId="0" fontId="26" fillId="8" borderId="0" xfId="0" applyFont="1" applyFill="1" applyAlignment="1">
      <alignment horizontal="center"/>
    </xf>
    <xf numFmtId="0" fontId="0" fillId="8" borderId="19" xfId="0" applyFill="1" applyBorder="1"/>
    <xf numFmtId="0" fontId="0" fillId="8" borderId="20" xfId="0" applyFill="1" applyBorder="1"/>
    <xf numFmtId="0" fontId="24" fillId="8" borderId="0" xfId="18" applyFont="1" applyFill="1" applyBorder="1" applyAlignment="1"/>
    <xf numFmtId="0" fontId="37" fillId="8" borderId="0" xfId="0" applyFont="1" applyFill="1" applyAlignment="1">
      <alignment horizontal="left"/>
    </xf>
    <xf numFmtId="0" fontId="37" fillId="8" borderId="0" xfId="17" applyNumberFormat="1" applyFill="1" applyBorder="1" applyAlignment="1" applyProtection="1">
      <alignment horizontal="right"/>
    </xf>
    <xf numFmtId="10" fontId="24" fillId="8" borderId="0" xfId="14" applyNumberFormat="1" applyFont="1" applyFill="1" applyBorder="1" applyAlignment="1" applyProtection="1">
      <alignment horizontal="right"/>
    </xf>
    <xf numFmtId="0" fontId="40" fillId="8" borderId="0" xfId="0" applyFont="1" applyFill="1" applyAlignment="1">
      <alignment horizontal="right"/>
    </xf>
    <xf numFmtId="0" fontId="43" fillId="8" borderId="0" xfId="0" applyFont="1" applyFill="1" applyAlignment="1">
      <alignment horizontal="left"/>
    </xf>
    <xf numFmtId="0" fontId="48" fillId="8" borderId="0" xfId="0" applyFont="1" applyFill="1" applyAlignment="1">
      <alignment horizontal="left"/>
    </xf>
    <xf numFmtId="3" fontId="24" fillId="8" borderId="30" xfId="18" applyNumberFormat="1" applyFont="1" applyFill="1" applyBorder="1" applyAlignment="1"/>
    <xf numFmtId="10" fontId="0" fillId="8" borderId="0" xfId="14" applyNumberFormat="1" applyFont="1" applyFill="1" applyBorder="1" applyAlignment="1">
      <alignment horizontal="right"/>
    </xf>
    <xf numFmtId="3" fontId="0" fillId="8" borderId="0" xfId="0" applyNumberFormat="1" applyFill="1" applyAlignment="1">
      <alignment horizontal="right"/>
    </xf>
    <xf numFmtId="3" fontId="0" fillId="8" borderId="0" xfId="18" applyNumberFormat="1" applyFont="1" applyFill="1" applyBorder="1" applyAlignment="1">
      <alignment horizontal="right"/>
    </xf>
    <xf numFmtId="0" fontId="0" fillId="13" borderId="0" xfId="0" applyFill="1" applyAlignment="1">
      <alignment horizontal="left"/>
    </xf>
    <xf numFmtId="0" fontId="0" fillId="8" borderId="19" xfId="0" applyFill="1" applyBorder="1" applyAlignment="1">
      <alignment horizontal="right"/>
    </xf>
    <xf numFmtId="0" fontId="49" fillId="8" borderId="0" xfId="0" applyFont="1" applyFill="1" applyAlignment="1">
      <alignment horizontal="left"/>
    </xf>
    <xf numFmtId="0" fontId="18" fillId="8" borderId="0" xfId="0" applyFont="1" applyFill="1" applyAlignment="1">
      <alignment horizontal="left"/>
    </xf>
    <xf numFmtId="3" fontId="0" fillId="8" borderId="15" xfId="0" applyNumberFormat="1" applyFill="1" applyBorder="1"/>
    <xf numFmtId="0" fontId="34" fillId="8" borderId="2" xfId="7" applyNumberFormat="1" applyFill="1" applyBorder="1" applyAlignment="1"/>
    <xf numFmtId="0" fontId="0" fillId="8" borderId="1" xfId="0" applyFill="1" applyBorder="1" applyAlignment="1">
      <alignment horizontal="center"/>
    </xf>
    <xf numFmtId="165" fontId="0" fillId="8" borderId="0" xfId="14" applyNumberFormat="1" applyFont="1" applyFill="1" applyBorder="1"/>
    <xf numFmtId="2" fontId="24" fillId="10" borderId="1" xfId="0" applyNumberFormat="1" applyFont="1" applyFill="1" applyBorder="1" applyAlignment="1">
      <alignment horizontal="center" vertical="center"/>
    </xf>
    <xf numFmtId="0" fontId="24" fillId="8" borderId="0" xfId="0" applyFont="1" applyFill="1" applyAlignment="1">
      <alignment vertical="center"/>
    </xf>
    <xf numFmtId="165" fontId="0" fillId="8" borderId="4" xfId="14" applyNumberFormat="1" applyFont="1" applyFill="1" applyBorder="1"/>
    <xf numFmtId="165" fontId="0" fillId="8" borderId="2" xfId="14" applyNumberFormat="1" applyFont="1" applyFill="1" applyBorder="1"/>
    <xf numFmtId="0" fontId="7" fillId="8" borderId="0" xfId="0" applyFont="1" applyFill="1" applyAlignment="1">
      <alignment horizontal="left" vertical="center"/>
    </xf>
    <xf numFmtId="0" fontId="35" fillId="8" borderId="0" xfId="0" applyFont="1" applyFill="1"/>
    <xf numFmtId="0" fontId="39" fillId="8" borderId="0" xfId="0" applyFont="1" applyFill="1"/>
    <xf numFmtId="0" fontId="24" fillId="8" borderId="2" xfId="0" applyFont="1" applyFill="1" applyBorder="1" applyAlignment="1">
      <alignment horizontal="left" vertical="center"/>
    </xf>
    <xf numFmtId="0" fontId="0" fillId="8" borderId="2" xfId="0" applyFill="1" applyBorder="1" applyAlignment="1">
      <alignment horizontal="left" vertical="center"/>
    </xf>
    <xf numFmtId="0" fontId="24" fillId="8" borderId="6" xfId="0" applyFont="1" applyFill="1" applyBorder="1" applyAlignment="1">
      <alignment horizontal="left" vertical="center"/>
    </xf>
    <xf numFmtId="0" fontId="32" fillId="8" borderId="0" xfId="0" applyFont="1" applyFill="1" applyAlignment="1">
      <alignment horizontal="left" vertical="center"/>
    </xf>
    <xf numFmtId="0" fontId="37" fillId="8" borderId="0" xfId="17" applyNumberFormat="1" applyFill="1" applyBorder="1" applyProtection="1"/>
    <xf numFmtId="0" fontId="0" fillId="8" borderId="0" xfId="18" applyFont="1" applyFill="1" applyBorder="1" applyAlignment="1"/>
    <xf numFmtId="0" fontId="1" fillId="8" borderId="16" xfId="18" applyFill="1" applyAlignment="1"/>
    <xf numFmtId="1" fontId="1" fillId="8" borderId="16" xfId="18" applyNumberFormat="1" applyFill="1" applyAlignment="1"/>
    <xf numFmtId="1" fontId="0" fillId="8" borderId="0" xfId="0" applyNumberFormat="1" applyFill="1"/>
    <xf numFmtId="10" fontId="1" fillId="8" borderId="16" xfId="14" applyNumberFormat="1" applyFont="1" applyFill="1" applyBorder="1" applyAlignment="1"/>
    <xf numFmtId="0" fontId="1" fillId="8" borderId="0" xfId="18" applyFill="1" applyBorder="1" applyAlignment="1"/>
    <xf numFmtId="10" fontId="1" fillId="8" borderId="0" xfId="14" applyNumberFormat="1" applyFont="1" applyFill="1" applyBorder="1" applyAlignment="1"/>
    <xf numFmtId="0" fontId="37" fillId="8" borderId="1" xfId="17" applyNumberFormat="1" applyFill="1" applyBorder="1" applyAlignment="1" applyProtection="1">
      <alignment horizontal="right"/>
    </xf>
    <xf numFmtId="0" fontId="5" fillId="8" borderId="0" xfId="0" applyFont="1" applyFill="1"/>
    <xf numFmtId="0" fontId="37" fillId="8" borderId="3" xfId="17" applyNumberFormat="1" applyFill="1" applyBorder="1" applyAlignment="1" applyProtection="1"/>
    <xf numFmtId="0" fontId="37" fillId="8" borderId="12" xfId="17" applyNumberFormat="1" applyFill="1" applyBorder="1" applyAlignment="1" applyProtection="1"/>
    <xf numFmtId="4" fontId="1" fillId="4" borderId="1" xfId="13" applyBorder="1" applyAlignment="1">
      <protection locked="0"/>
    </xf>
    <xf numFmtId="0" fontId="36" fillId="8" borderId="2" xfId="0" applyFont="1" applyFill="1" applyBorder="1"/>
    <xf numFmtId="0" fontId="24" fillId="8" borderId="4" xfId="0" applyFont="1" applyFill="1" applyBorder="1" applyAlignment="1">
      <alignment horizontal="right"/>
    </xf>
    <xf numFmtId="3" fontId="24" fillId="8" borderId="2" xfId="0" quotePrefix="1" applyNumberFormat="1" applyFont="1" applyFill="1" applyBorder="1"/>
    <xf numFmtId="10" fontId="24" fillId="8" borderId="4" xfId="14" quotePrefix="1" applyNumberFormat="1" applyFont="1" applyFill="1" applyBorder="1" applyAlignment="1" applyProtection="1"/>
    <xf numFmtId="10" fontId="1" fillId="8" borderId="4" xfId="14" quotePrefix="1" applyNumberFormat="1" applyFont="1" applyFill="1" applyBorder="1" applyAlignment="1" applyProtection="1"/>
    <xf numFmtId="3" fontId="0" fillId="8" borderId="34" xfId="0" quotePrefix="1" applyNumberFormat="1" applyFill="1" applyBorder="1"/>
    <xf numFmtId="10" fontId="0" fillId="8" borderId="7" xfId="0" applyNumberFormat="1" applyFill="1" applyBorder="1"/>
    <xf numFmtId="10" fontId="0" fillId="8" borderId="4" xfId="14" applyNumberFormat="1" applyFont="1" applyFill="1" applyBorder="1" applyAlignment="1">
      <alignment horizontal="right"/>
    </xf>
    <xf numFmtId="3" fontId="0" fillId="8" borderId="4" xfId="18" applyNumberFormat="1" applyFont="1" applyFill="1" applyBorder="1" applyAlignment="1">
      <alignment horizontal="right"/>
    </xf>
    <xf numFmtId="0" fontId="15" fillId="8" borderId="0" xfId="0" applyFont="1" applyFill="1" applyAlignment="1">
      <alignment horizontal="right"/>
    </xf>
    <xf numFmtId="0" fontId="0" fillId="7" borderId="1" xfId="0" applyFill="1" applyBorder="1" applyAlignment="1">
      <alignment horizontal="right"/>
    </xf>
    <xf numFmtId="0" fontId="24" fillId="7" borderId="1" xfId="0" applyFont="1" applyFill="1" applyBorder="1" applyAlignment="1">
      <alignment horizontal="right"/>
    </xf>
    <xf numFmtId="0" fontId="0" fillId="7" borderId="2" xfId="0" applyFill="1" applyBorder="1"/>
    <xf numFmtId="0" fontId="0" fillId="7" borderId="4" xfId="0" applyFill="1" applyBorder="1"/>
    <xf numFmtId="0" fontId="0" fillId="8" borderId="2" xfId="0" applyFill="1" applyBorder="1" applyAlignment="1">
      <alignment horizontal="right"/>
    </xf>
    <xf numFmtId="0" fontId="0" fillId="8" borderId="4" xfId="0" applyFill="1" applyBorder="1" applyAlignment="1">
      <alignment horizontal="right"/>
    </xf>
    <xf numFmtId="3" fontId="0" fillId="8" borderId="4" xfId="0" applyNumberFormat="1" applyFill="1" applyBorder="1"/>
    <xf numFmtId="3" fontId="34" fillId="8" borderId="2" xfId="7" applyNumberFormat="1" applyFill="1" applyBorder="1" applyAlignment="1"/>
    <xf numFmtId="3" fontId="34" fillId="8" borderId="0" xfId="7" applyNumberFormat="1" applyFill="1" applyBorder="1" applyAlignment="1"/>
    <xf numFmtId="3" fontId="24" fillId="8" borderId="0" xfId="0" applyNumberFormat="1" applyFont="1" applyFill="1"/>
    <xf numFmtId="10" fontId="34" fillId="8" borderId="4" xfId="14" applyNumberFormat="1" applyFont="1" applyFill="1" applyBorder="1" applyAlignment="1"/>
    <xf numFmtId="4" fontId="0" fillId="4" borderId="0" xfId="13" applyFont="1" applyBorder="1" applyAlignment="1">
      <alignment vertical="justify"/>
      <protection locked="0"/>
    </xf>
    <xf numFmtId="0" fontId="0" fillId="10" borderId="0" xfId="0" applyFill="1"/>
    <xf numFmtId="0" fontId="24" fillId="10" borderId="0" xfId="0" applyFont="1" applyFill="1"/>
    <xf numFmtId="0" fontId="0" fillId="10" borderId="6" xfId="0" applyFill="1" applyBorder="1"/>
    <xf numFmtId="0" fontId="51" fillId="10" borderId="6" xfId="0" applyFont="1" applyFill="1" applyBorder="1" applyAlignment="1">
      <alignment horizontal="right"/>
    </xf>
    <xf numFmtId="0" fontId="51" fillId="10" borderId="1" xfId="0" applyFont="1" applyFill="1" applyBorder="1" applyAlignment="1">
      <alignment horizontal="right"/>
    </xf>
    <xf numFmtId="0" fontId="51" fillId="10" borderId="7" xfId="0" applyFont="1" applyFill="1" applyBorder="1" applyAlignment="1">
      <alignment horizontal="right"/>
    </xf>
    <xf numFmtId="0" fontId="24" fillId="10" borderId="6" xfId="0" applyFont="1" applyFill="1" applyBorder="1" applyAlignment="1">
      <alignment horizontal="right"/>
    </xf>
    <xf numFmtId="0" fontId="24" fillId="10" borderId="1" xfId="0" applyFont="1" applyFill="1" applyBorder="1" applyAlignment="1">
      <alignment horizontal="right"/>
    </xf>
    <xf numFmtId="0" fontId="0" fillId="10" borderId="32" xfId="0" applyFill="1" applyBorder="1" applyAlignment="1">
      <alignment horizontal="center"/>
    </xf>
    <xf numFmtId="0" fontId="0" fillId="10" borderId="33" xfId="0" applyFill="1" applyBorder="1" applyAlignment="1">
      <alignment horizontal="center"/>
    </xf>
    <xf numFmtId="0" fontId="25" fillId="10" borderId="2" xfId="0" applyFont="1" applyFill="1" applyBorder="1"/>
    <xf numFmtId="0" fontId="0" fillId="10" borderId="2" xfId="0" applyFill="1" applyBorder="1"/>
    <xf numFmtId="0" fontId="24" fillId="10" borderId="2" xfId="0" applyFont="1" applyFill="1" applyBorder="1"/>
    <xf numFmtId="3" fontId="24" fillId="10" borderId="2" xfId="0" quotePrefix="1" applyNumberFormat="1" applyFont="1" applyFill="1" applyBorder="1"/>
    <xf numFmtId="10" fontId="24" fillId="10" borderId="4" xfId="14" quotePrefix="1" applyNumberFormat="1" applyFont="1" applyFill="1" applyBorder="1" applyAlignment="1" applyProtection="1"/>
    <xf numFmtId="3" fontId="34" fillId="10" borderId="0" xfId="7" applyNumberFormat="1" applyFill="1" applyBorder="1" applyAlignment="1">
      <alignment horizontal="right"/>
    </xf>
    <xf numFmtId="3" fontId="0" fillId="10" borderId="2" xfId="0" quotePrefix="1" applyNumberFormat="1" applyFill="1" applyBorder="1"/>
    <xf numFmtId="10" fontId="1" fillId="10" borderId="4" xfId="14" quotePrefix="1" applyNumberFormat="1" applyFont="1" applyFill="1" applyBorder="1" applyAlignment="1" applyProtection="1"/>
    <xf numFmtId="0" fontId="0" fillId="10" borderId="17" xfId="0" applyFill="1" applyBorder="1" applyAlignment="1">
      <alignment horizontal="right"/>
    </xf>
    <xf numFmtId="0" fontId="24" fillId="10" borderId="7" xfId="0" applyFont="1" applyFill="1" applyBorder="1" applyAlignment="1">
      <alignment horizontal="right"/>
    </xf>
    <xf numFmtId="0" fontId="0" fillId="10" borderId="21" xfId="0" applyFill="1" applyBorder="1" applyAlignment="1">
      <alignment horizontal="center"/>
    </xf>
    <xf numFmtId="10" fontId="0" fillId="10" borderId="0" xfId="14" applyNumberFormat="1" applyFont="1" applyFill="1" applyBorder="1" applyAlignment="1">
      <alignment horizontal="right"/>
    </xf>
    <xf numFmtId="10" fontId="0" fillId="10" borderId="4" xfId="14" applyNumberFormat="1" applyFont="1" applyFill="1" applyBorder="1" applyAlignment="1">
      <alignment horizontal="right"/>
    </xf>
    <xf numFmtId="3" fontId="0" fillId="10" borderId="4" xfId="0" applyNumberFormat="1" applyFill="1" applyBorder="1" applyAlignment="1">
      <alignment horizontal="right"/>
    </xf>
    <xf numFmtId="3" fontId="24" fillId="10" borderId="18" xfId="0" quotePrefix="1" applyNumberFormat="1" applyFont="1" applyFill="1" applyBorder="1"/>
    <xf numFmtId="3" fontId="0" fillId="10" borderId="0" xfId="18" applyNumberFormat="1" applyFont="1" applyFill="1" applyBorder="1" applyAlignment="1">
      <alignment horizontal="right"/>
    </xf>
    <xf numFmtId="3" fontId="0" fillId="10" borderId="4" xfId="18" applyNumberFormat="1" applyFont="1" applyFill="1" applyBorder="1" applyAlignment="1">
      <alignment horizontal="right"/>
    </xf>
    <xf numFmtId="3" fontId="0" fillId="10" borderId="18" xfId="0" quotePrefix="1" applyNumberFormat="1" applyFill="1" applyBorder="1"/>
    <xf numFmtId="43" fontId="0" fillId="10" borderId="2" xfId="0" applyNumberFormat="1" applyFill="1" applyBorder="1" applyAlignment="1">
      <alignment horizontal="right"/>
    </xf>
    <xf numFmtId="43" fontId="0" fillId="10" borderId="0" xfId="0" applyNumberFormat="1" applyFill="1" applyAlignment="1">
      <alignment horizontal="right"/>
    </xf>
    <xf numFmtId="43" fontId="0" fillId="10" borderId="4" xfId="0" applyNumberFormat="1" applyFill="1" applyBorder="1" applyAlignment="1">
      <alignment horizontal="right"/>
    </xf>
    <xf numFmtId="3" fontId="0" fillId="10" borderId="3" xfId="0" applyNumberFormat="1" applyFill="1" applyBorder="1" applyAlignment="1">
      <alignment horizontal="left"/>
    </xf>
    <xf numFmtId="3" fontId="0" fillId="10" borderId="2" xfId="0" applyNumberFormat="1" applyFill="1" applyBorder="1"/>
    <xf numFmtId="3" fontId="0" fillId="10" borderId="0" xfId="0" applyNumberFormat="1" applyFill="1"/>
    <xf numFmtId="3" fontId="0" fillId="10" borderId="4" xfId="0" applyNumberFormat="1" applyFill="1" applyBorder="1"/>
    <xf numFmtId="3" fontId="0" fillId="10" borderId="15" xfId="0" applyNumberFormat="1" applyFill="1" applyBorder="1"/>
    <xf numFmtId="3" fontId="34" fillId="10" borderId="0" xfId="7" applyNumberFormat="1" applyFill="1" applyBorder="1" applyAlignment="1"/>
    <xf numFmtId="3" fontId="34" fillId="10" borderId="15" xfId="7" applyNumberFormat="1" applyFill="1" applyBorder="1" applyAlignment="1"/>
    <xf numFmtId="4" fontId="0" fillId="10" borderId="2" xfId="0" applyNumberFormat="1" applyFill="1" applyBorder="1"/>
    <xf numFmtId="3" fontId="34" fillId="10" borderId="4" xfId="7" applyNumberFormat="1" applyFill="1" applyBorder="1" applyAlignment="1"/>
    <xf numFmtId="0" fontId="24" fillId="12" borderId="2" xfId="0" applyFont="1" applyFill="1" applyBorder="1"/>
    <xf numFmtId="10" fontId="0" fillId="10" borderId="4" xfId="14" applyNumberFormat="1" applyFont="1" applyFill="1" applyBorder="1"/>
    <xf numFmtId="3" fontId="24" fillId="10" borderId="2" xfId="0" applyNumberFormat="1" applyFont="1" applyFill="1" applyBorder="1"/>
    <xf numFmtId="10" fontId="0" fillId="10" borderId="0" xfId="14" applyNumberFormat="1" applyFont="1" applyFill="1" applyBorder="1"/>
    <xf numFmtId="0" fontId="0" fillId="10" borderId="0" xfId="0" applyFill="1" applyAlignment="1">
      <alignment horizontal="left"/>
    </xf>
    <xf numFmtId="165" fontId="0" fillId="10" borderId="0" xfId="14" applyNumberFormat="1" applyFont="1" applyFill="1" applyBorder="1"/>
    <xf numFmtId="165" fontId="0" fillId="10" borderId="4" xfId="14" applyNumberFormat="1" applyFont="1" applyFill="1" applyBorder="1"/>
    <xf numFmtId="165" fontId="0" fillId="10" borderId="2" xfId="14" applyNumberFormat="1" applyFont="1" applyFill="1" applyBorder="1"/>
    <xf numFmtId="4" fontId="0" fillId="10" borderId="0" xfId="0" applyNumberFormat="1" applyFill="1" applyAlignment="1">
      <alignment horizontal="left"/>
    </xf>
    <xf numFmtId="165" fontId="0" fillId="10" borderId="0" xfId="0" applyNumberFormat="1" applyFill="1"/>
    <xf numFmtId="2" fontId="24" fillId="10" borderId="1" xfId="0" applyNumberFormat="1" applyFont="1" applyFill="1" applyBorder="1" applyAlignment="1">
      <alignment horizontal="center"/>
    </xf>
    <xf numFmtId="10" fontId="0" fillId="10" borderId="0" xfId="14" applyNumberFormat="1" applyFont="1" applyFill="1" applyBorder="1" applyAlignment="1" applyProtection="1">
      <alignment horizontal="right"/>
    </xf>
    <xf numFmtId="4" fontId="24" fillId="10" borderId="1" xfId="0" applyNumberFormat="1" applyFont="1" applyFill="1" applyBorder="1" applyAlignment="1">
      <alignment horizontal="right"/>
    </xf>
    <xf numFmtId="2" fontId="24" fillId="10" borderId="6" xfId="0" applyNumberFormat="1" applyFont="1" applyFill="1" applyBorder="1" applyAlignment="1">
      <alignment horizontal="right"/>
    </xf>
    <xf numFmtId="0" fontId="37" fillId="8" borderId="0" xfId="17" applyNumberFormat="1" applyFill="1" applyBorder="1" applyAlignment="1" applyProtection="1"/>
    <xf numFmtId="0" fontId="44" fillId="8" borderId="0" xfId="17" applyNumberFormat="1" applyFont="1" applyFill="1" applyBorder="1" applyAlignment="1" applyProtection="1"/>
    <xf numFmtId="0" fontId="35" fillId="8" borderId="0" xfId="2" applyFill="1" applyAlignment="1" applyProtection="1">
      <alignment vertical="top"/>
    </xf>
    <xf numFmtId="0" fontId="15" fillId="8" borderId="0" xfId="0" applyFont="1" applyFill="1" applyAlignment="1">
      <alignment horizontal="center" vertical="center"/>
    </xf>
    <xf numFmtId="0" fontId="24" fillId="7" borderId="0" xfId="0" applyFont="1" applyFill="1"/>
    <xf numFmtId="0" fontId="14" fillId="8" borderId="0" xfId="0" applyFont="1" applyFill="1" applyAlignment="1">
      <alignment horizontal="center"/>
    </xf>
    <xf numFmtId="0" fontId="0" fillId="10" borderId="2" xfId="0" applyFill="1" applyBorder="1" applyAlignment="1">
      <alignment horizontal="left"/>
    </xf>
    <xf numFmtId="165" fontId="0" fillId="10" borderId="2" xfId="0" applyNumberFormat="1" applyFill="1" applyBorder="1"/>
    <xf numFmtId="165" fontId="0" fillId="10" borderId="4" xfId="0" applyNumberFormat="1" applyFill="1" applyBorder="1"/>
    <xf numFmtId="165" fontId="0" fillId="8" borderId="2" xfId="0" applyNumberFormat="1" applyFill="1" applyBorder="1"/>
    <xf numFmtId="165" fontId="0" fillId="8" borderId="0" xfId="0" applyNumberFormat="1" applyFill="1"/>
    <xf numFmtId="165" fontId="0" fillId="8" borderId="4" xfId="0" applyNumberFormat="1" applyFill="1" applyBorder="1"/>
    <xf numFmtId="165" fontId="0" fillId="8" borderId="0" xfId="14" applyNumberFormat="1" applyFont="1" applyFill="1" applyBorder="1" applyProtection="1"/>
    <xf numFmtId="0" fontId="12" fillId="8" borderId="0" xfId="0" applyFont="1" applyFill="1"/>
    <xf numFmtId="0" fontId="16" fillId="8" borderId="0" xfId="0" applyFont="1" applyFill="1" applyAlignment="1">
      <alignment horizontal="left"/>
    </xf>
    <xf numFmtId="0" fontId="16" fillId="8" borderId="0" xfId="0" applyFont="1" applyFill="1" applyAlignment="1">
      <alignment horizontal="center"/>
    </xf>
    <xf numFmtId="3" fontId="0" fillId="0" borderId="4" xfId="0" applyNumberFormat="1" applyBorder="1"/>
    <xf numFmtId="165" fontId="0" fillId="8" borderId="0" xfId="12" applyFont="1" applyFill="1" applyBorder="1" applyAlignment="1" applyProtection="1"/>
    <xf numFmtId="4" fontId="0" fillId="4" borderId="0" xfId="13" applyFont="1" applyBorder="1" applyAlignment="1" applyProtection="1">
      <alignment horizontal="left"/>
    </xf>
    <xf numFmtId="4" fontId="1" fillId="4" borderId="0" xfId="13" applyBorder="1" applyAlignment="1" applyProtection="1">
      <alignment horizontal="left"/>
    </xf>
    <xf numFmtId="43" fontId="34" fillId="10" borderId="2" xfId="1" quotePrefix="1" applyFont="1" applyFill="1" applyBorder="1" applyAlignment="1"/>
    <xf numFmtId="0" fontId="0" fillId="8" borderId="35" xfId="0" applyFill="1" applyBorder="1"/>
    <xf numFmtId="0" fontId="0" fillId="8" borderId="35" xfId="0" applyFill="1" applyBorder="1" applyAlignment="1">
      <alignment horizontal="right"/>
    </xf>
    <xf numFmtId="0" fontId="0" fillId="0" borderId="2" xfId="0" applyBorder="1"/>
    <xf numFmtId="4" fontId="24" fillId="10" borderId="35" xfId="0" applyNumberFormat="1" applyFont="1" applyFill="1" applyBorder="1" applyAlignment="1">
      <alignment horizontal="left"/>
    </xf>
    <xf numFmtId="0" fontId="0" fillId="6" borderId="0" xfId="0" applyFill="1"/>
    <xf numFmtId="0" fontId="31" fillId="6" borderId="0" xfId="0" applyFont="1" applyFill="1"/>
    <xf numFmtId="0" fontId="40" fillId="8" borderId="19" xfId="0" applyFont="1" applyFill="1" applyBorder="1" applyAlignment="1">
      <alignment horizontal="right"/>
    </xf>
    <xf numFmtId="0" fontId="47" fillId="8" borderId="36" xfId="0" applyFont="1" applyFill="1" applyBorder="1" applyAlignment="1">
      <alignment horizontal="left"/>
    </xf>
    <xf numFmtId="0" fontId="0" fillId="8" borderId="37" xfId="0" applyFill="1" applyBorder="1"/>
    <xf numFmtId="0" fontId="39" fillId="8" borderId="37" xfId="0" applyFont="1" applyFill="1" applyBorder="1" applyAlignment="1">
      <alignment horizontal="left"/>
    </xf>
    <xf numFmtId="166" fontId="35" fillId="8" borderId="0" xfId="1" applyNumberFormat="1" applyFont="1" applyFill="1" applyBorder="1" applyAlignment="1" applyProtection="1">
      <alignment horizontal="left"/>
    </xf>
    <xf numFmtId="3" fontId="10" fillId="5" borderId="39" xfId="18" applyNumberFormat="1" applyFont="1" applyFill="1" applyBorder="1" applyAlignment="1">
      <alignment horizontal="right"/>
    </xf>
    <xf numFmtId="10" fontId="37" fillId="8" borderId="0" xfId="17" applyNumberFormat="1" applyFill="1" applyBorder="1" applyAlignment="1" applyProtection="1">
      <alignment horizontal="right"/>
    </xf>
    <xf numFmtId="0" fontId="24" fillId="8" borderId="19" xfId="0" applyFont="1" applyFill="1" applyBorder="1" applyAlignment="1">
      <alignment horizontal="right"/>
    </xf>
    <xf numFmtId="3" fontId="10" fillId="5" borderId="0" xfId="9" applyNumberFormat="1" applyBorder="1" applyAlignment="1">
      <alignment horizontal="right"/>
    </xf>
    <xf numFmtId="3" fontId="24" fillId="8" borderId="31" xfId="0" applyNumberFormat="1" applyFont="1" applyFill="1" applyBorder="1" applyAlignment="1">
      <alignment horizontal="right"/>
    </xf>
    <xf numFmtId="3" fontId="24" fillId="8" borderId="0" xfId="18" applyNumberFormat="1" applyFont="1" applyFill="1" applyBorder="1" applyAlignment="1">
      <alignment horizontal="right"/>
    </xf>
    <xf numFmtId="0" fontId="0" fillId="8" borderId="26" xfId="0" applyFill="1" applyBorder="1"/>
    <xf numFmtId="3" fontId="0" fillId="8" borderId="26" xfId="0" applyNumberFormat="1" applyFill="1" applyBorder="1"/>
    <xf numFmtId="3" fontId="24" fillId="8" borderId="26" xfId="0" quotePrefix="1" applyNumberFormat="1" applyFont="1" applyFill="1" applyBorder="1"/>
    <xf numFmtId="3" fontId="0" fillId="8" borderId="26" xfId="0" quotePrefix="1" applyNumberFormat="1" applyFill="1" applyBorder="1"/>
    <xf numFmtId="10" fontId="0" fillId="8" borderId="0" xfId="14" applyNumberFormat="1" applyFont="1" applyFill="1" applyAlignment="1"/>
    <xf numFmtId="165" fontId="0" fillId="8" borderId="26" xfId="14" quotePrefix="1" applyNumberFormat="1" applyFont="1" applyFill="1" applyBorder="1" applyAlignment="1" applyProtection="1"/>
    <xf numFmtId="3" fontId="24" fillId="8" borderId="20" xfId="18" applyNumberFormat="1" applyFont="1" applyFill="1" applyBorder="1" applyAlignment="1"/>
    <xf numFmtId="3" fontId="24" fillId="8" borderId="20" xfId="18" applyNumberFormat="1" applyFont="1" applyFill="1" applyBorder="1" applyAlignment="1">
      <alignment horizontal="right"/>
    </xf>
    <xf numFmtId="3" fontId="24" fillId="8" borderId="24" xfId="0" quotePrefix="1" applyNumberFormat="1" applyFont="1" applyFill="1" applyBorder="1"/>
    <xf numFmtId="10" fontId="24" fillId="8" borderId="20" xfId="14" quotePrefix="1" applyNumberFormat="1" applyFont="1" applyFill="1" applyBorder="1" applyAlignment="1" applyProtection="1"/>
    <xf numFmtId="3" fontId="24" fillId="8" borderId="19" xfId="18" applyNumberFormat="1" applyFont="1" applyFill="1" applyBorder="1" applyAlignment="1"/>
    <xf numFmtId="3" fontId="24" fillId="8" borderId="28" xfId="0" quotePrefix="1" applyNumberFormat="1" applyFont="1" applyFill="1" applyBorder="1"/>
    <xf numFmtId="10" fontId="1" fillId="8" borderId="19" xfId="14" quotePrefix="1" applyNumberFormat="1" applyFont="1" applyFill="1" applyBorder="1" applyAlignment="1" applyProtection="1"/>
    <xf numFmtId="0" fontId="0" fillId="8" borderId="41" xfId="0" applyFill="1" applyBorder="1"/>
    <xf numFmtId="0" fontId="40" fillId="8" borderId="4" xfId="0" applyFont="1" applyFill="1" applyBorder="1" applyAlignment="1">
      <alignment horizontal="right"/>
    </xf>
    <xf numFmtId="0" fontId="40" fillId="8" borderId="43" xfId="0" applyFont="1" applyFill="1" applyBorder="1" applyAlignment="1">
      <alignment horizontal="right"/>
    </xf>
    <xf numFmtId="0" fontId="0" fillId="10" borderId="35" xfId="0" applyFill="1" applyBorder="1" applyAlignment="1">
      <alignment horizontal="right"/>
    </xf>
    <xf numFmtId="0" fontId="0" fillId="10" borderId="1" xfId="0" applyFill="1" applyBorder="1" applyAlignment="1">
      <alignment horizontal="right"/>
    </xf>
    <xf numFmtId="0" fontId="40" fillId="10" borderId="2" xfId="0" applyFont="1" applyFill="1" applyBorder="1"/>
    <xf numFmtId="0" fontId="40" fillId="10" borderId="0" xfId="0" applyFont="1" applyFill="1" applyAlignment="1">
      <alignment horizontal="right"/>
    </xf>
    <xf numFmtId="0" fontId="40" fillId="10" borderId="42" xfId="0" applyFont="1" applyFill="1" applyBorder="1"/>
    <xf numFmtId="0" fontId="40" fillId="10" borderId="19" xfId="0" applyFont="1" applyFill="1" applyBorder="1" applyAlignment="1">
      <alignment horizontal="right"/>
    </xf>
    <xf numFmtId="0" fontId="34" fillId="8" borderId="46" xfId="7" applyNumberFormat="1" applyFill="1" applyBorder="1" applyAlignment="1"/>
    <xf numFmtId="0" fontId="0" fillId="8" borderId="47" xfId="0" applyFill="1" applyBorder="1"/>
    <xf numFmtId="0" fontId="0" fillId="8" borderId="47" xfId="0" applyFill="1" applyBorder="1" applyAlignment="1">
      <alignment horizontal="right"/>
    </xf>
    <xf numFmtId="0" fontId="0" fillId="8" borderId="48" xfId="0" applyFill="1" applyBorder="1" applyAlignment="1">
      <alignment horizontal="right"/>
    </xf>
    <xf numFmtId="3" fontId="0" fillId="8" borderId="46" xfId="0" applyNumberFormat="1" applyFill="1" applyBorder="1" applyAlignment="1">
      <alignment horizontal="right"/>
    </xf>
    <xf numFmtId="3" fontId="34" fillId="10" borderId="47" xfId="7" applyNumberFormat="1" applyFill="1" applyBorder="1" applyAlignment="1">
      <alignment horizontal="right"/>
    </xf>
    <xf numFmtId="3" fontId="0" fillId="8" borderId="47" xfId="0" applyNumberFormat="1" applyFill="1" applyBorder="1" applyAlignment="1">
      <alignment horizontal="right"/>
    </xf>
    <xf numFmtId="3" fontId="0" fillId="8" borderId="48" xfId="0" applyNumberFormat="1" applyFill="1" applyBorder="1" applyAlignment="1">
      <alignment horizontal="right"/>
    </xf>
    <xf numFmtId="43" fontId="34" fillId="10" borderId="46" xfId="1" quotePrefix="1" applyFont="1" applyFill="1" applyBorder="1" applyAlignment="1"/>
    <xf numFmtId="10" fontId="24" fillId="8" borderId="48" xfId="14" quotePrefix="1" applyNumberFormat="1" applyFont="1" applyFill="1" applyBorder="1" applyAlignment="1" applyProtection="1"/>
    <xf numFmtId="0" fontId="47" fillId="10" borderId="41" xfId="0" applyFont="1" applyFill="1" applyBorder="1" applyAlignment="1">
      <alignment horizontal="right"/>
    </xf>
    <xf numFmtId="0" fontId="0" fillId="10" borderId="49" xfId="0" applyFill="1" applyBorder="1"/>
    <xf numFmtId="3" fontId="0" fillId="8" borderId="1" xfId="0" applyNumberFormat="1" applyFill="1" applyBorder="1"/>
    <xf numFmtId="0" fontId="0" fillId="10" borderId="41" xfId="0" applyFill="1" applyBorder="1"/>
    <xf numFmtId="0" fontId="0" fillId="8" borderId="11" xfId="0" applyFill="1" applyBorder="1"/>
    <xf numFmtId="3" fontId="37" fillId="10" borderId="2" xfId="17" applyNumberFormat="1" applyFill="1" applyBorder="1" applyProtection="1"/>
    <xf numFmtId="4" fontId="0" fillId="10" borderId="0" xfId="0" applyNumberFormat="1" applyFill="1"/>
    <xf numFmtId="10" fontId="0" fillId="10" borderId="0" xfId="0" applyNumberFormat="1" applyFill="1"/>
    <xf numFmtId="3" fontId="0" fillId="10" borderId="14" xfId="0" applyNumberFormat="1" applyFill="1" applyBorder="1" applyAlignment="1">
      <alignment horizontal="right"/>
    </xf>
    <xf numFmtId="3" fontId="34" fillId="10" borderId="4" xfId="7" applyNumberFormat="1" applyFill="1" applyBorder="1" applyAlignment="1">
      <alignment horizontal="right"/>
    </xf>
    <xf numFmtId="3" fontId="0" fillId="10" borderId="50" xfId="0" applyNumberFormat="1" applyFill="1" applyBorder="1" applyAlignment="1">
      <alignment horizontal="right"/>
    </xf>
    <xf numFmtId="4" fontId="54" fillId="8" borderId="0" xfId="17" applyNumberFormat="1" applyFont="1" applyFill="1" applyBorder="1" applyAlignment="1" applyProtection="1">
      <alignment horizontal="left"/>
    </xf>
    <xf numFmtId="0" fontId="24" fillId="8" borderId="51" xfId="0" applyFont="1" applyFill="1" applyBorder="1" applyAlignment="1">
      <alignment horizontal="right"/>
    </xf>
    <xf numFmtId="0" fontId="0" fillId="8" borderId="28" xfId="0" applyFill="1" applyBorder="1"/>
    <xf numFmtId="0" fontId="12" fillId="8" borderId="19" xfId="0" applyFont="1" applyFill="1" applyBorder="1" applyAlignment="1">
      <alignment horizontal="right" wrapText="1"/>
    </xf>
    <xf numFmtId="3" fontId="12" fillId="8" borderId="19" xfId="0" applyNumberFormat="1" applyFont="1" applyFill="1" applyBorder="1" applyAlignment="1">
      <alignment horizontal="right" wrapText="1"/>
    </xf>
    <xf numFmtId="3" fontId="34" fillId="8" borderId="0" xfId="7" applyNumberFormat="1" applyFill="1" applyBorder="1" applyAlignment="1">
      <alignment horizontal="left"/>
    </xf>
    <xf numFmtId="0" fontId="0" fillId="8" borderId="40" xfId="0" applyFill="1" applyBorder="1"/>
    <xf numFmtId="0" fontId="0" fillId="10" borderId="41" xfId="0" applyFill="1" applyBorder="1" applyAlignment="1">
      <alignment horizontal="right"/>
    </xf>
    <xf numFmtId="0" fontId="47" fillId="10" borderId="35" xfId="0" applyFont="1" applyFill="1" applyBorder="1" applyAlignment="1">
      <alignment horizontal="right"/>
    </xf>
    <xf numFmtId="0" fontId="47" fillId="10" borderId="40" xfId="0" applyFont="1" applyFill="1" applyBorder="1" applyAlignment="1">
      <alignment horizontal="right"/>
    </xf>
    <xf numFmtId="0" fontId="0" fillId="10" borderId="40" xfId="0" applyFill="1" applyBorder="1" applyAlignment="1">
      <alignment horizontal="left"/>
    </xf>
    <xf numFmtId="0" fontId="0" fillId="10" borderId="40" xfId="0" applyFill="1" applyBorder="1" applyAlignment="1">
      <alignment horizontal="right"/>
    </xf>
    <xf numFmtId="3" fontId="0" fillId="8" borderId="35" xfId="0" applyNumberFormat="1" applyFill="1" applyBorder="1" applyAlignment="1">
      <alignment horizontal="left"/>
    </xf>
    <xf numFmtId="3" fontId="0" fillId="8" borderId="40" xfId="0" applyNumberFormat="1" applyFill="1" applyBorder="1" applyAlignment="1">
      <alignment horizontal="left"/>
    </xf>
    <xf numFmtId="3" fontId="34" fillId="8" borderId="35" xfId="7" applyNumberFormat="1" applyFill="1" applyBorder="1" applyAlignment="1"/>
    <xf numFmtId="0" fontId="24" fillId="8" borderId="41" xfId="0" applyFont="1" applyFill="1" applyBorder="1"/>
    <xf numFmtId="0" fontId="24" fillId="8" borderId="35" xfId="0" applyFont="1" applyFill="1" applyBorder="1"/>
    <xf numFmtId="0" fontId="24" fillId="10" borderId="35" xfId="0" applyFont="1" applyFill="1" applyBorder="1"/>
    <xf numFmtId="3" fontId="0" fillId="10" borderId="0" xfId="0" applyNumberFormat="1" applyFill="1" applyAlignment="1">
      <alignment horizontal="left"/>
    </xf>
    <xf numFmtId="0" fontId="0" fillId="8" borderId="11" xfId="0" applyFill="1" applyBorder="1" applyAlignment="1">
      <alignment wrapText="1"/>
    </xf>
    <xf numFmtId="0" fontId="0" fillId="8" borderId="13" xfId="0" applyFill="1" applyBorder="1" applyAlignment="1">
      <alignment wrapText="1"/>
    </xf>
    <xf numFmtId="9" fontId="0" fillId="8" borderId="1" xfId="14" applyFont="1" applyFill="1" applyBorder="1"/>
    <xf numFmtId="3" fontId="0" fillId="8" borderId="7" xfId="0" applyNumberFormat="1" applyFill="1" applyBorder="1"/>
    <xf numFmtId="0" fontId="0" fillId="8" borderId="13" xfId="0" applyFill="1" applyBorder="1" applyAlignment="1">
      <alignment horizontal="right" wrapText="1"/>
    </xf>
    <xf numFmtId="0" fontId="0" fillId="8" borderId="8" xfId="0" applyFill="1" applyBorder="1" applyAlignment="1">
      <alignment horizontal="right" wrapText="1"/>
    </xf>
    <xf numFmtId="9" fontId="0" fillId="8" borderId="0" xfId="14" applyFont="1" applyFill="1" applyBorder="1" applyAlignment="1">
      <alignment horizontal="right"/>
    </xf>
    <xf numFmtId="4" fontId="0" fillId="10" borderId="22" xfId="0" applyNumberFormat="1" applyFill="1" applyBorder="1"/>
    <xf numFmtId="4" fontId="0" fillId="10" borderId="52" xfId="0" applyNumberFormat="1" applyFill="1" applyBorder="1" applyAlignment="1">
      <alignment horizontal="left"/>
    </xf>
    <xf numFmtId="0" fontId="0" fillId="8" borderId="52" xfId="0" applyFill="1" applyBorder="1"/>
    <xf numFmtId="4" fontId="0" fillId="10" borderId="52" xfId="0" applyNumberFormat="1" applyFill="1" applyBorder="1"/>
    <xf numFmtId="4" fontId="0" fillId="10" borderId="23" xfId="0" applyNumberFormat="1" applyFill="1" applyBorder="1"/>
    <xf numFmtId="0" fontId="0" fillId="8" borderId="2" xfId="0" applyFill="1" applyBorder="1" applyAlignment="1">
      <alignment wrapText="1"/>
    </xf>
    <xf numFmtId="0" fontId="0" fillId="8" borderId="0" xfId="0" applyFill="1" applyAlignment="1">
      <alignment horizontal="left" wrapText="1"/>
    </xf>
    <xf numFmtId="0" fontId="0" fillId="8" borderId="13" xfId="0" applyFill="1" applyBorder="1" applyAlignment="1">
      <alignment horizontal="left"/>
    </xf>
    <xf numFmtId="3" fontId="0" fillId="8" borderId="13" xfId="0" applyNumberFormat="1" applyFill="1" applyBorder="1" applyAlignment="1">
      <alignment horizontal="right"/>
    </xf>
    <xf numFmtId="9" fontId="0" fillId="8" borderId="13" xfId="14" applyFont="1" applyFill="1" applyBorder="1" applyAlignment="1">
      <alignment horizontal="right"/>
    </xf>
    <xf numFmtId="3" fontId="0" fillId="8" borderId="8" xfId="0" applyNumberFormat="1" applyFill="1" applyBorder="1" applyAlignment="1">
      <alignment horizontal="right"/>
    </xf>
    <xf numFmtId="0" fontId="0" fillId="0" borderId="13" xfId="0" applyBorder="1" applyAlignment="1">
      <alignment horizontal="left"/>
    </xf>
    <xf numFmtId="0" fontId="37" fillId="8" borderId="15" xfId="17" applyNumberFormat="1" applyFill="1" applyBorder="1" applyAlignment="1" applyProtection="1"/>
    <xf numFmtId="10" fontId="0" fillId="4" borderId="0" xfId="12" applyNumberFormat="1" applyFont="1" applyBorder="1" applyAlignment="1">
      <protection locked="0"/>
    </xf>
    <xf numFmtId="0" fontId="36" fillId="10" borderId="2" xfId="0" applyFont="1" applyFill="1" applyBorder="1"/>
    <xf numFmtId="10" fontId="0" fillId="8" borderId="41" xfId="0" applyNumberFormat="1" applyFill="1" applyBorder="1"/>
    <xf numFmtId="3" fontId="0" fillId="8" borderId="35" xfId="0" applyNumberFormat="1" applyFill="1" applyBorder="1"/>
    <xf numFmtId="10" fontId="0" fillId="8" borderId="2" xfId="0" applyNumberFormat="1" applyFill="1" applyBorder="1"/>
    <xf numFmtId="0" fontId="11" fillId="8" borderId="0" xfId="5" applyFill="1"/>
    <xf numFmtId="0" fontId="24" fillId="12" borderId="41" xfId="0" applyFont="1" applyFill="1" applyBorder="1"/>
    <xf numFmtId="43" fontId="0" fillId="10" borderId="0" xfId="0" applyNumberFormat="1" applyFill="1"/>
    <xf numFmtId="10" fontId="0" fillId="10" borderId="45" xfId="14" applyNumberFormat="1" applyFont="1" applyFill="1" applyBorder="1"/>
    <xf numFmtId="10" fontId="0" fillId="10" borderId="44" xfId="14" applyNumberFormat="1" applyFont="1" applyFill="1" applyBorder="1"/>
    <xf numFmtId="0" fontId="47" fillId="8" borderId="38" xfId="0" applyFont="1" applyFill="1" applyBorder="1" applyAlignment="1">
      <alignment horizontal="left"/>
    </xf>
    <xf numFmtId="0" fontId="47" fillId="8" borderId="53" xfId="0" applyFont="1" applyFill="1" applyBorder="1" applyAlignment="1">
      <alignment horizontal="left"/>
    </xf>
    <xf numFmtId="10" fontId="1" fillId="8" borderId="0" xfId="14" applyNumberFormat="1" applyFont="1" applyFill="1" applyBorder="1" applyAlignment="1" applyProtection="1">
      <alignment horizontal="right"/>
    </xf>
    <xf numFmtId="0" fontId="47" fillId="8" borderId="36" xfId="0" applyFont="1" applyFill="1" applyBorder="1"/>
    <xf numFmtId="0" fontId="47" fillId="8" borderId="37" xfId="0" applyFont="1" applyFill="1" applyBorder="1"/>
    <xf numFmtId="0" fontId="47" fillId="8" borderId="38" xfId="0" applyFont="1" applyFill="1" applyBorder="1"/>
    <xf numFmtId="10" fontId="0" fillId="10" borderId="4" xfId="14" applyNumberFormat="1" applyFont="1" applyFill="1" applyBorder="1" applyAlignment="1" applyProtection="1">
      <alignment horizontal="right"/>
    </xf>
    <xf numFmtId="10" fontId="24" fillId="10" borderId="1" xfId="14" applyNumberFormat="1" applyFont="1" applyFill="1" applyBorder="1" applyAlignment="1" applyProtection="1">
      <alignment horizontal="right"/>
    </xf>
    <xf numFmtId="3" fontId="0" fillId="8" borderId="40" xfId="0" applyNumberFormat="1" applyFill="1" applyBorder="1"/>
    <xf numFmtId="0" fontId="0" fillId="8" borderId="35" xfId="0" applyFill="1" applyBorder="1" applyAlignment="1">
      <alignment horizontal="center"/>
    </xf>
    <xf numFmtId="0" fontId="0" fillId="0" borderId="35" xfId="0" applyBorder="1"/>
    <xf numFmtId="0" fontId="24" fillId="10" borderId="35" xfId="0" applyFont="1" applyFill="1" applyBorder="1" applyAlignment="1">
      <alignment horizontal="center"/>
    </xf>
    <xf numFmtId="0" fontId="24" fillId="0" borderId="2" xfId="0" applyFont="1" applyBorder="1"/>
    <xf numFmtId="0" fontId="0" fillId="0" borderId="1" xfId="0" applyBorder="1"/>
    <xf numFmtId="0" fontId="47" fillId="8" borderId="0" xfId="0" applyFont="1" applyFill="1" applyAlignment="1">
      <alignment horizontal="left"/>
    </xf>
    <xf numFmtId="0" fontId="0" fillId="0" borderId="6" xfId="0" applyBorder="1"/>
    <xf numFmtId="0" fontId="0" fillId="0" borderId="7" xfId="0" applyBorder="1"/>
    <xf numFmtId="4" fontId="0" fillId="0" borderId="2" xfId="0" applyNumberFormat="1" applyBorder="1"/>
    <xf numFmtId="4" fontId="0" fillId="0" borderId="0" xfId="0" applyNumberFormat="1"/>
    <xf numFmtId="0" fontId="0" fillId="0" borderId="41" xfId="0" applyBorder="1"/>
    <xf numFmtId="0" fontId="0" fillId="0" borderId="40" xfId="0" applyBorder="1"/>
    <xf numFmtId="0" fontId="0" fillId="0" borderId="4" xfId="0" applyBorder="1"/>
    <xf numFmtId="4" fontId="0" fillId="0" borderId="6" xfId="0" applyNumberFormat="1" applyBorder="1"/>
    <xf numFmtId="0" fontId="24" fillId="0" borderId="0" xfId="0" applyFont="1" applyAlignment="1">
      <alignment wrapText="1"/>
    </xf>
    <xf numFmtId="0" fontId="24" fillId="0" borderId="6" xfId="0" applyFont="1" applyBorder="1" applyAlignment="1">
      <alignment wrapText="1"/>
    </xf>
    <xf numFmtId="0" fontId="37" fillId="0" borderId="0" xfId="17" applyNumberFormat="1" applyBorder="1" applyProtection="1"/>
    <xf numFmtId="0" fontId="24" fillId="0" borderId="1" xfId="0" applyFont="1" applyBorder="1" applyAlignment="1">
      <alignment wrapText="1"/>
    </xf>
    <xf numFmtId="0" fontId="0" fillId="7" borderId="35" xfId="0" applyFill="1" applyBorder="1"/>
    <xf numFmtId="0" fontId="35" fillId="0" borderId="0" xfId="2" applyFill="1"/>
    <xf numFmtId="0" fontId="0" fillId="0" borderId="2" xfId="0" applyBorder="1" applyAlignment="1">
      <alignment wrapText="1"/>
    </xf>
    <xf numFmtId="0" fontId="24" fillId="8" borderId="0" xfId="0" applyFont="1" applyFill="1" applyAlignment="1">
      <alignment wrapText="1"/>
    </xf>
    <xf numFmtId="0" fontId="7" fillId="7" borderId="0" xfId="0" applyFont="1" applyFill="1"/>
    <xf numFmtId="0" fontId="1" fillId="0" borderId="0" xfId="0" applyFont="1"/>
    <xf numFmtId="0" fontId="1" fillId="8" borderId="0" xfId="0" applyFont="1" applyFill="1"/>
    <xf numFmtId="0" fontId="0" fillId="8" borderId="5" xfId="0" applyFill="1" applyBorder="1"/>
    <xf numFmtId="0" fontId="0" fillId="8" borderId="10" xfId="0" applyFill="1" applyBorder="1" applyAlignment="1">
      <alignment horizontal="left"/>
    </xf>
    <xf numFmtId="0" fontId="0" fillId="8" borderId="9" xfId="0" applyFill="1" applyBorder="1" applyAlignment="1">
      <alignment horizontal="left"/>
    </xf>
    <xf numFmtId="0" fontId="0" fillId="8" borderId="9" xfId="0" applyFill="1" applyBorder="1" applyAlignment="1">
      <alignment horizontal="left" vertical="top"/>
    </xf>
    <xf numFmtId="0" fontId="56" fillId="8" borderId="0" xfId="0" applyFont="1" applyFill="1"/>
    <xf numFmtId="0" fontId="57" fillId="8" borderId="0" xfId="0" applyFont="1" applyFill="1" applyAlignment="1">
      <alignment horizontal="left" vertical="top"/>
    </xf>
    <xf numFmtId="0" fontId="57" fillId="8" borderId="0" xfId="0" applyFont="1" applyFill="1"/>
    <xf numFmtId="0" fontId="0" fillId="8" borderId="54" xfId="0" applyFill="1" applyBorder="1"/>
    <xf numFmtId="0" fontId="58" fillId="0" borderId="0" xfId="0" applyFont="1"/>
    <xf numFmtId="0" fontId="58" fillId="8" borderId="0" xfId="0" applyFont="1" applyFill="1"/>
    <xf numFmtId="15" fontId="0" fillId="8" borderId="0" xfId="0" applyNumberFormat="1" applyFill="1" applyAlignment="1">
      <alignment horizontal="left"/>
    </xf>
    <xf numFmtId="0" fontId="59" fillId="8" borderId="0" xfId="0" applyFont="1" applyFill="1"/>
    <xf numFmtId="15" fontId="0" fillId="8" borderId="55" xfId="0" applyNumberFormat="1" applyFill="1" applyBorder="1" applyAlignment="1">
      <alignment horizontal="left"/>
    </xf>
    <xf numFmtId="0" fontId="0" fillId="8" borderId="55" xfId="0" applyFill="1" applyBorder="1"/>
    <xf numFmtId="0" fontId="22" fillId="8" borderId="0" xfId="0" applyFont="1" applyFill="1"/>
    <xf numFmtId="0" fontId="24" fillId="8" borderId="9" xfId="0" applyFont="1" applyFill="1" applyBorder="1" applyAlignment="1">
      <alignment horizontal="left" vertical="top"/>
    </xf>
    <xf numFmtId="0" fontId="0" fillId="8" borderId="0" xfId="0" quotePrefix="1" applyFill="1" applyAlignment="1">
      <alignment horizontal="left" vertical="top"/>
    </xf>
    <xf numFmtId="0" fontId="55" fillId="0" borderId="0" xfId="0" applyFont="1" applyAlignment="1">
      <alignment horizontal="left"/>
    </xf>
    <xf numFmtId="10" fontId="0" fillId="0" borderId="0" xfId="14" applyNumberFormat="1" applyFont="1" applyFill="1" applyBorder="1"/>
    <xf numFmtId="0" fontId="0" fillId="8" borderId="40" xfId="0" applyFill="1" applyBorder="1" applyAlignment="1">
      <alignment horizontal="right"/>
    </xf>
    <xf numFmtId="4" fontId="24" fillId="8" borderId="0" xfId="13" applyFont="1" applyFill="1" applyBorder="1" applyAlignment="1">
      <alignment horizontal="left"/>
      <protection locked="0"/>
    </xf>
    <xf numFmtId="4" fontId="0" fillId="8" borderId="0" xfId="13" applyFont="1" applyFill="1" applyBorder="1" applyAlignment="1">
      <protection locked="0"/>
    </xf>
    <xf numFmtId="4" fontId="0" fillId="8" borderId="0" xfId="13" applyFont="1" applyFill="1" applyBorder="1" applyAlignment="1">
      <alignment horizontal="left"/>
      <protection locked="0"/>
    </xf>
    <xf numFmtId="10" fontId="1" fillId="10" borderId="0" xfId="2" applyNumberFormat="1" applyFont="1" applyFill="1" applyBorder="1" applyAlignment="1" applyProtection="1">
      <alignment horizontal="right"/>
    </xf>
    <xf numFmtId="0" fontId="0" fillId="8" borderId="0" xfId="0" applyFill="1" applyAlignment="1" applyProtection="1">
      <alignment horizontal="right"/>
      <protection locked="0"/>
    </xf>
    <xf numFmtId="0" fontId="0" fillId="8" borderId="40" xfId="0" applyFill="1" applyBorder="1" applyAlignment="1">
      <alignment horizontal="left"/>
    </xf>
    <xf numFmtId="167" fontId="4" fillId="8" borderId="0" xfId="1" applyNumberFormat="1" applyFont="1" applyFill="1" applyBorder="1" applyAlignment="1" applyProtection="1"/>
    <xf numFmtId="4" fontId="34" fillId="8" borderId="0" xfId="7" applyNumberFormat="1" applyFill="1" applyBorder="1" applyAlignment="1"/>
    <xf numFmtId="0" fontId="0" fillId="8" borderId="56" xfId="0" applyFill="1" applyBorder="1"/>
    <xf numFmtId="0" fontId="0" fillId="8" borderId="19" xfId="0" applyFill="1" applyBorder="1" applyAlignment="1">
      <alignment horizontal="center"/>
    </xf>
    <xf numFmtId="0" fontId="24" fillId="8" borderId="35" xfId="0" applyFont="1" applyFill="1" applyBorder="1" applyAlignment="1">
      <alignment wrapText="1"/>
    </xf>
    <xf numFmtId="4" fontId="0" fillId="4" borderId="0" xfId="13" applyFont="1" applyBorder="1" applyAlignment="1">
      <alignment horizontal="left"/>
      <protection locked="0"/>
    </xf>
    <xf numFmtId="0" fontId="35" fillId="8" borderId="0" xfId="2" applyFill="1" applyBorder="1"/>
    <xf numFmtId="0" fontId="45" fillId="8" borderId="0" xfId="0" applyFont="1" applyFill="1" applyAlignment="1">
      <alignment horizontal="left"/>
    </xf>
    <xf numFmtId="0" fontId="17" fillId="8" borderId="0" xfId="0" applyFont="1" applyFill="1" applyAlignment="1">
      <alignment horizontal="center"/>
    </xf>
    <xf numFmtId="0" fontId="5" fillId="8" borderId="0" xfId="0" applyFont="1" applyFill="1" applyAlignment="1">
      <alignment horizontal="center"/>
    </xf>
    <xf numFmtId="0" fontId="5" fillId="8" borderId="0" xfId="0" applyFont="1" applyFill="1" applyAlignment="1">
      <alignment horizontal="left"/>
    </xf>
    <xf numFmtId="0" fontId="49" fillId="8" borderId="0" xfId="0" applyFont="1" applyFill="1" applyAlignment="1">
      <alignment horizontal="left" indent="1"/>
    </xf>
    <xf numFmtId="0" fontId="6" fillId="8" borderId="0" xfId="0" applyFont="1" applyFill="1" applyAlignment="1">
      <alignment horizontal="left"/>
    </xf>
    <xf numFmtId="0" fontId="24" fillId="7" borderId="35" xfId="0" applyFont="1" applyFill="1" applyBorder="1"/>
    <xf numFmtId="0" fontId="0" fillId="7" borderId="40" xfId="0" applyFill="1" applyBorder="1"/>
    <xf numFmtId="0" fontId="62" fillId="8" borderId="24" xfId="0" applyFont="1" applyFill="1" applyBorder="1" applyAlignment="1">
      <alignment horizontal="left" vertical="center"/>
    </xf>
    <xf numFmtId="0" fontId="62" fillId="8" borderId="20" xfId="0" applyFont="1" applyFill="1" applyBorder="1"/>
    <xf numFmtId="0" fontId="63" fillId="8" borderId="20" xfId="0" applyFont="1" applyFill="1" applyBorder="1" applyAlignment="1">
      <alignment horizontal="center" vertical="center"/>
    </xf>
    <xf numFmtId="4" fontId="62" fillId="10" borderId="20" xfId="0" applyNumberFormat="1" applyFont="1" applyFill="1" applyBorder="1" applyAlignment="1">
      <alignment horizontal="center" vertical="center"/>
    </xf>
    <xf numFmtId="0" fontId="62" fillId="8" borderId="25" xfId="0" applyFont="1" applyFill="1" applyBorder="1" applyAlignment="1">
      <alignment horizontal="center" vertical="center"/>
    </xf>
    <xf numFmtId="0" fontId="62" fillId="8" borderId="26" xfId="0" applyFont="1" applyFill="1" applyBorder="1" applyAlignment="1">
      <alignment horizontal="left" vertical="center"/>
    </xf>
    <xf numFmtId="0" fontId="62" fillId="0" borderId="0" xfId="0" applyFont="1"/>
    <xf numFmtId="0" fontId="63" fillId="8" borderId="0" xfId="0" applyFont="1" applyFill="1" applyAlignment="1">
      <alignment horizontal="center" vertical="center"/>
    </xf>
    <xf numFmtId="3" fontId="62" fillId="10" borderId="0" xfId="0" applyNumberFormat="1" applyFont="1" applyFill="1" applyAlignment="1">
      <alignment horizontal="center" vertical="center"/>
    </xf>
    <xf numFmtId="0" fontId="62" fillId="8" borderId="0" xfId="0" applyFont="1" applyFill="1"/>
    <xf numFmtId="0" fontId="62" fillId="8" borderId="27" xfId="0" applyFont="1" applyFill="1" applyBorder="1" applyAlignment="1">
      <alignment horizontal="center" vertical="center"/>
    </xf>
    <xf numFmtId="0" fontId="64" fillId="8" borderId="0" xfId="0" applyFont="1" applyFill="1" applyAlignment="1">
      <alignment horizontal="center" vertical="center"/>
    </xf>
    <xf numFmtId="0" fontId="62" fillId="8" borderId="0" xfId="17" applyNumberFormat="1" applyFont="1" applyFill="1" applyBorder="1" applyAlignment="1" applyProtection="1">
      <alignment horizontal="center" vertical="center"/>
    </xf>
    <xf numFmtId="0" fontId="62" fillId="10" borderId="0" xfId="0" applyFont="1" applyFill="1" applyAlignment="1">
      <alignment horizontal="center" vertical="center"/>
    </xf>
    <xf numFmtId="0" fontId="62" fillId="8" borderId="28" xfId="0" applyFont="1" applyFill="1" applyBorder="1" applyAlignment="1">
      <alignment horizontal="left" vertical="center"/>
    </xf>
    <xf numFmtId="0" fontId="64" fillId="8" borderId="19" xfId="0" applyFont="1" applyFill="1" applyBorder="1" applyAlignment="1">
      <alignment horizontal="center" vertical="center"/>
    </xf>
    <xf numFmtId="3" fontId="62" fillId="10" borderId="19" xfId="0" applyNumberFormat="1" applyFont="1" applyFill="1" applyBorder="1" applyAlignment="1">
      <alignment horizontal="center"/>
    </xf>
    <xf numFmtId="0" fontId="62" fillId="8" borderId="29" xfId="0" applyFont="1" applyFill="1" applyBorder="1" applyAlignment="1">
      <alignment horizontal="center" vertical="center"/>
    </xf>
    <xf numFmtId="4" fontId="0" fillId="0" borderId="0" xfId="13" applyFont="1" applyFill="1" applyBorder="1" applyAlignment="1">
      <alignment horizontal="left"/>
      <protection locked="0"/>
    </xf>
    <xf numFmtId="4" fontId="0" fillId="0" borderId="4" xfId="13" applyFont="1" applyFill="1" applyBorder="1" applyAlignment="1">
      <alignment horizontal="left"/>
      <protection locked="0"/>
    </xf>
    <xf numFmtId="4" fontId="0" fillId="0" borderId="0" xfId="13" applyFont="1" applyFill="1" applyBorder="1" applyAlignment="1">
      <protection locked="0"/>
    </xf>
    <xf numFmtId="3" fontId="0" fillId="0" borderId="0" xfId="13" applyNumberFormat="1" applyFont="1" applyFill="1" applyBorder="1" applyAlignment="1">
      <protection locked="0"/>
    </xf>
    <xf numFmtId="172" fontId="0" fillId="8" borderId="0" xfId="0" applyNumberFormat="1" applyFill="1"/>
    <xf numFmtId="2" fontId="0" fillId="8" borderId="0" xfId="14" applyNumberFormat="1" applyFont="1" applyFill="1" applyAlignment="1"/>
    <xf numFmtId="0" fontId="37" fillId="8" borderId="0" xfId="17" applyNumberFormat="1" applyFill="1" applyBorder="1" applyAlignment="1" applyProtection="1">
      <alignment horizontal="left"/>
    </xf>
    <xf numFmtId="4" fontId="1" fillId="8" borderId="0" xfId="17" applyNumberFormat="1" applyFont="1" applyFill="1" applyBorder="1" applyAlignment="1" applyProtection="1">
      <alignment horizontal="left"/>
    </xf>
    <xf numFmtId="0" fontId="0" fillId="8" borderId="54" xfId="0" applyFill="1" applyBorder="1" applyAlignment="1">
      <alignment horizontal="left"/>
    </xf>
    <xf numFmtId="0" fontId="36" fillId="10" borderId="2" xfId="0" applyFont="1" applyFill="1" applyBorder="1" applyAlignment="1">
      <alignment horizontal="left" indent="1"/>
    </xf>
    <xf numFmtId="4" fontId="0" fillId="10" borderId="2" xfId="0" applyNumberFormat="1" applyFill="1" applyBorder="1" applyAlignment="1">
      <alignment horizontal="left" indent="1"/>
    </xf>
    <xf numFmtId="3" fontId="0" fillId="10" borderId="2" xfId="0" applyNumberFormat="1" applyFill="1" applyBorder="1" applyAlignment="1">
      <alignment horizontal="left" indent="1"/>
    </xf>
    <xf numFmtId="0" fontId="39" fillId="8" borderId="2" xfId="0" applyFont="1" applyFill="1" applyBorder="1" applyAlignment="1">
      <alignment horizontal="right"/>
    </xf>
    <xf numFmtId="0" fontId="52" fillId="8" borderId="2" xfId="0" applyFont="1" applyFill="1" applyBorder="1" applyAlignment="1">
      <alignment horizontal="right"/>
    </xf>
    <xf numFmtId="0" fontId="24" fillId="12" borderId="4" xfId="0" applyFont="1" applyFill="1" applyBorder="1" applyAlignment="1">
      <alignment horizontal="right"/>
    </xf>
    <xf numFmtId="0" fontId="24" fillId="12" borderId="0" xfId="0" applyFont="1" applyFill="1" applyAlignment="1">
      <alignment horizontal="right"/>
    </xf>
    <xf numFmtId="3" fontId="0" fillId="10" borderId="41" xfId="0" applyNumberFormat="1" applyFill="1" applyBorder="1" applyAlignment="1">
      <alignment horizontal="left"/>
    </xf>
    <xf numFmtId="3" fontId="0" fillId="10" borderId="35" xfId="0" applyNumberFormat="1" applyFill="1" applyBorder="1" applyAlignment="1">
      <alignment horizontal="left"/>
    </xf>
    <xf numFmtId="0" fontId="51" fillId="10" borderId="0" xfId="0" applyFont="1" applyFill="1" applyAlignment="1">
      <alignment horizontal="right"/>
    </xf>
    <xf numFmtId="0" fontId="51" fillId="10" borderId="4" xfId="0" applyFont="1" applyFill="1" applyBorder="1" applyAlignment="1">
      <alignment horizontal="right"/>
    </xf>
    <xf numFmtId="0" fontId="24" fillId="10" borderId="2" xfId="0" applyFont="1" applyFill="1" applyBorder="1" applyAlignment="1">
      <alignment horizontal="right"/>
    </xf>
    <xf numFmtId="0" fontId="24" fillId="10" borderId="0" xfId="0" applyFont="1" applyFill="1" applyAlignment="1">
      <alignment horizontal="right"/>
    </xf>
    <xf numFmtId="0" fontId="24" fillId="10" borderId="4" xfId="0" applyFont="1" applyFill="1" applyBorder="1" applyAlignment="1">
      <alignment horizontal="right"/>
    </xf>
    <xf numFmtId="3" fontId="0" fillId="10" borderId="1" xfId="0" applyNumberFormat="1" applyFill="1" applyBorder="1" applyAlignment="1">
      <alignment horizontal="center"/>
    </xf>
    <xf numFmtId="3" fontId="0" fillId="10" borderId="7" xfId="0" applyNumberFormat="1" applyFill="1" applyBorder="1" applyAlignment="1">
      <alignment horizontal="center"/>
    </xf>
    <xf numFmtId="3" fontId="0" fillId="10" borderId="2" xfId="0" applyNumberFormat="1" applyFill="1" applyBorder="1" applyAlignment="1">
      <alignment wrapText="1"/>
    </xf>
    <xf numFmtId="0" fontId="0" fillId="10" borderId="2" xfId="0" applyFill="1" applyBorder="1" applyAlignment="1">
      <alignment wrapText="1"/>
    </xf>
    <xf numFmtId="4" fontId="0" fillId="10" borderId="2" xfId="0" applyNumberFormat="1" applyFill="1" applyBorder="1" applyAlignment="1">
      <alignment wrapText="1"/>
    </xf>
    <xf numFmtId="0" fontId="0" fillId="10" borderId="0" xfId="0" applyFill="1" applyAlignment="1">
      <alignment vertical="center"/>
    </xf>
    <xf numFmtId="3" fontId="34" fillId="10" borderId="2" xfId="7" applyNumberFormat="1" applyFill="1" applyBorder="1" applyAlignment="1"/>
    <xf numFmtId="4" fontId="24" fillId="10" borderId="2" xfId="0" applyNumberFormat="1" applyFont="1" applyFill="1" applyBorder="1" applyAlignment="1">
      <alignment wrapText="1"/>
    </xf>
    <xf numFmtId="3" fontId="24" fillId="10" borderId="0" xfId="0" applyNumberFormat="1" applyFont="1" applyFill="1"/>
    <xf numFmtId="165" fontId="0" fillId="7" borderId="0" xfId="0" applyNumberFormat="1" applyFill="1"/>
    <xf numFmtId="165" fontId="0" fillId="7" borderId="2" xfId="0" applyNumberFormat="1" applyFill="1" applyBorder="1"/>
    <xf numFmtId="0" fontId="0" fillId="7" borderId="0" xfId="0" applyFill="1" applyAlignment="1">
      <alignment horizontal="center"/>
    </xf>
    <xf numFmtId="3" fontId="0" fillId="0" borderId="0" xfId="0" applyNumberFormat="1"/>
    <xf numFmtId="3" fontId="0" fillId="0" borderId="2" xfId="0" applyNumberFormat="1" applyBorder="1"/>
    <xf numFmtId="3" fontId="0" fillId="7" borderId="0" xfId="0" applyNumberFormat="1" applyFill="1"/>
    <xf numFmtId="3" fontId="0" fillId="7" borderId="2" xfId="0" applyNumberFormat="1" applyFill="1" applyBorder="1"/>
    <xf numFmtId="3" fontId="0" fillId="7" borderId="4" xfId="0" applyNumberFormat="1" applyFill="1" applyBorder="1"/>
    <xf numFmtId="2" fontId="24" fillId="10" borderId="1" xfId="0" applyNumberFormat="1" applyFont="1" applyFill="1" applyBorder="1" applyAlignment="1">
      <alignment horizontal="right"/>
    </xf>
    <xf numFmtId="0" fontId="0" fillId="8" borderId="35" xfId="0" applyFill="1" applyBorder="1" applyAlignment="1">
      <alignment horizontal="centerContinuous"/>
    </xf>
    <xf numFmtId="0" fontId="0" fillId="8" borderId="40" xfId="0" applyFill="1" applyBorder="1" applyAlignment="1">
      <alignment horizontal="centerContinuous"/>
    </xf>
    <xf numFmtId="0" fontId="0" fillId="10" borderId="0" xfId="0" applyFill="1" applyAlignment="1">
      <alignment horizontal="right"/>
    </xf>
    <xf numFmtId="0" fontId="0" fillId="10" borderId="4" xfId="0" applyFill="1" applyBorder="1" applyAlignment="1">
      <alignment horizontal="right"/>
    </xf>
    <xf numFmtId="0" fontId="0" fillId="8" borderId="0" xfId="0" applyFill="1" applyAlignment="1">
      <alignment horizontal="centerContinuous"/>
    </xf>
    <xf numFmtId="0" fontId="0" fillId="8" borderId="4" xfId="0" applyFill="1" applyBorder="1" applyAlignment="1">
      <alignment horizontal="centerContinuous"/>
    </xf>
    <xf numFmtId="0" fontId="0" fillId="0" borderId="35" xfId="0" applyBorder="1" applyAlignment="1">
      <alignment horizontal="centerContinuous"/>
    </xf>
    <xf numFmtId="0" fontId="37" fillId="10" borderId="0" xfId="17" applyNumberFormat="1" applyFill="1" applyBorder="1" applyProtection="1"/>
    <xf numFmtId="0" fontId="0" fillId="0" borderId="13" xfId="0" applyBorder="1"/>
    <xf numFmtId="0" fontId="24" fillId="10" borderId="11" xfId="0" applyFont="1" applyFill="1" applyBorder="1" applyAlignment="1">
      <alignment horizontal="centerContinuous"/>
    </xf>
    <xf numFmtId="0" fontId="0" fillId="8" borderId="13" xfId="0" applyFill="1" applyBorder="1" applyAlignment="1">
      <alignment horizontal="centerContinuous"/>
    </xf>
    <xf numFmtId="0" fontId="0" fillId="0" borderId="13" xfId="0" applyBorder="1" applyAlignment="1">
      <alignment horizontal="centerContinuous"/>
    </xf>
    <xf numFmtId="0" fontId="0" fillId="8" borderId="8" xfId="0" applyFill="1" applyBorder="1" applyAlignment="1">
      <alignment horizontal="centerContinuous"/>
    </xf>
    <xf numFmtId="0" fontId="0" fillId="8" borderId="41" xfId="0" applyFill="1" applyBorder="1" applyAlignment="1">
      <alignment horizontal="centerContinuous"/>
    </xf>
    <xf numFmtId="4" fontId="1" fillId="4" borderId="35" xfId="13" applyBorder="1" applyAlignment="1">
      <protection locked="0"/>
    </xf>
    <xf numFmtId="0" fontId="37" fillId="8" borderId="40" xfId="17" applyNumberFormat="1" applyFill="1" applyBorder="1" applyProtection="1"/>
    <xf numFmtId="166" fontId="4" fillId="8" borderId="0" xfId="1" applyNumberFormat="1" applyFont="1" applyFill="1" applyProtection="1"/>
    <xf numFmtId="4" fontId="0" fillId="10" borderId="35" xfId="0" applyNumberFormat="1" applyFill="1" applyBorder="1" applyAlignment="1">
      <alignment horizontal="right"/>
    </xf>
    <xf numFmtId="10" fontId="0" fillId="10" borderId="35" xfId="14" applyNumberFormat="1" applyFont="1" applyFill="1" applyBorder="1" applyAlignment="1" applyProtection="1">
      <alignment horizontal="right"/>
    </xf>
    <xf numFmtId="10" fontId="34" fillId="10" borderId="0" xfId="7" applyNumberFormat="1" applyFill="1" applyBorder="1" applyAlignment="1"/>
    <xf numFmtId="10" fontId="34" fillId="10" borderId="4" xfId="7" applyNumberFormat="1" applyFill="1" applyBorder="1" applyAlignment="1"/>
    <xf numFmtId="0" fontId="0" fillId="8" borderId="46" xfId="0" applyFill="1" applyBorder="1"/>
    <xf numFmtId="9" fontId="0" fillId="10" borderId="4" xfId="14" applyFont="1" applyFill="1" applyBorder="1"/>
    <xf numFmtId="9" fontId="1" fillId="10" borderId="4" xfId="14" applyFont="1" applyFill="1" applyBorder="1"/>
    <xf numFmtId="9" fontId="0" fillId="8" borderId="4" xfId="0" applyNumberFormat="1" applyFill="1" applyBorder="1"/>
    <xf numFmtId="9" fontId="34" fillId="10" borderId="4" xfId="14" applyFont="1" applyFill="1" applyBorder="1" applyAlignment="1"/>
    <xf numFmtId="9" fontId="0" fillId="7" borderId="4" xfId="0" applyNumberFormat="1" applyFill="1" applyBorder="1"/>
    <xf numFmtId="3" fontId="0" fillId="8" borderId="6" xfId="0" applyNumberFormat="1" applyFill="1" applyBorder="1"/>
    <xf numFmtId="165" fontId="0" fillId="10" borderId="0" xfId="14" applyNumberFormat="1" applyFont="1" applyFill="1" applyBorder="1" applyAlignment="1">
      <alignment horizontal="right"/>
    </xf>
    <xf numFmtId="165" fontId="0" fillId="10" borderId="4" xfId="14" applyNumberFormat="1" applyFont="1" applyFill="1" applyBorder="1" applyAlignment="1">
      <alignment horizontal="right"/>
    </xf>
    <xf numFmtId="165" fontId="0" fillId="8" borderId="0" xfId="14" applyNumberFormat="1" applyFont="1" applyFill="1" applyBorder="1" applyAlignment="1">
      <alignment horizontal="right"/>
    </xf>
    <xf numFmtId="165" fontId="0" fillId="8" borderId="18" xfId="0" quotePrefix="1" applyNumberFormat="1" applyFill="1" applyBorder="1"/>
    <xf numFmtId="165" fontId="0" fillId="10" borderId="4" xfId="14" applyNumberFormat="1" applyFont="1" applyFill="1" applyBorder="1" applyAlignment="1"/>
    <xf numFmtId="165" fontId="1" fillId="8" borderId="4" xfId="14" quotePrefix="1" applyNumberFormat="1" applyFont="1" applyFill="1" applyBorder="1" applyAlignment="1" applyProtection="1"/>
    <xf numFmtId="165" fontId="1" fillId="10" borderId="4" xfId="14" quotePrefix="1" applyNumberFormat="1" applyFont="1" applyFill="1" applyBorder="1" applyAlignment="1" applyProtection="1"/>
    <xf numFmtId="165" fontId="24" fillId="10" borderId="4" xfId="14" applyNumberFormat="1" applyFont="1" applyFill="1" applyBorder="1" applyAlignment="1"/>
    <xf numFmtId="4" fontId="0" fillId="12" borderId="35" xfId="0" applyNumberFormat="1" applyFill="1" applyBorder="1"/>
    <xf numFmtId="0" fontId="0" fillId="7" borderId="41" xfId="0" applyFill="1" applyBorder="1"/>
    <xf numFmtId="4" fontId="34" fillId="8" borderId="6" xfId="7" applyNumberFormat="1" applyFill="1" applyBorder="1" applyAlignment="1"/>
    <xf numFmtId="4" fontId="34" fillId="8" borderId="1" xfId="7" applyNumberFormat="1" applyFill="1" applyBorder="1" applyAlignment="1"/>
    <xf numFmtId="3" fontId="24" fillId="10" borderId="4" xfId="0" applyNumberFormat="1" applyFont="1" applyFill="1" applyBorder="1"/>
    <xf numFmtId="4" fontId="11" fillId="4" borderId="0" xfId="5" applyNumberFormat="1" applyFill="1" applyBorder="1" applyAlignment="1" applyProtection="1">
      <protection locked="0"/>
    </xf>
    <xf numFmtId="164" fontId="65" fillId="17" borderId="0" xfId="24" applyNumberFormat="1" applyBorder="1">
      <protection locked="0"/>
    </xf>
    <xf numFmtId="0" fontId="0" fillId="8" borderId="27" xfId="0" applyFill="1" applyBorder="1"/>
    <xf numFmtId="0" fontId="0" fillId="8" borderId="26" xfId="0" applyFill="1" applyBorder="1" applyAlignment="1">
      <alignment horizontal="left" vertical="center"/>
    </xf>
    <xf numFmtId="0" fontId="24" fillId="10" borderId="0" xfId="0" applyFont="1" applyFill="1" applyAlignment="1">
      <alignment horizontal="center" vertical="center"/>
    </xf>
    <xf numFmtId="0" fontId="0" fillId="0" borderId="19" xfId="0" applyBorder="1"/>
    <xf numFmtId="0" fontId="0" fillId="8" borderId="27" xfId="0" applyFill="1" applyBorder="1" applyAlignment="1">
      <alignment horizontal="center" vertical="center"/>
    </xf>
    <xf numFmtId="0" fontId="49" fillId="0" borderId="0" xfId="0" applyFont="1"/>
    <xf numFmtId="0" fontId="45" fillId="8" borderId="0" xfId="0" applyFont="1" applyFill="1"/>
    <xf numFmtId="0" fontId="45" fillId="8" borderId="0" xfId="0" applyFont="1" applyFill="1" applyAlignment="1">
      <alignment horizontal="right"/>
    </xf>
    <xf numFmtId="0" fontId="49" fillId="8" borderId="0" xfId="0" applyFont="1" applyFill="1"/>
    <xf numFmtId="0" fontId="49" fillId="8" borderId="0" xfId="0" applyFont="1" applyFill="1" applyAlignment="1">
      <alignment horizontal="right"/>
    </xf>
    <xf numFmtId="0" fontId="0" fillId="8" borderId="29" xfId="0" applyFill="1" applyBorder="1"/>
    <xf numFmtId="0" fontId="42" fillId="8" borderId="0" xfId="0" applyFont="1" applyFill="1" applyAlignment="1">
      <alignment horizontal="left"/>
    </xf>
    <xf numFmtId="0" fontId="0" fillId="8" borderId="19" xfId="0" applyFill="1" applyBorder="1" applyAlignment="1">
      <alignment horizontal="left"/>
    </xf>
    <xf numFmtId="0" fontId="0" fillId="8" borderId="26" xfId="0" applyFill="1" applyBorder="1" applyAlignment="1">
      <alignment horizontal="left"/>
    </xf>
    <xf numFmtId="0" fontId="65" fillId="17" borderId="0" xfId="24" applyNumberFormat="1" applyBorder="1">
      <protection locked="0"/>
    </xf>
    <xf numFmtId="0" fontId="65" fillId="8" borderId="0" xfId="24" applyNumberFormat="1" applyFill="1" applyBorder="1">
      <protection locked="0"/>
    </xf>
    <xf numFmtId="0" fontId="24" fillId="8" borderId="19" xfId="0" applyFont="1" applyFill="1" applyBorder="1"/>
    <xf numFmtId="0" fontId="66" fillId="8" borderId="0" xfId="26" applyFill="1"/>
    <xf numFmtId="0" fontId="67" fillId="8" borderId="0" xfId="7" applyNumberFormat="1" applyFont="1" applyFill="1" applyBorder="1" applyAlignment="1"/>
    <xf numFmtId="3" fontId="35" fillId="8" borderId="19" xfId="18" applyNumberFormat="1" applyFont="1" applyFill="1" applyBorder="1" applyAlignment="1"/>
    <xf numFmtId="3" fontId="35" fillId="8" borderId="0" xfId="18" applyNumberFormat="1" applyFont="1" applyFill="1" applyBorder="1" applyAlignment="1"/>
    <xf numFmtId="3" fontId="35" fillId="8" borderId="0" xfId="18" applyNumberFormat="1" applyFont="1" applyFill="1" applyBorder="1" applyAlignment="1">
      <alignment horizontal="right"/>
    </xf>
    <xf numFmtId="0" fontId="0" fillId="21" borderId="0" xfId="0" applyFill="1"/>
    <xf numFmtId="9" fontId="24" fillId="8" borderId="0" xfId="14" applyFont="1" applyFill="1" applyBorder="1" applyAlignment="1"/>
    <xf numFmtId="0" fontId="24" fillId="8" borderId="0" xfId="0" applyFont="1" applyFill="1" applyAlignment="1">
      <alignment horizontal="left" vertical="top"/>
    </xf>
    <xf numFmtId="4" fontId="24" fillId="0" borderId="41" xfId="0" applyNumberFormat="1" applyFont="1" applyBorder="1"/>
    <xf numFmtId="4" fontId="37" fillId="0" borderId="2" xfId="17" applyNumberFormat="1" applyBorder="1" applyProtection="1"/>
    <xf numFmtId="0" fontId="20" fillId="8" borderId="0" xfId="0" applyFont="1" applyFill="1" applyAlignment="1">
      <alignment horizontal="right"/>
    </xf>
    <xf numFmtId="0" fontId="12" fillId="8" borderId="0" xfId="0" applyFont="1" applyFill="1" applyAlignment="1">
      <alignment horizontal="right"/>
    </xf>
    <xf numFmtId="0" fontId="12" fillId="8" borderId="0" xfId="0" applyFont="1" applyFill="1" applyAlignment="1">
      <alignment horizontal="left"/>
    </xf>
    <xf numFmtId="0" fontId="20" fillId="8" borderId="0" xfId="0" applyFont="1" applyFill="1" applyAlignment="1">
      <alignment horizontal="left"/>
    </xf>
    <xf numFmtId="0" fontId="24" fillId="8" borderId="0" xfId="0" applyFont="1" applyFill="1" applyAlignment="1">
      <alignment horizontal="centerContinuous"/>
    </xf>
    <xf numFmtId="0" fontId="0" fillId="8" borderId="28" xfId="0" applyFill="1" applyBorder="1" applyAlignment="1">
      <alignment horizontal="left"/>
    </xf>
    <xf numFmtId="0" fontId="48" fillId="8" borderId="0" xfId="0" applyFont="1" applyFill="1" applyAlignment="1">
      <alignment horizontal="left" vertical="center"/>
    </xf>
    <xf numFmtId="0" fontId="48" fillId="8" borderId="0" xfId="0" applyFont="1" applyFill="1" applyAlignment="1">
      <alignment horizontal="center" vertical="center"/>
    </xf>
    <xf numFmtId="0" fontId="49" fillId="8" borderId="0" xfId="0" applyFont="1" applyFill="1" applyAlignment="1">
      <alignment horizontal="left" vertical="center"/>
    </xf>
    <xf numFmtId="0" fontId="13" fillId="0" borderId="0" xfId="0" applyFont="1"/>
    <xf numFmtId="0" fontId="0" fillId="8" borderId="26" xfId="0" applyFill="1" applyBorder="1" applyAlignment="1">
      <alignment horizontal="left" vertical="center" indent="1"/>
    </xf>
    <xf numFmtId="0" fontId="24" fillId="8" borderId="19" xfId="0" applyFont="1" applyFill="1" applyBorder="1" applyAlignment="1">
      <alignment horizontal="left"/>
    </xf>
    <xf numFmtId="0" fontId="0" fillId="8" borderId="26" xfId="0" applyFill="1" applyBorder="1" applyAlignment="1">
      <alignment horizontal="left" indent="1"/>
    </xf>
    <xf numFmtId="0" fontId="0" fillId="8" borderId="26" xfId="0" quotePrefix="1" applyFill="1" applyBorder="1" applyAlignment="1">
      <alignment horizontal="left" vertical="center" indent="1"/>
    </xf>
    <xf numFmtId="0" fontId="0" fillId="8" borderId="26" xfId="0" quotePrefix="1" applyFill="1" applyBorder="1" applyAlignment="1">
      <alignment horizontal="left" indent="1"/>
    </xf>
    <xf numFmtId="4" fontId="0" fillId="4" borderId="0" xfId="13" applyFont="1" applyBorder="1" applyAlignment="1" applyProtection="1">
      <alignment horizontal="left" indent="1"/>
    </xf>
    <xf numFmtId="4" fontId="0" fillId="19" borderId="0" xfId="13" applyFont="1" applyFill="1" applyBorder="1" applyAlignment="1" applyProtection="1">
      <alignment horizontal="left" indent="1"/>
    </xf>
    <xf numFmtId="0" fontId="10" fillId="5" borderId="0" xfId="9" applyNumberFormat="1" applyBorder="1" applyAlignment="1">
      <alignment horizontal="left" indent="1"/>
    </xf>
    <xf numFmtId="0" fontId="34" fillId="8" borderId="0" xfId="7" applyNumberFormat="1" applyFill="1" applyBorder="1" applyAlignment="1">
      <alignment horizontal="left" indent="1"/>
    </xf>
    <xf numFmtId="0" fontId="70" fillId="21" borderId="0" xfId="0" applyFont="1" applyFill="1" applyAlignment="1">
      <alignment horizontal="right"/>
    </xf>
    <xf numFmtId="0" fontId="24" fillId="8" borderId="0" xfId="0" applyFont="1" applyFill="1" applyAlignment="1">
      <alignment horizontal="left" vertical="center"/>
    </xf>
    <xf numFmtId="0" fontId="46" fillId="8" borderId="26" xfId="0" applyFont="1" applyFill="1" applyBorder="1" applyAlignment="1">
      <alignment horizontal="left"/>
    </xf>
    <xf numFmtId="165" fontId="0" fillId="4" borderId="0" xfId="12" applyFont="1" applyBorder="1" applyAlignment="1">
      <alignment horizontal="right"/>
      <protection locked="0"/>
    </xf>
    <xf numFmtId="0" fontId="0" fillId="8" borderId="0" xfId="0" applyFill="1" applyAlignment="1">
      <alignment horizontal="center" wrapText="1"/>
    </xf>
    <xf numFmtId="3" fontId="0" fillId="4" borderId="0" xfId="13" applyNumberFormat="1" applyFont="1" applyBorder="1" applyAlignment="1">
      <protection locked="0"/>
    </xf>
    <xf numFmtId="0" fontId="72" fillId="8" borderId="0" xfId="0" applyFont="1" applyFill="1"/>
    <xf numFmtId="0" fontId="72" fillId="0" borderId="0" xfId="0" applyFont="1"/>
    <xf numFmtId="0" fontId="72" fillId="8" borderId="0" xfId="0" applyFont="1" applyFill="1" applyAlignment="1">
      <alignment horizontal="left"/>
    </xf>
    <xf numFmtId="0" fontId="69" fillId="8" borderId="0" xfId="0" applyFont="1" applyFill="1" applyAlignment="1">
      <alignment horizontal="left"/>
    </xf>
    <xf numFmtId="0" fontId="69" fillId="8" borderId="0" xfId="0" applyFont="1" applyFill="1"/>
    <xf numFmtId="0" fontId="69" fillId="0" borderId="0" xfId="0" applyFont="1"/>
    <xf numFmtId="0" fontId="5" fillId="10" borderId="0" xfId="0" applyFont="1" applyFill="1" applyAlignment="1">
      <alignment horizontal="left"/>
    </xf>
    <xf numFmtId="0" fontId="74" fillId="8" borderId="0" xfId="0" applyFont="1" applyFill="1"/>
    <xf numFmtId="0" fontId="0" fillId="8" borderId="0" xfId="0" applyFill="1" applyAlignment="1">
      <alignment wrapText="1"/>
    </xf>
    <xf numFmtId="0" fontId="61" fillId="10" borderId="0" xfId="0" applyFont="1" applyFill="1" applyAlignment="1">
      <alignment horizontal="left"/>
    </xf>
    <xf numFmtId="0" fontId="24" fillId="10" borderId="0" xfId="0" applyFont="1" applyFill="1" applyAlignment="1">
      <alignment horizontal="left"/>
    </xf>
    <xf numFmtId="0" fontId="24" fillId="8" borderId="0" xfId="0" applyFont="1" applyFill="1" applyAlignment="1">
      <alignment vertical="top"/>
    </xf>
    <xf numFmtId="0" fontId="35" fillId="8" borderId="0" xfId="0" applyFont="1" applyFill="1" applyAlignment="1">
      <alignment vertical="top"/>
    </xf>
    <xf numFmtId="0" fontId="0" fillId="8" borderId="0" xfId="0" applyFill="1" applyProtection="1">
      <protection locked="0"/>
    </xf>
    <xf numFmtId="3" fontId="0" fillId="10" borderId="0" xfId="0" applyNumberFormat="1" applyFill="1" applyAlignment="1" applyProtection="1">
      <alignment horizontal="right"/>
      <protection locked="0"/>
    </xf>
    <xf numFmtId="0" fontId="37" fillId="8" borderId="0" xfId="17" applyNumberFormat="1" applyFill="1" applyBorder="1" applyAlignment="1" applyProtection="1">
      <alignment horizontal="left" indent="1"/>
    </xf>
    <xf numFmtId="0" fontId="73" fillId="8" borderId="0" xfId="0" applyFont="1" applyFill="1"/>
    <xf numFmtId="0" fontId="24" fillId="8" borderId="0" xfId="0" applyFont="1" applyFill="1" applyProtection="1">
      <protection locked="0"/>
    </xf>
    <xf numFmtId="3" fontId="0" fillId="0" borderId="0" xfId="0" applyNumberFormat="1" applyAlignment="1">
      <alignment horizontal="right"/>
    </xf>
    <xf numFmtId="0" fontId="72" fillId="8" borderId="0" xfId="0" quotePrefix="1" applyFont="1" applyFill="1"/>
    <xf numFmtId="0" fontId="72" fillId="0" borderId="0" xfId="0" applyFont="1" applyAlignment="1">
      <alignment horizontal="left"/>
    </xf>
    <xf numFmtId="0" fontId="69" fillId="8" borderId="0" xfId="0" quotePrefix="1" applyFont="1" applyFill="1"/>
    <xf numFmtId="0" fontId="72" fillId="0" borderId="0" xfId="0" quotePrefix="1" applyFont="1"/>
    <xf numFmtId="10" fontId="0" fillId="8" borderId="0" xfId="0" applyNumberFormat="1" applyFill="1" applyAlignment="1">
      <alignment horizontal="right"/>
    </xf>
    <xf numFmtId="166" fontId="0" fillId="8" borderId="0" xfId="0" applyNumberFormat="1" applyFill="1"/>
    <xf numFmtId="5" fontId="35" fillId="8" borderId="0" xfId="2" applyNumberFormat="1" applyFill="1" applyBorder="1"/>
    <xf numFmtId="0" fontId="72" fillId="8" borderId="0" xfId="0" quotePrefix="1" applyFont="1" applyFill="1" applyAlignment="1">
      <alignment horizontal="left"/>
    </xf>
    <xf numFmtId="4" fontId="24" fillId="8" borderId="0" xfId="0" applyNumberFormat="1" applyFont="1" applyFill="1" applyAlignment="1">
      <alignment horizontal="right"/>
    </xf>
    <xf numFmtId="4" fontId="24" fillId="8" borderId="0" xfId="0" applyNumberFormat="1" applyFont="1" applyFill="1" applyAlignment="1" applyProtection="1">
      <alignment horizontal="right"/>
      <protection locked="0"/>
    </xf>
    <xf numFmtId="0" fontId="0" fillId="8" borderId="26" xfId="0" quotePrefix="1" applyFill="1" applyBorder="1"/>
    <xf numFmtId="0" fontId="31" fillId="8" borderId="27" xfId="0" applyFont="1" applyFill="1" applyBorder="1"/>
    <xf numFmtId="0" fontId="24" fillId="8" borderId="26" xfId="0" applyFont="1" applyFill="1" applyBorder="1" applyAlignment="1">
      <alignment horizontal="left" indent="1"/>
    </xf>
    <xf numFmtId="0" fontId="49" fillId="8" borderId="26" xfId="0" applyFont="1" applyFill="1" applyBorder="1" applyAlignment="1">
      <alignment horizontal="left" indent="1"/>
    </xf>
    <xf numFmtId="0" fontId="0" fillId="0" borderId="26" xfId="0" applyBorder="1" applyAlignment="1">
      <alignment horizontal="left" indent="1"/>
    </xf>
    <xf numFmtId="0" fontId="49" fillId="8" borderId="19" xfId="0" applyFont="1" applyFill="1" applyBorder="1"/>
    <xf numFmtId="0" fontId="22" fillId="8" borderId="0" xfId="0" applyFont="1" applyFill="1" applyAlignment="1">
      <alignment horizontal="center"/>
    </xf>
    <xf numFmtId="0" fontId="0" fillId="0" borderId="0" xfId="0" applyAlignment="1">
      <alignment horizontal="left" indent="1"/>
    </xf>
    <xf numFmtId="0" fontId="0" fillId="0" borderId="26" xfId="0" applyBorder="1" applyAlignment="1">
      <alignment horizontal="left"/>
    </xf>
    <xf numFmtId="0" fontId="46" fillId="8" borderId="26" xfId="0" applyFont="1" applyFill="1" applyBorder="1" applyAlignment="1">
      <alignment horizontal="left" vertical="center"/>
    </xf>
    <xf numFmtId="0" fontId="24" fillId="0" borderId="0" xfId="0" applyFont="1" applyAlignment="1">
      <alignment vertical="center"/>
    </xf>
    <xf numFmtId="0" fontId="7" fillId="8" borderId="0" xfId="0" applyFont="1" applyFill="1" applyAlignment="1">
      <alignment horizontal="center" vertical="center"/>
    </xf>
    <xf numFmtId="0" fontId="0" fillId="8" borderId="27" xfId="0" applyFill="1" applyBorder="1" applyAlignment="1">
      <alignment vertical="center"/>
    </xf>
    <xf numFmtId="0" fontId="0" fillId="0" borderId="0" xfId="0" applyAlignment="1">
      <alignment vertical="center"/>
    </xf>
    <xf numFmtId="0" fontId="0" fillId="0" borderId="0" xfId="0" applyAlignment="1">
      <alignment horizontal="left" vertical="center"/>
    </xf>
    <xf numFmtId="0" fontId="66" fillId="8" borderId="0" xfId="26" applyFill="1" applyAlignment="1">
      <alignment vertical="center"/>
    </xf>
    <xf numFmtId="0" fontId="31" fillId="8" borderId="27" xfId="0" applyFont="1" applyFill="1" applyBorder="1" applyAlignment="1">
      <alignment vertical="center"/>
    </xf>
    <xf numFmtId="0" fontId="0" fillId="8" borderId="20" xfId="0" applyFill="1" applyBorder="1" applyAlignment="1">
      <alignment horizontal="left"/>
    </xf>
    <xf numFmtId="0" fontId="0" fillId="8" borderId="25" xfId="0" applyFill="1" applyBorder="1"/>
    <xf numFmtId="0" fontId="24" fillId="8" borderId="26" xfId="0" applyFont="1" applyFill="1" applyBorder="1" applyAlignment="1">
      <alignment horizontal="left"/>
    </xf>
    <xf numFmtId="0" fontId="0" fillId="0" borderId="27" xfId="0" applyBorder="1"/>
    <xf numFmtId="0" fontId="1" fillId="8" borderId="26" xfId="2" quotePrefix="1" applyFont="1" applyFill="1" applyBorder="1" applyAlignment="1">
      <alignment horizontal="left" indent="1"/>
    </xf>
    <xf numFmtId="0" fontId="20" fillId="8" borderId="19" xfId="0" applyFont="1" applyFill="1" applyBorder="1" applyAlignment="1">
      <alignment horizontal="left"/>
    </xf>
    <xf numFmtId="0" fontId="24" fillId="8" borderId="20" xfId="0" applyFont="1" applyFill="1" applyBorder="1" applyAlignment="1">
      <alignment horizontal="left"/>
    </xf>
    <xf numFmtId="0" fontId="0" fillId="8" borderId="26" xfId="0" quotePrefix="1" applyFill="1" applyBorder="1" applyAlignment="1">
      <alignment horizontal="left"/>
    </xf>
    <xf numFmtId="0" fontId="0" fillId="8" borderId="24" xfId="0" applyFill="1" applyBorder="1" applyAlignment="1">
      <alignment horizontal="left"/>
    </xf>
    <xf numFmtId="0" fontId="0" fillId="0" borderId="20" xfId="0" applyBorder="1"/>
    <xf numFmtId="0" fontId="0" fillId="0" borderId="25" xfId="0" applyBorder="1"/>
    <xf numFmtId="0" fontId="0" fillId="0" borderId="26" xfId="0" applyBorder="1"/>
    <xf numFmtId="0" fontId="71" fillId="8" borderId="26" xfId="0" applyFont="1" applyFill="1" applyBorder="1" applyAlignment="1">
      <alignment horizontal="left" indent="1"/>
    </xf>
    <xf numFmtId="0" fontId="0" fillId="0" borderId="28" xfId="0" applyBorder="1"/>
    <xf numFmtId="0" fontId="0" fillId="0" borderId="29" xfId="0" applyBorder="1"/>
    <xf numFmtId="0" fontId="24" fillId="8" borderId="24" xfId="0" applyFont="1" applyFill="1" applyBorder="1"/>
    <xf numFmtId="4" fontId="24" fillId="4" borderId="20" xfId="13" applyFont="1" applyBorder="1" applyAlignment="1">
      <alignment horizontal="left"/>
      <protection locked="0"/>
    </xf>
    <xf numFmtId="4" fontId="24" fillId="8" borderId="20" xfId="13" applyFont="1" applyFill="1" applyBorder="1" applyAlignment="1">
      <alignment horizontal="left"/>
      <protection locked="0"/>
    </xf>
    <xf numFmtId="4" fontId="24" fillId="4" borderId="0" xfId="13" applyFont="1" applyBorder="1" applyAlignment="1">
      <alignment horizontal="left"/>
      <protection locked="0"/>
    </xf>
    <xf numFmtId="0" fontId="24" fillId="8" borderId="26" xfId="0" applyFont="1" applyFill="1" applyBorder="1"/>
    <xf numFmtId="0" fontId="71" fillId="8" borderId="26" xfId="0" applyFont="1" applyFill="1" applyBorder="1"/>
    <xf numFmtId="0" fontId="0" fillId="8" borderId="27" xfId="0" applyFill="1" applyBorder="1" applyAlignment="1">
      <alignment horizontal="right"/>
    </xf>
    <xf numFmtId="0" fontId="36" fillId="8" borderId="26" xfId="0" applyFont="1" applyFill="1" applyBorder="1"/>
    <xf numFmtId="0" fontId="0" fillId="0" borderId="24" xfId="0" applyBorder="1"/>
    <xf numFmtId="0" fontId="24" fillId="0" borderId="26" xfId="0" applyFont="1" applyBorder="1"/>
    <xf numFmtId="0" fontId="5" fillId="8" borderId="24" xfId="0" applyFont="1" applyFill="1" applyBorder="1" applyAlignment="1">
      <alignment horizontal="left"/>
    </xf>
    <xf numFmtId="0" fontId="5" fillId="8" borderId="26" xfId="0" applyFont="1" applyFill="1" applyBorder="1" applyAlignment="1">
      <alignment horizontal="left"/>
    </xf>
    <xf numFmtId="0" fontId="49" fillId="8" borderId="26" xfId="0" applyFont="1" applyFill="1" applyBorder="1" applyAlignment="1">
      <alignment horizontal="left" indent="2"/>
    </xf>
    <xf numFmtId="0" fontId="24" fillId="8" borderId="24" xfId="0" applyFont="1" applyFill="1" applyBorder="1" applyAlignment="1">
      <alignment horizontal="left"/>
    </xf>
    <xf numFmtId="0" fontId="24" fillId="8" borderId="20" xfId="0" applyFont="1" applyFill="1" applyBorder="1"/>
    <xf numFmtId="0" fontId="0" fillId="8" borderId="20" xfId="0" applyFill="1" applyBorder="1" applyAlignment="1">
      <alignment horizontal="right"/>
    </xf>
    <xf numFmtId="0" fontId="0" fillId="8" borderId="25" xfId="0" applyFill="1" applyBorder="1" applyAlignment="1">
      <alignment horizontal="right"/>
    </xf>
    <xf numFmtId="0" fontId="49" fillId="8" borderId="26" xfId="0" applyFont="1" applyFill="1" applyBorder="1"/>
    <xf numFmtId="0" fontId="24" fillId="8" borderId="27" xfId="0" applyFont="1" applyFill="1" applyBorder="1"/>
    <xf numFmtId="0" fontId="24" fillId="8" borderId="19" xfId="18" applyFont="1" applyFill="1" applyBorder="1" applyAlignment="1"/>
    <xf numFmtId="0" fontId="24" fillId="8" borderId="29" xfId="0" applyFont="1" applyFill="1" applyBorder="1"/>
    <xf numFmtId="0" fontId="0" fillId="8" borderId="26" xfId="0" applyFill="1" applyBorder="1" applyAlignment="1">
      <alignment horizontal="center"/>
    </xf>
    <xf numFmtId="4" fontId="0" fillId="4" borderId="0" xfId="13" applyFont="1" applyBorder="1" applyAlignment="1">
      <alignment horizontal="right"/>
      <protection locked="0"/>
    </xf>
    <xf numFmtId="3" fontId="0" fillId="4" borderId="0" xfId="13" applyNumberFormat="1" applyFont="1" applyBorder="1" applyAlignment="1">
      <alignment horizontal="right"/>
      <protection locked="0"/>
    </xf>
    <xf numFmtId="10" fontId="37" fillId="0" borderId="0" xfId="17" applyNumberFormat="1" applyFill="1" applyBorder="1" applyAlignment="1" applyProtection="1">
      <alignment horizontal="right"/>
      <protection locked="0"/>
    </xf>
    <xf numFmtId="0" fontId="40" fillId="8" borderId="26" xfId="0" applyFont="1" applyFill="1" applyBorder="1"/>
    <xf numFmtId="10" fontId="1" fillId="8" borderId="0" xfId="2" applyNumberFormat="1" applyFont="1" applyFill="1" applyBorder="1" applyAlignment="1" applyProtection="1">
      <alignment horizontal="right"/>
    </xf>
    <xf numFmtId="0" fontId="36" fillId="8" borderId="26" xfId="0" applyFont="1" applyFill="1" applyBorder="1" applyAlignment="1">
      <alignment horizontal="left" indent="1"/>
    </xf>
    <xf numFmtId="10" fontId="0" fillId="8" borderId="0" xfId="18" applyNumberFormat="1" applyFont="1" applyFill="1" applyBorder="1" applyAlignment="1">
      <alignment horizontal="right"/>
    </xf>
    <xf numFmtId="10" fontId="1" fillId="8" borderId="0" xfId="18" applyNumberFormat="1" applyFont="1" applyFill="1" applyBorder="1" applyAlignment="1">
      <alignment horizontal="right"/>
    </xf>
    <xf numFmtId="10" fontId="24" fillId="8" borderId="0" xfId="18" applyNumberFormat="1" applyFont="1" applyFill="1" applyBorder="1" applyAlignment="1">
      <alignment horizontal="right"/>
    </xf>
    <xf numFmtId="0" fontId="34" fillId="8" borderId="28" xfId="7" applyNumberFormat="1" applyFill="1" applyBorder="1" applyAlignment="1"/>
    <xf numFmtId="0" fontId="34" fillId="8" borderId="19" xfId="7" applyNumberFormat="1" applyFill="1" applyBorder="1" applyAlignment="1">
      <alignment horizontal="right" vertical="top" wrapText="1"/>
    </xf>
    <xf numFmtId="0" fontId="0" fillId="8" borderId="29" xfId="0" applyFill="1" applyBorder="1" applyAlignment="1">
      <alignment wrapText="1"/>
    </xf>
    <xf numFmtId="0" fontId="0" fillId="8" borderId="24" xfId="0" quotePrefix="1" applyFill="1" applyBorder="1" applyAlignment="1">
      <alignment horizontal="left"/>
    </xf>
    <xf numFmtId="0" fontId="5" fillId="8" borderId="20" xfId="0" applyFont="1" applyFill="1" applyBorder="1" applyAlignment="1">
      <alignment horizontal="center"/>
    </xf>
    <xf numFmtId="0" fontId="4" fillId="8" borderId="20" xfId="0" applyFont="1" applyFill="1" applyBorder="1"/>
    <xf numFmtId="0" fontId="4" fillId="0" borderId="20" xfId="0" applyFont="1" applyBorder="1"/>
    <xf numFmtId="0" fontId="5" fillId="8" borderId="25" xfId="0" applyFont="1" applyFill="1" applyBorder="1" applyAlignment="1">
      <alignment horizontal="center"/>
    </xf>
    <xf numFmtId="0" fontId="24" fillId="8" borderId="27" xfId="0" applyFont="1" applyFill="1" applyBorder="1" applyAlignment="1">
      <alignment horizontal="center"/>
    </xf>
    <xf numFmtId="0" fontId="0" fillId="10" borderId="26" xfId="0" applyFill="1" applyBorder="1" applyAlignment="1">
      <alignment horizontal="left"/>
    </xf>
    <xf numFmtId="0" fontId="25" fillId="8" borderId="27" xfId="0" applyFont="1" applyFill="1" applyBorder="1" applyAlignment="1">
      <alignment horizontal="center"/>
    </xf>
    <xf numFmtId="0" fontId="0" fillId="8" borderId="27" xfId="0" applyFill="1" applyBorder="1" applyAlignment="1">
      <alignment horizontal="left"/>
    </xf>
    <xf numFmtId="0" fontId="25" fillId="8" borderId="19" xfId="0" applyFont="1" applyFill="1" applyBorder="1" applyAlignment="1">
      <alignment horizontal="center"/>
    </xf>
    <xf numFmtId="0" fontId="60" fillId="8" borderId="19" xfId="0" applyFont="1" applyFill="1" applyBorder="1" applyAlignment="1">
      <alignment horizontal="center"/>
    </xf>
    <xf numFmtId="0" fontId="15" fillId="8" borderId="19" xfId="0" applyFont="1" applyFill="1" applyBorder="1" applyAlignment="1">
      <alignment horizontal="center"/>
    </xf>
    <xf numFmtId="0" fontId="25" fillId="8" borderId="29" xfId="0" applyFont="1" applyFill="1" applyBorder="1" applyAlignment="1">
      <alignment horizontal="center"/>
    </xf>
    <xf numFmtId="0" fontId="24" fillId="8" borderId="28" xfId="0" applyFont="1" applyFill="1" applyBorder="1" applyAlignment="1">
      <alignment horizontal="right"/>
    </xf>
    <xf numFmtId="167" fontId="0" fillId="8" borderId="19" xfId="1" applyNumberFormat="1" applyFont="1" applyFill="1" applyBorder="1" applyAlignment="1" applyProtection="1"/>
    <xf numFmtId="166" fontId="24" fillId="8" borderId="29" xfId="1" applyNumberFormat="1" applyFont="1" applyFill="1" applyBorder="1" applyAlignment="1" applyProtection="1">
      <alignment horizontal="right"/>
    </xf>
    <xf numFmtId="0" fontId="0" fillId="8" borderId="26" xfId="0" applyFill="1" applyBorder="1" applyAlignment="1">
      <alignment horizontal="center" vertical="center"/>
    </xf>
    <xf numFmtId="10" fontId="24" fillId="8" borderId="26" xfId="14" applyNumberFormat="1" applyFont="1" applyFill="1" applyBorder="1" applyAlignment="1" applyProtection="1">
      <alignment vertical="center"/>
    </xf>
    <xf numFmtId="0" fontId="0" fillId="8" borderId="56" xfId="0" applyFill="1" applyBorder="1" applyAlignment="1">
      <alignment horizontal="center" vertical="center"/>
    </xf>
    <xf numFmtId="0" fontId="24" fillId="8" borderId="53" xfId="0" applyFont="1" applyFill="1" applyBorder="1" applyAlignment="1">
      <alignment horizontal="center" vertical="center" wrapText="1"/>
    </xf>
    <xf numFmtId="0" fontId="24" fillId="8" borderId="53" xfId="1" applyNumberFormat="1" applyFont="1" applyFill="1" applyBorder="1" applyAlignment="1" applyProtection="1">
      <alignment horizontal="center" vertical="center" wrapText="1"/>
    </xf>
    <xf numFmtId="10" fontId="24" fillId="8" borderId="53" xfId="14" applyNumberFormat="1" applyFont="1" applyFill="1" applyBorder="1" applyAlignment="1" applyProtection="1">
      <alignment vertical="center"/>
    </xf>
    <xf numFmtId="3" fontId="24" fillId="10" borderId="53" xfId="14" applyNumberFormat="1" applyFont="1" applyFill="1" applyBorder="1" applyAlignment="1" applyProtection="1">
      <alignment vertical="center"/>
    </xf>
    <xf numFmtId="171" fontId="24" fillId="8" borderId="53" xfId="14" applyNumberFormat="1" applyFont="1" applyFill="1" applyBorder="1" applyAlignment="1" applyProtection="1">
      <alignment vertical="center"/>
    </xf>
    <xf numFmtId="2" fontId="24" fillId="8" borderId="53" xfId="14" applyNumberFormat="1" applyFont="1" applyFill="1" applyBorder="1" applyAlignment="1" applyProtection="1">
      <alignment vertical="center"/>
    </xf>
    <xf numFmtId="10" fontId="0" fillId="8" borderId="53" xfId="14" applyNumberFormat="1" applyFont="1" applyFill="1" applyBorder="1" applyAlignment="1" applyProtection="1">
      <alignment horizontal="right" vertical="center"/>
    </xf>
    <xf numFmtId="3" fontId="24" fillId="10" borderId="53" xfId="14" applyNumberFormat="1" applyFont="1" applyFill="1" applyBorder="1" applyAlignment="1" applyProtection="1">
      <alignment horizontal="right" vertical="center"/>
    </xf>
    <xf numFmtId="2" fontId="24" fillId="8" borderId="53" xfId="14" applyNumberFormat="1" applyFont="1" applyFill="1" applyBorder="1" applyAlignment="1" applyProtection="1">
      <alignment horizontal="right" vertical="center"/>
    </xf>
    <xf numFmtId="3" fontId="24" fillId="10" borderId="53" xfId="0" applyNumberFormat="1" applyFont="1" applyFill="1" applyBorder="1"/>
    <xf numFmtId="0" fontId="24" fillId="8" borderId="53" xfId="0" applyFont="1" applyFill="1" applyBorder="1"/>
    <xf numFmtId="3" fontId="24" fillId="10" borderId="53" xfId="1" applyNumberFormat="1" applyFont="1" applyFill="1" applyBorder="1" applyAlignment="1" applyProtection="1"/>
    <xf numFmtId="3" fontId="24" fillId="8" borderId="53" xfId="1" applyNumberFormat="1" applyFont="1" applyFill="1" applyBorder="1" applyAlignment="1" applyProtection="1"/>
    <xf numFmtId="3" fontId="0" fillId="10" borderId="27" xfId="1" applyNumberFormat="1" applyFont="1" applyFill="1" applyBorder="1" applyAlignment="1" applyProtection="1">
      <alignment horizontal="right" vertical="center"/>
    </xf>
    <xf numFmtId="4" fontId="0" fillId="4" borderId="36" xfId="13" applyFont="1" applyBorder="1" applyAlignment="1">
      <alignment vertical="center"/>
      <protection locked="0"/>
    </xf>
    <xf numFmtId="3" fontId="0" fillId="4" borderId="36" xfId="13" applyNumberFormat="1" applyFont="1" applyBorder="1" applyAlignment="1">
      <alignment vertical="center"/>
      <protection locked="0"/>
    </xf>
    <xf numFmtId="171" fontId="0" fillId="4" borderId="36" xfId="13" applyNumberFormat="1" applyFont="1" applyBorder="1" applyAlignment="1">
      <alignment vertical="center"/>
      <protection locked="0"/>
    </xf>
    <xf numFmtId="10" fontId="0" fillId="10" borderId="36" xfId="14" applyNumberFormat="1" applyFont="1" applyFill="1" applyBorder="1" applyAlignment="1" applyProtection="1">
      <alignment horizontal="right" vertical="center"/>
    </xf>
    <xf numFmtId="4" fontId="0" fillId="4" borderId="37" xfId="13" applyFont="1" applyBorder="1" applyAlignment="1">
      <alignment vertical="center"/>
      <protection locked="0"/>
    </xf>
    <xf numFmtId="3" fontId="0" fillId="4" borderId="37" xfId="13" applyNumberFormat="1" applyFont="1" applyBorder="1" applyAlignment="1">
      <alignment vertical="center"/>
      <protection locked="0"/>
    </xf>
    <xf numFmtId="171" fontId="0" fillId="4" borderId="37" xfId="13" applyNumberFormat="1" applyFont="1" applyBorder="1" applyAlignment="1">
      <alignment vertical="center"/>
      <protection locked="0"/>
    </xf>
    <xf numFmtId="10" fontId="0" fillId="10" borderId="37" xfId="14" applyNumberFormat="1" applyFont="1" applyFill="1" applyBorder="1" applyAlignment="1" applyProtection="1">
      <alignment horizontal="right" vertical="center"/>
    </xf>
    <xf numFmtId="169" fontId="0" fillId="4" borderId="37" xfId="13" applyNumberFormat="1" applyFont="1" applyBorder="1" applyAlignment="1">
      <alignment vertical="center"/>
      <protection locked="0"/>
    </xf>
    <xf numFmtId="10" fontId="24" fillId="8" borderId="37" xfId="14" applyNumberFormat="1" applyFont="1" applyFill="1" applyBorder="1" applyAlignment="1" applyProtection="1">
      <alignment vertical="center"/>
    </xf>
    <xf numFmtId="3" fontId="24" fillId="10" borderId="37" xfId="14" applyNumberFormat="1" applyFont="1" applyFill="1" applyBorder="1" applyAlignment="1" applyProtection="1">
      <alignment vertical="center"/>
    </xf>
    <xf numFmtId="171" fontId="24" fillId="8" borderId="37" xfId="14" applyNumberFormat="1" applyFont="1" applyFill="1" applyBorder="1" applyAlignment="1" applyProtection="1">
      <alignment vertical="center"/>
    </xf>
    <xf numFmtId="2" fontId="24" fillId="8" borderId="37" xfId="14" applyNumberFormat="1" applyFont="1" applyFill="1" applyBorder="1" applyAlignment="1" applyProtection="1">
      <alignment vertical="center"/>
    </xf>
    <xf numFmtId="10" fontId="0" fillId="8" borderId="37" xfId="14" applyNumberFormat="1" applyFont="1" applyFill="1" applyBorder="1" applyAlignment="1" applyProtection="1">
      <alignment horizontal="right" vertical="center"/>
    </xf>
    <xf numFmtId="10" fontId="24" fillId="8" borderId="38" xfId="14" applyNumberFormat="1" applyFont="1" applyFill="1" applyBorder="1" applyAlignment="1" applyProtection="1">
      <alignment vertical="center"/>
    </xf>
    <xf numFmtId="3" fontId="24" fillId="10" borderId="38" xfId="14" applyNumberFormat="1" applyFont="1" applyFill="1" applyBorder="1" applyAlignment="1" applyProtection="1">
      <alignment vertical="center"/>
    </xf>
    <xf numFmtId="171" fontId="24" fillId="8" borderId="38" xfId="14" applyNumberFormat="1" applyFont="1" applyFill="1" applyBorder="1" applyAlignment="1" applyProtection="1">
      <alignment vertical="center"/>
    </xf>
    <xf numFmtId="2" fontId="24" fillId="8" borderId="38" xfId="14" applyNumberFormat="1" applyFont="1" applyFill="1" applyBorder="1" applyAlignment="1" applyProtection="1">
      <alignment vertical="center"/>
    </xf>
    <xf numFmtId="2" fontId="24" fillId="8" borderId="38" xfId="14" applyNumberFormat="1" applyFont="1" applyFill="1" applyBorder="1" applyAlignment="1" applyProtection="1">
      <alignment horizontal="right" vertical="center"/>
    </xf>
    <xf numFmtId="0" fontId="0" fillId="8" borderId="36" xfId="0" applyFill="1" applyBorder="1" applyAlignment="1">
      <alignment horizontal="center" vertical="center"/>
    </xf>
    <xf numFmtId="3" fontId="0" fillId="10" borderId="36" xfId="1" applyNumberFormat="1" applyFont="1" applyFill="1" applyBorder="1" applyAlignment="1" applyProtection="1">
      <alignment horizontal="right" vertical="center"/>
    </xf>
    <xf numFmtId="0" fontId="0" fillId="8" borderId="37" xfId="0" applyFill="1" applyBorder="1" applyAlignment="1">
      <alignment horizontal="center" vertical="center"/>
    </xf>
    <xf numFmtId="3" fontId="0" fillId="10" borderId="37" xfId="1" applyNumberFormat="1" applyFont="1" applyFill="1" applyBorder="1" applyAlignment="1" applyProtection="1">
      <alignment horizontal="right" vertical="center"/>
    </xf>
    <xf numFmtId="3" fontId="0" fillId="4" borderId="37" xfId="13" applyNumberFormat="1" applyFont="1" applyBorder="1" applyAlignment="1">
      <alignment horizontal="center" vertical="top"/>
      <protection locked="0"/>
    </xf>
    <xf numFmtId="0" fontId="24" fillId="8" borderId="37" xfId="0" applyFont="1" applyFill="1" applyBorder="1"/>
    <xf numFmtId="167" fontId="0" fillId="8" borderId="37" xfId="1" applyNumberFormat="1" applyFont="1" applyFill="1" applyBorder="1" applyAlignment="1" applyProtection="1"/>
    <xf numFmtId="166" fontId="24" fillId="8" borderId="37" xfId="1" applyNumberFormat="1" applyFont="1" applyFill="1" applyBorder="1" applyAlignment="1" applyProtection="1">
      <alignment horizontal="right"/>
    </xf>
    <xf numFmtId="0" fontId="24" fillId="8" borderId="38" xfId="0" applyFont="1" applyFill="1" applyBorder="1" applyAlignment="1">
      <alignment horizontal="right"/>
    </xf>
    <xf numFmtId="0" fontId="0" fillId="8" borderId="38" xfId="0" applyFill="1" applyBorder="1"/>
    <xf numFmtId="0" fontId="24" fillId="8" borderId="38" xfId="0" applyFont="1" applyFill="1" applyBorder="1"/>
    <xf numFmtId="167" fontId="0" fillId="8" borderId="38" xfId="1" applyNumberFormat="1" applyFont="1" applyFill="1" applyBorder="1" applyAlignment="1" applyProtection="1"/>
    <xf numFmtId="0" fontId="0" fillId="8" borderId="38" xfId="0" applyFill="1" applyBorder="1" applyAlignment="1">
      <alignment horizontal="center" vertical="center"/>
    </xf>
    <xf numFmtId="4" fontId="0" fillId="4" borderId="38" xfId="13" applyFont="1" applyBorder="1" applyAlignment="1">
      <alignment vertical="center"/>
      <protection locked="0"/>
    </xf>
    <xf numFmtId="171" fontId="0" fillId="4" borderId="38" xfId="13" applyNumberFormat="1" applyFont="1" applyBorder="1" applyAlignment="1">
      <alignment vertical="center"/>
      <protection locked="0"/>
    </xf>
    <xf numFmtId="10" fontId="0" fillId="10" borderId="38" xfId="14" applyNumberFormat="1" applyFont="1" applyFill="1" applyBorder="1" applyAlignment="1" applyProtection="1">
      <alignment horizontal="right" vertical="center"/>
    </xf>
    <xf numFmtId="3" fontId="0" fillId="4" borderId="38" xfId="13" applyNumberFormat="1" applyFont="1" applyBorder="1" applyAlignment="1">
      <alignment vertical="center"/>
      <protection locked="0"/>
    </xf>
    <xf numFmtId="166" fontId="24" fillId="8" borderId="38" xfId="1" applyNumberFormat="1" applyFont="1" applyFill="1" applyBorder="1" applyAlignment="1" applyProtection="1">
      <alignment horizontal="right"/>
    </xf>
    <xf numFmtId="3" fontId="24" fillId="10" borderId="38" xfId="1" applyNumberFormat="1" applyFont="1" applyFill="1" applyBorder="1" applyAlignment="1" applyProtection="1"/>
    <xf numFmtId="4" fontId="0" fillId="4" borderId="26" xfId="13" applyFont="1" applyBorder="1" applyAlignment="1">
      <alignment vertical="justify"/>
      <protection locked="0"/>
    </xf>
    <xf numFmtId="167" fontId="0" fillId="10" borderId="27" xfId="1" applyNumberFormat="1" applyFont="1" applyFill="1" applyBorder="1" applyAlignment="1" applyProtection="1">
      <alignment horizontal="right"/>
    </xf>
    <xf numFmtId="0" fontId="24" fillId="8" borderId="26" xfId="0" applyFont="1" applyFill="1" applyBorder="1" applyAlignment="1">
      <alignment horizontal="right"/>
    </xf>
    <xf numFmtId="166" fontId="24" fillId="8" borderId="27" xfId="1" applyNumberFormat="1" applyFont="1" applyFill="1" applyBorder="1" applyAlignment="1" applyProtection="1">
      <alignment horizontal="right"/>
    </xf>
    <xf numFmtId="167" fontId="38" fillId="14" borderId="58" xfId="9" applyNumberFormat="1" applyFont="1" applyFill="1" applyBorder="1" applyAlignment="1"/>
    <xf numFmtId="166" fontId="0" fillId="8" borderId="19" xfId="1" applyNumberFormat="1" applyFont="1" applyFill="1" applyBorder="1" applyAlignment="1" applyProtection="1"/>
    <xf numFmtId="166" fontId="0" fillId="8" borderId="29" xfId="1" applyNumberFormat="1" applyFont="1" applyFill="1" applyBorder="1" applyAlignment="1" applyProtection="1"/>
    <xf numFmtId="0" fontId="24" fillId="8" borderId="62" xfId="0" applyFont="1" applyFill="1" applyBorder="1" applyAlignment="1">
      <alignment horizontal="left" vertical="center"/>
    </xf>
    <xf numFmtId="0" fontId="24" fillId="8" borderId="63" xfId="0" applyFont="1" applyFill="1" applyBorder="1" applyAlignment="1">
      <alignment horizontal="center" vertical="center"/>
    </xf>
    <xf numFmtId="0" fontId="24" fillId="8" borderId="62" xfId="0" applyFont="1" applyFill="1" applyBorder="1" applyAlignment="1">
      <alignment horizontal="center" vertical="center" wrapText="1"/>
    </xf>
    <xf numFmtId="0" fontId="24" fillId="8" borderId="64" xfId="0" applyFont="1" applyFill="1" applyBorder="1" applyAlignment="1">
      <alignment horizontal="center" vertical="center" wrapText="1"/>
    </xf>
    <xf numFmtId="3" fontId="0" fillId="4" borderId="26" xfId="13" applyNumberFormat="1" applyFont="1" applyBorder="1" applyAlignment="1">
      <alignment horizontal="center" vertical="top"/>
      <protection locked="0"/>
    </xf>
    <xf numFmtId="3" fontId="0" fillId="4" borderId="28" xfId="13" applyNumberFormat="1" applyFont="1" applyBorder="1" applyAlignment="1">
      <alignment horizontal="center" vertical="top"/>
      <protection locked="0"/>
    </xf>
    <xf numFmtId="3" fontId="0" fillId="4" borderId="38" xfId="13" applyNumberFormat="1" applyFont="1" applyBorder="1" applyAlignment="1">
      <alignment horizontal="center" vertical="top"/>
      <protection locked="0"/>
    </xf>
    <xf numFmtId="4" fontId="0" fillId="4" borderId="28" xfId="13" applyFont="1" applyBorder="1" applyAlignment="1">
      <alignment vertical="justify"/>
      <protection locked="0"/>
    </xf>
    <xf numFmtId="4" fontId="0" fillId="4" borderId="19" xfId="13" applyFont="1" applyBorder="1" applyAlignment="1">
      <alignment vertical="justify"/>
      <protection locked="0"/>
    </xf>
    <xf numFmtId="167" fontId="0" fillId="10" borderId="29" xfId="1" applyNumberFormat="1" applyFont="1" applyFill="1" applyBorder="1" applyAlignment="1" applyProtection="1">
      <alignment horizontal="right"/>
    </xf>
    <xf numFmtId="0" fontId="14" fillId="8" borderId="19" xfId="0" applyFont="1" applyFill="1" applyBorder="1"/>
    <xf numFmtId="166" fontId="4" fillId="0" borderId="20" xfId="1" applyNumberFormat="1" applyFont="1" applyBorder="1" applyProtection="1"/>
    <xf numFmtId="166" fontId="4" fillId="0" borderId="25" xfId="1" applyNumberFormat="1" applyFont="1" applyBorder="1" applyProtection="1"/>
    <xf numFmtId="0" fontId="45" fillId="8" borderId="28" xfId="0" applyFont="1" applyFill="1" applyBorder="1" applyAlignment="1">
      <alignment horizontal="left"/>
    </xf>
    <xf numFmtId="0" fontId="0" fillId="8" borderId="29" xfId="0" applyFill="1" applyBorder="1" applyAlignment="1">
      <alignment horizontal="left"/>
    </xf>
    <xf numFmtId="4" fontId="0" fillId="10" borderId="36" xfId="13" applyFont="1" applyFill="1" applyBorder="1" applyAlignment="1">
      <alignment vertical="center"/>
      <protection locked="0"/>
    </xf>
    <xf numFmtId="4" fontId="0" fillId="10" borderId="37" xfId="13" applyFont="1" applyFill="1" applyBorder="1" applyAlignment="1">
      <alignment vertical="center"/>
      <protection locked="0"/>
    </xf>
    <xf numFmtId="0" fontId="24" fillId="8" borderId="37" xfId="0" applyFont="1" applyFill="1" applyBorder="1" applyAlignment="1">
      <alignment horizontal="left"/>
    </xf>
    <xf numFmtId="0" fontId="24" fillId="8" borderId="37" xfId="0" applyFont="1" applyFill="1" applyBorder="1" applyAlignment="1">
      <alignment horizontal="right"/>
    </xf>
    <xf numFmtId="3" fontId="24" fillId="10" borderId="53" xfId="1" applyNumberFormat="1" applyFont="1" applyFill="1" applyBorder="1" applyAlignment="1" applyProtection="1">
      <alignment horizontal="right"/>
    </xf>
    <xf numFmtId="0" fontId="5" fillId="8" borderId="0" xfId="0" applyFont="1" applyFill="1" applyAlignment="1">
      <alignment horizontal="right"/>
    </xf>
    <xf numFmtId="166" fontId="5" fillId="8" borderId="0" xfId="1" applyNumberFormat="1" applyFont="1" applyFill="1" applyBorder="1" applyAlignment="1" applyProtection="1">
      <alignment horizontal="right"/>
    </xf>
    <xf numFmtId="0" fontId="5" fillId="8" borderId="28" xfId="0" applyFont="1" applyFill="1" applyBorder="1" applyAlignment="1">
      <alignment horizontal="right"/>
    </xf>
    <xf numFmtId="0" fontId="5" fillId="8" borderId="19" xfId="0" applyFont="1" applyFill="1" applyBorder="1" applyAlignment="1">
      <alignment horizontal="right"/>
    </xf>
    <xf numFmtId="0" fontId="5" fillId="8" borderId="19" xfId="0" applyFont="1" applyFill="1" applyBorder="1"/>
    <xf numFmtId="167" fontId="4" fillId="8" borderId="19" xfId="1" applyNumberFormat="1" applyFont="1" applyFill="1" applyBorder="1" applyAlignment="1" applyProtection="1"/>
    <xf numFmtId="166" fontId="5" fillId="8" borderId="29" xfId="1" applyNumberFormat="1" applyFont="1" applyFill="1" applyBorder="1" applyAlignment="1" applyProtection="1">
      <alignment horizontal="right"/>
    </xf>
    <xf numFmtId="4" fontId="0" fillId="10" borderId="26" xfId="13" applyFont="1" applyFill="1" applyBorder="1" applyAlignment="1">
      <alignment vertical="center"/>
      <protection locked="0"/>
    </xf>
    <xf numFmtId="4" fontId="0" fillId="10" borderId="28" xfId="13" applyFont="1" applyFill="1" applyBorder="1" applyAlignment="1">
      <alignment vertical="center"/>
      <protection locked="0"/>
    </xf>
    <xf numFmtId="0" fontId="24" fillId="8" borderId="64" xfId="1" applyNumberFormat="1" applyFont="1" applyFill="1" applyBorder="1" applyAlignment="1" applyProtection="1">
      <alignment horizontal="center" vertical="center" wrapText="1"/>
    </xf>
    <xf numFmtId="3" fontId="0" fillId="4" borderId="27" xfId="13" applyNumberFormat="1" applyFont="1" applyBorder="1" applyAlignment="1">
      <alignment vertical="center"/>
      <protection locked="0"/>
    </xf>
    <xf numFmtId="3" fontId="0" fillId="4" borderId="29" xfId="13" applyNumberFormat="1" applyFont="1" applyBorder="1" applyAlignment="1">
      <alignment vertical="center"/>
      <protection locked="0"/>
    </xf>
    <xf numFmtId="167" fontId="51" fillId="8" borderId="27" xfId="1" applyNumberFormat="1" applyFont="1" applyFill="1" applyBorder="1" applyAlignment="1" applyProtection="1">
      <alignment horizontal="center"/>
    </xf>
    <xf numFmtId="3" fontId="10" fillId="14" borderId="58" xfId="9" applyNumberFormat="1" applyFill="1" applyBorder="1" applyAlignment="1"/>
    <xf numFmtId="167" fontId="12" fillId="8" borderId="27" xfId="1" applyNumberFormat="1" applyFont="1" applyFill="1" applyBorder="1" applyAlignment="1" applyProtection="1">
      <alignment horizontal="center"/>
    </xf>
    <xf numFmtId="166" fontId="5" fillId="8" borderId="27" xfId="1" applyNumberFormat="1" applyFont="1" applyFill="1" applyBorder="1" applyAlignment="1" applyProtection="1">
      <alignment horizontal="right"/>
    </xf>
    <xf numFmtId="166" fontId="4" fillId="8" borderId="19" xfId="1" applyNumberFormat="1" applyFont="1" applyFill="1" applyBorder="1" applyAlignment="1" applyProtection="1"/>
    <xf numFmtId="166" fontId="4" fillId="8" borderId="29" xfId="1" applyNumberFormat="1" applyFont="1" applyFill="1" applyBorder="1" applyAlignment="1" applyProtection="1"/>
    <xf numFmtId="0" fontId="24" fillId="8" borderId="53" xfId="0" applyFont="1" applyFill="1" applyBorder="1" applyAlignment="1">
      <alignment horizontal="left" vertical="center"/>
    </xf>
    <xf numFmtId="0" fontId="24" fillId="8" borderId="53" xfId="0" applyFont="1" applyFill="1" applyBorder="1" applyAlignment="1">
      <alignment horizontal="center" vertical="center"/>
    </xf>
    <xf numFmtId="0" fontId="24" fillId="8" borderId="62" xfId="0" applyFont="1" applyFill="1" applyBorder="1" applyAlignment="1">
      <alignment horizontal="center" vertical="center"/>
    </xf>
    <xf numFmtId="0" fontId="24" fillId="8" borderId="64" xfId="0" applyFont="1" applyFill="1" applyBorder="1" applyAlignment="1">
      <alignment horizontal="center" vertical="center"/>
    </xf>
    <xf numFmtId="4" fontId="0" fillId="4" borderId="36" xfId="13" applyFont="1" applyBorder="1" applyAlignment="1">
      <alignment horizontal="center" vertical="top"/>
      <protection locked="0"/>
    </xf>
    <xf numFmtId="3" fontId="0" fillId="4" borderId="36" xfId="13" applyNumberFormat="1" applyFont="1" applyBorder="1" applyAlignment="1">
      <alignment horizontal="center" vertical="top"/>
      <protection locked="0"/>
    </xf>
    <xf numFmtId="4" fontId="0" fillId="4" borderId="37" xfId="13" applyFont="1" applyBorder="1" applyAlignment="1">
      <alignment horizontal="center" vertical="top"/>
      <protection locked="0"/>
    </xf>
    <xf numFmtId="4" fontId="0" fillId="4" borderId="38" xfId="13" applyFont="1" applyBorder="1" applyAlignment="1">
      <alignment horizontal="center" vertical="top"/>
      <protection locked="0"/>
    </xf>
    <xf numFmtId="4" fontId="0" fillId="4" borderId="29" xfId="13" applyFont="1" applyBorder="1" applyAlignment="1">
      <alignment vertical="justify"/>
      <protection locked="0"/>
    </xf>
    <xf numFmtId="0" fontId="68" fillId="0" borderId="0" xfId="0" applyFont="1"/>
    <xf numFmtId="0" fontId="68" fillId="8" borderId="0" xfId="0" applyFont="1" applyFill="1"/>
    <xf numFmtId="0" fontId="76" fillId="8" borderId="0" xfId="0" applyFont="1" applyFill="1"/>
    <xf numFmtId="0" fontId="77" fillId="8" borderId="0" xfId="2" applyFont="1" applyFill="1"/>
    <xf numFmtId="0" fontId="1" fillId="8" borderId="24" xfId="2" applyFont="1" applyFill="1" applyBorder="1" applyAlignment="1">
      <alignment horizontal="left"/>
    </xf>
    <xf numFmtId="0" fontId="1" fillId="8" borderId="20" xfId="2" applyFont="1" applyFill="1" applyBorder="1"/>
    <xf numFmtId="3" fontId="0" fillId="11" borderId="37" xfId="13" applyNumberFormat="1" applyFont="1" applyFill="1" applyBorder="1" applyAlignment="1">
      <alignment vertical="center"/>
      <protection locked="0"/>
    </xf>
    <xf numFmtId="4" fontId="0" fillId="11" borderId="37" xfId="13" applyFont="1" applyFill="1" applyBorder="1" applyAlignment="1">
      <alignment vertical="center"/>
      <protection locked="0"/>
    </xf>
    <xf numFmtId="0" fontId="5" fillId="8" borderId="36" xfId="0" applyFont="1" applyFill="1" applyBorder="1" applyAlignment="1">
      <alignment horizontal="left"/>
    </xf>
    <xf numFmtId="0" fontId="15" fillId="8" borderId="36" xfId="0" applyFont="1" applyFill="1" applyBorder="1" applyAlignment="1">
      <alignment horizontal="centerContinuous"/>
    </xf>
    <xf numFmtId="0" fontId="25" fillId="8" borderId="36" xfId="0" applyFont="1" applyFill="1" applyBorder="1" applyAlignment="1">
      <alignment horizontal="centerContinuous"/>
    </xf>
    <xf numFmtId="0" fontId="14" fillId="0" borderId="36" xfId="0" applyFont="1" applyBorder="1" applyAlignment="1">
      <alignment horizontal="centerContinuous"/>
    </xf>
    <xf numFmtId="0" fontId="24" fillId="8" borderId="67" xfId="0" applyFont="1" applyFill="1" applyBorder="1" applyAlignment="1">
      <alignment horizontal="centerContinuous"/>
    </xf>
    <xf numFmtId="0" fontId="24" fillId="8" borderId="66" xfId="0" applyFont="1" applyFill="1" applyBorder="1" applyAlignment="1">
      <alignment horizontal="center" vertical="center" wrapText="1"/>
    </xf>
    <xf numFmtId="3" fontId="0" fillId="10" borderId="68" xfId="1" applyNumberFormat="1" applyFont="1" applyFill="1" applyBorder="1" applyAlignment="1" applyProtection="1">
      <alignment horizontal="right" vertical="center"/>
    </xf>
    <xf numFmtId="166" fontId="24" fillId="8" borderId="69" xfId="1" applyNumberFormat="1" applyFont="1" applyFill="1" applyBorder="1" applyAlignment="1" applyProtection="1">
      <alignment horizontal="right"/>
    </xf>
    <xf numFmtId="3" fontId="24" fillId="10" borderId="66" xfId="14" applyNumberFormat="1" applyFont="1" applyFill="1" applyBorder="1" applyAlignment="1" applyProtection="1">
      <alignment horizontal="right" vertical="center"/>
    </xf>
    <xf numFmtId="3" fontId="24" fillId="10" borderId="66" xfId="1" applyNumberFormat="1" applyFont="1" applyFill="1" applyBorder="1" applyAlignment="1" applyProtection="1">
      <alignment horizontal="right"/>
    </xf>
    <xf numFmtId="0" fontId="24" fillId="22" borderId="70" xfId="0" applyFont="1" applyFill="1" applyBorder="1" applyAlignment="1">
      <alignment horizontal="centerContinuous"/>
    </xf>
    <xf numFmtId="0" fontId="0" fillId="8" borderId="63" xfId="0" applyFill="1" applyBorder="1"/>
    <xf numFmtId="3" fontId="0" fillId="4" borderId="72" xfId="13" applyNumberFormat="1" applyFont="1" applyBorder="1" applyAlignment="1">
      <alignment vertical="center"/>
      <protection locked="0"/>
    </xf>
    <xf numFmtId="3" fontId="0" fillId="11" borderId="72" xfId="13" applyNumberFormat="1" applyFont="1" applyFill="1" applyBorder="1" applyAlignment="1">
      <alignment vertical="center"/>
      <protection locked="0"/>
    </xf>
    <xf numFmtId="0" fontId="0" fillId="8" borderId="73" xfId="0" applyFill="1" applyBorder="1"/>
    <xf numFmtId="3" fontId="24" fillId="10" borderId="74" xfId="14" applyNumberFormat="1" applyFont="1" applyFill="1" applyBorder="1" applyAlignment="1" applyProtection="1">
      <alignment vertical="center"/>
    </xf>
    <xf numFmtId="0" fontId="24" fillId="10" borderId="72" xfId="0" applyFont="1" applyFill="1" applyBorder="1" applyAlignment="1">
      <alignment horizontal="center" vertical="center" wrapText="1"/>
    </xf>
    <xf numFmtId="0" fontId="24" fillId="10" borderId="37" xfId="0" applyFont="1" applyFill="1" applyBorder="1" applyAlignment="1">
      <alignment horizontal="center" vertical="center" wrapText="1"/>
    </xf>
    <xf numFmtId="0" fontId="24" fillId="10" borderId="68" xfId="0" applyFont="1" applyFill="1" applyBorder="1" applyAlignment="1">
      <alignment horizontal="center" vertical="center" wrapText="1"/>
    </xf>
    <xf numFmtId="0" fontId="24" fillId="22" borderId="74" xfId="0" applyFont="1" applyFill="1" applyBorder="1" applyAlignment="1">
      <alignment horizontal="centerContinuous"/>
    </xf>
    <xf numFmtId="0" fontId="15" fillId="16" borderId="53" xfId="0" applyFont="1" applyFill="1" applyBorder="1" applyAlignment="1">
      <alignment horizontal="centerContinuous"/>
    </xf>
    <xf numFmtId="0" fontId="25" fillId="16" borderId="53" xfId="0" applyFont="1" applyFill="1" applyBorder="1" applyAlignment="1">
      <alignment horizontal="centerContinuous"/>
    </xf>
    <xf numFmtId="0" fontId="14" fillId="16" borderId="53" xfId="0" applyFont="1" applyFill="1" applyBorder="1" applyAlignment="1">
      <alignment horizontal="centerContinuous"/>
    </xf>
    <xf numFmtId="0" fontId="24" fillId="16" borderId="66" xfId="0" applyFont="1" applyFill="1" applyBorder="1" applyAlignment="1">
      <alignment horizontal="centerContinuous"/>
    </xf>
    <xf numFmtId="2" fontId="24" fillId="10" borderId="53" xfId="14" applyNumberFormat="1" applyFont="1" applyFill="1" applyBorder="1" applyAlignment="1" applyProtection="1">
      <alignment vertical="center"/>
    </xf>
    <xf numFmtId="0" fontId="24" fillId="0" borderId="74" xfId="0" applyFont="1" applyBorder="1" applyAlignment="1">
      <alignment horizontal="centerContinuous"/>
    </xf>
    <xf numFmtId="0" fontId="15" fillId="0" borderId="53" xfId="0" applyFont="1" applyBorder="1" applyAlignment="1">
      <alignment horizontal="centerContinuous"/>
    </xf>
    <xf numFmtId="0" fontId="25" fillId="0" borderId="53" xfId="0" applyFont="1" applyBorder="1" applyAlignment="1">
      <alignment horizontal="centerContinuous"/>
    </xf>
    <xf numFmtId="0" fontId="14" fillId="0" borderId="53" xfId="0" applyFont="1" applyBorder="1" applyAlignment="1">
      <alignment horizontal="centerContinuous"/>
    </xf>
    <xf numFmtId="0" fontId="24" fillId="0" borderId="66" xfId="0" applyFont="1" applyBorder="1" applyAlignment="1">
      <alignment horizontal="centerContinuous"/>
    </xf>
    <xf numFmtId="0" fontId="5" fillId="8" borderId="38" xfId="0" applyFont="1" applyFill="1" applyBorder="1" applyAlignment="1">
      <alignment horizontal="right"/>
    </xf>
    <xf numFmtId="0" fontId="5" fillId="8" borderId="38" xfId="0" applyFont="1" applyFill="1" applyBorder="1"/>
    <xf numFmtId="167" fontId="4" fillId="8" borderId="38" xfId="1" applyNumberFormat="1" applyFont="1" applyFill="1" applyBorder="1" applyAlignment="1" applyProtection="1"/>
    <xf numFmtId="166" fontId="5" fillId="8" borderId="69" xfId="1" applyNumberFormat="1" applyFont="1" applyFill="1" applyBorder="1" applyAlignment="1" applyProtection="1">
      <alignment horizontal="right"/>
    </xf>
    <xf numFmtId="0" fontId="14" fillId="8" borderId="24" xfId="0" applyFont="1" applyFill="1" applyBorder="1"/>
    <xf numFmtId="10" fontId="24" fillId="8" borderId="62" xfId="14" applyNumberFormat="1" applyFont="1" applyFill="1" applyBorder="1" applyAlignment="1" applyProtection="1">
      <alignment vertical="center"/>
    </xf>
    <xf numFmtId="0" fontId="24" fillId="10" borderId="75" xfId="0" applyFont="1" applyFill="1" applyBorder="1" applyAlignment="1">
      <alignment horizontal="centerContinuous"/>
    </xf>
    <xf numFmtId="0" fontId="24" fillId="8" borderId="74" xfId="0" applyFont="1" applyFill="1" applyBorder="1" applyAlignment="1">
      <alignment horizontal="center" vertical="center" wrapText="1"/>
    </xf>
    <xf numFmtId="4" fontId="0" fillId="4" borderId="72" xfId="13" applyFont="1" applyBorder="1" applyAlignment="1">
      <alignment vertical="center"/>
      <protection locked="0"/>
    </xf>
    <xf numFmtId="0" fontId="0" fillId="8" borderId="72" xfId="0" applyFill="1" applyBorder="1"/>
    <xf numFmtId="0" fontId="5" fillId="8" borderId="53" xfId="0" applyFont="1" applyFill="1" applyBorder="1" applyAlignment="1">
      <alignment horizontal="left"/>
    </xf>
    <xf numFmtId="0" fontId="25" fillId="8" borderId="62" xfId="0" applyFont="1" applyFill="1" applyBorder="1" applyAlignment="1">
      <alignment horizontal="left"/>
    </xf>
    <xf numFmtId="0" fontId="24" fillId="10" borderId="74" xfId="0" applyFont="1" applyFill="1" applyBorder="1" applyAlignment="1">
      <alignment horizontal="centerContinuous"/>
    </xf>
    <xf numFmtId="0" fontId="0" fillId="8" borderId="53" xfId="0" applyFill="1" applyBorder="1" applyAlignment="1">
      <alignment horizontal="centerContinuous"/>
    </xf>
    <xf numFmtId="0" fontId="0" fillId="0" borderId="53" xfId="0" applyBorder="1" applyAlignment="1">
      <alignment horizontal="centerContinuous"/>
    </xf>
    <xf numFmtId="166" fontId="0" fillId="8" borderId="53" xfId="1" applyNumberFormat="1" applyFont="1" applyFill="1" applyBorder="1" applyAlignment="1" applyProtection="1">
      <alignment horizontal="centerContinuous"/>
    </xf>
    <xf numFmtId="166" fontId="0" fillId="8" borderId="66" xfId="1" applyNumberFormat="1" applyFont="1" applyFill="1" applyBorder="1" applyAlignment="1" applyProtection="1">
      <alignment horizontal="centerContinuous"/>
    </xf>
    <xf numFmtId="4" fontId="0" fillId="4" borderId="73" xfId="13" applyFont="1" applyBorder="1" applyAlignment="1">
      <alignment vertical="center"/>
      <protection locked="0"/>
    </xf>
    <xf numFmtId="3" fontId="0" fillId="10" borderId="69" xfId="1" applyNumberFormat="1" applyFont="1" applyFill="1" applyBorder="1" applyAlignment="1" applyProtection="1">
      <alignment horizontal="right" vertical="center"/>
    </xf>
    <xf numFmtId="3" fontId="24" fillId="10" borderId="36" xfId="1" applyNumberFormat="1" applyFont="1" applyFill="1" applyBorder="1" applyAlignment="1" applyProtection="1"/>
    <xf numFmtId="3" fontId="24" fillId="8" borderId="36" xfId="1" applyNumberFormat="1" applyFont="1" applyFill="1" applyBorder="1" applyAlignment="1" applyProtection="1"/>
    <xf numFmtId="3" fontId="24" fillId="10" borderId="67" xfId="1" applyNumberFormat="1" applyFont="1" applyFill="1" applyBorder="1" applyAlignment="1" applyProtection="1">
      <alignment horizontal="right"/>
    </xf>
    <xf numFmtId="3" fontId="24" fillId="10" borderId="75" xfId="0" applyNumberFormat="1" applyFont="1" applyFill="1" applyBorder="1"/>
    <xf numFmtId="0" fontId="24" fillId="22" borderId="75" xfId="0" applyFont="1" applyFill="1" applyBorder="1" applyAlignment="1">
      <alignment horizontal="centerContinuous"/>
    </xf>
    <xf numFmtId="0" fontId="0" fillId="16" borderId="36" xfId="0" applyFill="1" applyBorder="1" applyAlignment="1">
      <alignment horizontal="centerContinuous"/>
    </xf>
    <xf numFmtId="166" fontId="0" fillId="16" borderId="36" xfId="1" applyNumberFormat="1" applyFont="1" applyFill="1" applyBorder="1" applyAlignment="1" applyProtection="1">
      <alignment horizontal="centerContinuous"/>
    </xf>
    <xf numFmtId="166" fontId="0" fillId="16" borderId="67" xfId="1" applyNumberFormat="1" applyFont="1" applyFill="1" applyBorder="1" applyAlignment="1" applyProtection="1">
      <alignment horizontal="centerContinuous"/>
    </xf>
    <xf numFmtId="0" fontId="24" fillId="0" borderId="75" xfId="0" applyFont="1" applyBorder="1" applyAlignment="1">
      <alignment horizontal="centerContinuous"/>
    </xf>
    <xf numFmtId="0" fontId="0" fillId="0" borderId="36" xfId="0" applyBorder="1" applyAlignment="1">
      <alignment horizontal="centerContinuous"/>
    </xf>
    <xf numFmtId="166" fontId="0" fillId="0" borderId="36" xfId="1" applyNumberFormat="1" applyFont="1" applyFill="1" applyBorder="1" applyAlignment="1" applyProtection="1">
      <alignment horizontal="centerContinuous"/>
    </xf>
    <xf numFmtId="166" fontId="0" fillId="0" borderId="67" xfId="1" applyNumberFormat="1" applyFont="1" applyFill="1" applyBorder="1" applyAlignment="1" applyProtection="1">
      <alignment horizontal="centerContinuous"/>
    </xf>
    <xf numFmtId="4" fontId="0" fillId="4" borderId="37" xfId="13" applyFont="1" applyBorder="1" applyAlignment="1">
      <alignment vertical="justify"/>
      <protection locked="0"/>
    </xf>
    <xf numFmtId="167" fontId="0" fillId="10" borderId="68" xfId="1" applyNumberFormat="1" applyFont="1" applyFill="1" applyBorder="1" applyAlignment="1" applyProtection="1">
      <alignment horizontal="right"/>
    </xf>
    <xf numFmtId="0" fontId="5" fillId="8" borderId="37" xfId="0" applyFont="1" applyFill="1" applyBorder="1" applyAlignment="1">
      <alignment horizontal="left"/>
    </xf>
    <xf numFmtId="0" fontId="19" fillId="8" borderId="36" xfId="0" applyFont="1" applyFill="1" applyBorder="1" applyAlignment="1">
      <alignment horizontal="centerContinuous"/>
    </xf>
    <xf numFmtId="166" fontId="4" fillId="8" borderId="67" xfId="1" applyNumberFormat="1" applyFont="1" applyFill="1" applyBorder="1" applyAlignment="1" applyProtection="1">
      <alignment horizontal="centerContinuous"/>
    </xf>
    <xf numFmtId="4" fontId="0" fillId="4" borderId="38" xfId="13" applyFont="1" applyBorder="1" applyAlignment="1">
      <alignment vertical="justify"/>
      <protection locked="0"/>
    </xf>
    <xf numFmtId="167" fontId="0" fillId="10" borderId="69" xfId="1" applyNumberFormat="1" applyFont="1" applyFill="1" applyBorder="1" applyAlignment="1" applyProtection="1">
      <alignment horizontal="right"/>
    </xf>
    <xf numFmtId="3" fontId="24" fillId="10" borderId="66" xfId="1" applyNumberFormat="1" applyFont="1" applyFill="1" applyBorder="1" applyAlignment="1" applyProtection="1"/>
    <xf numFmtId="4" fontId="1" fillId="4" borderId="66" xfId="13" applyBorder="1" applyAlignment="1">
      <protection locked="0"/>
    </xf>
    <xf numFmtId="0" fontId="0" fillId="8" borderId="76" xfId="0" applyFill="1" applyBorder="1"/>
    <xf numFmtId="0" fontId="0" fillId="8" borderId="77" xfId="0" applyFill="1" applyBorder="1"/>
    <xf numFmtId="0" fontId="0" fillId="16" borderId="63" xfId="0" applyFill="1" applyBorder="1" applyAlignment="1">
      <alignment horizontal="centerContinuous"/>
    </xf>
    <xf numFmtId="166" fontId="0" fillId="16" borderId="63" xfId="1" applyNumberFormat="1" applyFont="1" applyFill="1" applyBorder="1" applyAlignment="1" applyProtection="1">
      <alignment horizontal="centerContinuous"/>
    </xf>
    <xf numFmtId="166" fontId="0" fillId="16" borderId="71" xfId="1" applyNumberFormat="1" applyFont="1" applyFill="1" applyBorder="1" applyAlignment="1" applyProtection="1">
      <alignment horizontal="centerContinuous"/>
    </xf>
    <xf numFmtId="167" fontId="0" fillId="10" borderId="78" xfId="1" applyNumberFormat="1" applyFont="1" applyFill="1" applyBorder="1" applyAlignment="1" applyProtection="1">
      <alignment horizontal="right"/>
    </xf>
    <xf numFmtId="167" fontId="0" fillId="10" borderId="79" xfId="1" applyNumberFormat="1" applyFont="1" applyFill="1" applyBorder="1" applyAlignment="1" applyProtection="1">
      <alignment horizontal="right"/>
    </xf>
    <xf numFmtId="167" fontId="0" fillId="10" borderId="80" xfId="1" applyNumberFormat="1" applyFont="1" applyFill="1" applyBorder="1" applyAlignment="1" applyProtection="1">
      <alignment horizontal="right"/>
    </xf>
    <xf numFmtId="166" fontId="24" fillId="8" borderId="79" xfId="1" applyNumberFormat="1" applyFont="1" applyFill="1" applyBorder="1" applyAlignment="1" applyProtection="1">
      <alignment horizontal="right"/>
    </xf>
    <xf numFmtId="167" fontId="51" fillId="8" borderId="79" xfId="1" applyNumberFormat="1" applyFont="1" applyFill="1" applyBorder="1" applyAlignment="1" applyProtection="1">
      <alignment horizontal="center"/>
    </xf>
    <xf numFmtId="3" fontId="10" fillId="14" borderId="81" xfId="9" applyNumberFormat="1" applyFill="1" applyBorder="1" applyAlignment="1"/>
    <xf numFmtId="167" fontId="12" fillId="8" borderId="79" xfId="1" applyNumberFormat="1" applyFont="1" applyFill="1" applyBorder="1" applyAlignment="1" applyProtection="1">
      <alignment horizontal="center"/>
    </xf>
    <xf numFmtId="166" fontId="5" fillId="8" borderId="79" xfId="1" applyNumberFormat="1" applyFont="1" applyFill="1" applyBorder="1" applyAlignment="1" applyProtection="1">
      <alignment horizontal="right"/>
    </xf>
    <xf numFmtId="166" fontId="4" fillId="8" borderId="80" xfId="1" applyNumberFormat="1" applyFont="1" applyFill="1" applyBorder="1" applyAlignment="1" applyProtection="1"/>
    <xf numFmtId="166" fontId="24" fillId="8" borderId="20" xfId="1" applyNumberFormat="1" applyFont="1" applyFill="1" applyBorder="1" applyAlignment="1" applyProtection="1">
      <alignment horizontal="right"/>
    </xf>
    <xf numFmtId="3" fontId="10" fillId="14" borderId="82" xfId="9" applyNumberFormat="1" applyFill="1" applyBorder="1" applyAlignment="1"/>
    <xf numFmtId="4" fontId="0" fillId="4" borderId="76" xfId="13" applyFont="1" applyBorder="1" applyAlignment="1">
      <alignment vertical="justify"/>
      <protection locked="0"/>
    </xf>
    <xf numFmtId="4" fontId="0" fillId="4" borderId="77" xfId="13" applyFont="1" applyBorder="1" applyAlignment="1">
      <alignment vertical="justify"/>
      <protection locked="0"/>
    </xf>
    <xf numFmtId="4" fontId="0" fillId="4" borderId="27" xfId="13" applyFont="1" applyBorder="1" applyAlignment="1">
      <alignment vertical="justify"/>
      <protection locked="0"/>
    </xf>
    <xf numFmtId="4" fontId="0" fillId="4" borderId="20" xfId="13" applyFont="1" applyBorder="1" applyAlignment="1">
      <alignment vertical="justify"/>
      <protection locked="0"/>
    </xf>
    <xf numFmtId="0" fontId="24" fillId="8" borderId="70" xfId="0" applyFont="1" applyFill="1" applyBorder="1" applyAlignment="1">
      <alignment horizontal="center" vertical="center"/>
    </xf>
    <xf numFmtId="0" fontId="24" fillId="0" borderId="70" xfId="0" applyFont="1" applyBorder="1" applyAlignment="1">
      <alignment horizontal="centerContinuous"/>
    </xf>
    <xf numFmtId="0" fontId="0" fillId="0" borderId="63" xfId="0" applyBorder="1" applyAlignment="1">
      <alignment horizontal="centerContinuous"/>
    </xf>
    <xf numFmtId="166" fontId="0" fillId="0" borderId="63" xfId="1" applyNumberFormat="1" applyFont="1" applyFill="1" applyBorder="1" applyAlignment="1" applyProtection="1">
      <alignment horizontal="centerContinuous"/>
    </xf>
    <xf numFmtId="166" fontId="0" fillId="0" borderId="71" xfId="1" applyNumberFormat="1" applyFont="1" applyFill="1" applyBorder="1" applyAlignment="1" applyProtection="1">
      <alignment horizontal="centerContinuous"/>
    </xf>
    <xf numFmtId="0" fontId="15" fillId="8" borderId="20" xfId="0" applyFont="1" applyFill="1" applyBorder="1" applyAlignment="1">
      <alignment horizontal="left"/>
    </xf>
    <xf numFmtId="0" fontId="14" fillId="0" borderId="20" xfId="0" applyFont="1" applyBorder="1"/>
    <xf numFmtId="0" fontId="15" fillId="8" borderId="20" xfId="0" applyFont="1" applyFill="1" applyBorder="1" applyAlignment="1">
      <alignment horizontal="center"/>
    </xf>
    <xf numFmtId="0" fontId="14" fillId="8" borderId="28" xfId="0" applyFont="1" applyFill="1" applyBorder="1"/>
    <xf numFmtId="0" fontId="45" fillId="8" borderId="19" xfId="0" applyFont="1" applyFill="1" applyBorder="1" applyAlignment="1">
      <alignment horizontal="center"/>
    </xf>
    <xf numFmtId="0" fontId="14" fillId="0" borderId="19" xfId="0" applyFont="1" applyBorder="1"/>
    <xf numFmtId="0" fontId="14" fillId="0" borderId="29" xfId="0" applyFont="1" applyBorder="1"/>
    <xf numFmtId="0" fontId="0" fillId="8" borderId="24" xfId="0" applyFill="1" applyBorder="1"/>
    <xf numFmtId="0" fontId="41" fillId="8" borderId="20" xfId="0" applyFont="1" applyFill="1" applyBorder="1" applyAlignment="1">
      <alignment horizontal="left" vertical="top"/>
    </xf>
    <xf numFmtId="0" fontId="14" fillId="0" borderId="25" xfId="0" applyFont="1" applyBorder="1"/>
    <xf numFmtId="4" fontId="24" fillId="8" borderId="26" xfId="0" applyNumberFormat="1" applyFont="1" applyFill="1" applyBorder="1" applyAlignment="1">
      <alignment horizontal="left" vertical="top"/>
    </xf>
    <xf numFmtId="0" fontId="14" fillId="0" borderId="27" xfId="0" applyFont="1" applyBorder="1"/>
    <xf numFmtId="0" fontId="45" fillId="8" borderId="26" xfId="0" applyFont="1" applyFill="1" applyBorder="1" applyAlignment="1">
      <alignment horizontal="left"/>
    </xf>
    <xf numFmtId="0" fontId="0" fillId="8" borderId="27" xfId="0" applyFill="1" applyBorder="1" applyAlignment="1">
      <alignment vertical="top"/>
    </xf>
    <xf numFmtId="166" fontId="24" fillId="8" borderId="0" xfId="0" applyNumberFormat="1" applyFont="1" applyFill="1"/>
    <xf numFmtId="10" fontId="24" fillId="8" borderId="0" xfId="0" applyNumberFormat="1" applyFont="1" applyFill="1" applyAlignment="1">
      <alignment horizontal="right"/>
    </xf>
    <xf numFmtId="0" fontId="25" fillId="8" borderId="26" xfId="0" applyFont="1" applyFill="1" applyBorder="1"/>
    <xf numFmtId="0" fontId="25" fillId="8" borderId="26" xfId="0" applyFont="1" applyFill="1" applyBorder="1" applyAlignment="1">
      <alignment horizontal="left"/>
    </xf>
    <xf numFmtId="0" fontId="34" fillId="8" borderId="0" xfId="7" applyNumberFormat="1" applyFill="1" applyBorder="1" applyAlignment="1">
      <alignment horizontal="right"/>
    </xf>
    <xf numFmtId="0" fontId="24" fillId="8" borderId="20" xfId="0" applyFont="1" applyFill="1" applyBorder="1" applyAlignment="1">
      <alignment horizontal="right"/>
    </xf>
    <xf numFmtId="168" fontId="31" fillId="8" borderId="19" xfId="1" applyNumberFormat="1" applyFont="1" applyFill="1" applyBorder="1"/>
    <xf numFmtId="0" fontId="24" fillId="8" borderId="62" xfId="0" applyFont="1" applyFill="1" applyBorder="1"/>
    <xf numFmtId="0" fontId="0" fillId="8" borderId="63" xfId="0" applyFill="1" applyBorder="1" applyAlignment="1">
      <alignment horizontal="left"/>
    </xf>
    <xf numFmtId="0" fontId="45" fillId="8" borderId="63" xfId="0" applyFont="1" applyFill="1" applyBorder="1" applyAlignment="1">
      <alignment horizontal="center"/>
    </xf>
    <xf numFmtId="0" fontId="14" fillId="0" borderId="63" xfId="0" applyFont="1" applyBorder="1"/>
    <xf numFmtId="0" fontId="24" fillId="8" borderId="63" xfId="0" applyFont="1" applyFill="1" applyBorder="1" applyAlignment="1">
      <alignment horizontal="right"/>
    </xf>
    <xf numFmtId="0" fontId="34" fillId="8" borderId="63" xfId="7" applyNumberFormat="1" applyFill="1" applyBorder="1" applyAlignment="1">
      <alignment horizontal="right"/>
    </xf>
    <xf numFmtId="0" fontId="0" fillId="8" borderId="64" xfId="0" applyFill="1" applyBorder="1"/>
    <xf numFmtId="0" fontId="24" fillId="8" borderId="83" xfId="0" applyFont="1" applyFill="1" applyBorder="1" applyAlignment="1">
      <alignment horizontal="right"/>
    </xf>
    <xf numFmtId="0" fontId="40" fillId="8" borderId="0" xfId="0" applyFont="1" applyFill="1"/>
    <xf numFmtId="0" fontId="40" fillId="8" borderId="0" xfId="0" applyFont="1" applyFill="1" applyAlignment="1">
      <alignment horizontal="center"/>
    </xf>
    <xf numFmtId="0" fontId="36" fillId="8" borderId="26" xfId="0" quotePrefix="1" applyFont="1" applyFill="1" applyBorder="1" applyAlignment="1">
      <alignment horizontal="left" indent="1"/>
    </xf>
    <xf numFmtId="3" fontId="0" fillId="8" borderId="16" xfId="18" applyNumberFormat="1" applyFont="1" applyFill="1" applyAlignment="1"/>
    <xf numFmtId="3" fontId="53" fillId="8" borderId="0" xfId="0" applyNumberFormat="1" applyFont="1" applyFill="1" applyAlignment="1">
      <alignment horizontal="right"/>
    </xf>
    <xf numFmtId="0" fontId="24" fillId="8" borderId="28" xfId="0" applyFont="1" applyFill="1" applyBorder="1"/>
    <xf numFmtId="3" fontId="0" fillId="8" borderId="19" xfId="0" applyNumberFormat="1" applyFill="1" applyBorder="1"/>
    <xf numFmtId="0" fontId="0" fillId="8" borderId="24" xfId="0" applyFill="1" applyBorder="1" applyAlignment="1">
      <alignment horizontal="right"/>
    </xf>
    <xf numFmtId="0" fontId="34" fillId="8" borderId="25" xfId="7" applyNumberFormat="1" applyFill="1" applyBorder="1" applyAlignment="1">
      <alignment horizontal="center"/>
    </xf>
    <xf numFmtId="0" fontId="0" fillId="8" borderId="27" xfId="0" applyFill="1" applyBorder="1" applyAlignment="1">
      <alignment horizontal="center"/>
    </xf>
    <xf numFmtId="3" fontId="34" fillId="8" borderId="27" xfId="7" applyNumberFormat="1" applyFill="1" applyBorder="1" applyAlignment="1">
      <alignment horizontal="center"/>
    </xf>
    <xf numFmtId="10" fontId="34" fillId="8" borderId="27" xfId="14" applyNumberFormat="1" applyFont="1" applyFill="1" applyBorder="1" applyAlignment="1">
      <alignment horizontal="center"/>
    </xf>
    <xf numFmtId="9" fontId="1" fillId="8" borderId="0" xfId="14" quotePrefix="1" applyFont="1" applyFill="1" applyBorder="1" applyAlignment="1" applyProtection="1"/>
    <xf numFmtId="0" fontId="0" fillId="8" borderId="28" xfId="0" applyFill="1" applyBorder="1" applyAlignment="1">
      <alignment horizontal="center"/>
    </xf>
    <xf numFmtId="0" fontId="34" fillId="8" borderId="29" xfId="7" applyNumberFormat="1" applyFill="1" applyBorder="1" applyAlignment="1">
      <alignment horizontal="center"/>
    </xf>
    <xf numFmtId="0" fontId="14" fillId="8" borderId="25" xfId="0" applyFont="1" applyFill="1" applyBorder="1"/>
    <xf numFmtId="0" fontId="14" fillId="8" borderId="27" xfId="0" applyFont="1" applyFill="1" applyBorder="1"/>
    <xf numFmtId="0" fontId="14" fillId="8" borderId="29" xfId="0" applyFont="1" applyFill="1" applyBorder="1"/>
    <xf numFmtId="0" fontId="24" fillId="8" borderId="20" xfId="0" applyFont="1" applyFill="1" applyBorder="1" applyAlignment="1">
      <alignment horizontal="center"/>
    </xf>
    <xf numFmtId="0" fontId="1" fillId="8" borderId="27" xfId="0" applyFont="1" applyFill="1" applyBorder="1"/>
    <xf numFmtId="0" fontId="49" fillId="8" borderId="28" xfId="0" applyFont="1" applyFill="1" applyBorder="1" applyAlignment="1">
      <alignment horizontal="left" indent="2"/>
    </xf>
    <xf numFmtId="0" fontId="49" fillId="8" borderId="19" xfId="0" applyFont="1" applyFill="1" applyBorder="1" applyAlignment="1">
      <alignment horizontal="right"/>
    </xf>
    <xf numFmtId="0" fontId="49" fillId="0" borderId="19" xfId="0" applyFont="1" applyBorder="1"/>
    <xf numFmtId="5" fontId="0" fillId="8" borderId="19" xfId="0" applyNumberFormat="1" applyFill="1" applyBorder="1"/>
    <xf numFmtId="0" fontId="1" fillId="8" borderId="29" xfId="0" applyFont="1" applyFill="1" applyBorder="1"/>
    <xf numFmtId="0" fontId="61" fillId="10" borderId="0" xfId="0" applyFont="1" applyFill="1" applyAlignment="1">
      <alignment horizontal="centerContinuous"/>
    </xf>
    <xf numFmtId="0" fontId="35" fillId="8" borderId="0" xfId="2" applyFill="1" applyBorder="1" applyAlignment="1">
      <alignment horizontal="left"/>
    </xf>
    <xf numFmtId="0" fontId="24" fillId="8" borderId="20" xfId="0" applyFont="1" applyFill="1" applyBorder="1" applyAlignment="1">
      <alignment wrapText="1"/>
    </xf>
    <xf numFmtId="4" fontId="0" fillId="8" borderId="19" xfId="13" applyFont="1" applyFill="1" applyBorder="1" applyAlignment="1">
      <protection locked="0"/>
    </xf>
    <xf numFmtId="0" fontId="0" fillId="10" borderId="26" xfId="0" applyFill="1" applyBorder="1" applyAlignment="1">
      <alignment horizontal="center" vertical="center"/>
    </xf>
    <xf numFmtId="0" fontId="0" fillId="10" borderId="28" xfId="0" applyFill="1" applyBorder="1" applyAlignment="1">
      <alignment horizontal="center" vertical="center"/>
    </xf>
    <xf numFmtId="0" fontId="24" fillId="8" borderId="36" xfId="0" applyFont="1" applyFill="1" applyBorder="1" applyAlignment="1">
      <alignment wrapText="1"/>
    </xf>
    <xf numFmtId="0" fontId="24" fillId="8" borderId="24" xfId="0" applyFont="1" applyFill="1" applyBorder="1" applyAlignment="1">
      <alignment wrapText="1"/>
    </xf>
    <xf numFmtId="0" fontId="0" fillId="8" borderId="60" xfId="0" applyFill="1" applyBorder="1"/>
    <xf numFmtId="4" fontId="0" fillId="8" borderId="37" xfId="13" applyFont="1" applyFill="1" applyBorder="1" applyAlignment="1">
      <protection locked="0"/>
    </xf>
    <xf numFmtId="4" fontId="0" fillId="8" borderId="26" xfId="13" applyFont="1" applyFill="1" applyBorder="1" applyAlignment="1">
      <protection locked="0"/>
    </xf>
    <xf numFmtId="4" fontId="0" fillId="8" borderId="38" xfId="13" applyFont="1" applyFill="1" applyBorder="1" applyAlignment="1">
      <protection locked="0"/>
    </xf>
    <xf numFmtId="4" fontId="0" fillId="8" borderId="28" xfId="13" applyFont="1" applyFill="1" applyBorder="1" applyAlignment="1">
      <protection locked="0"/>
    </xf>
    <xf numFmtId="4" fontId="0" fillId="4" borderId="27" xfId="13" applyFont="1" applyBorder="1" applyAlignment="1">
      <alignment horizontal="right"/>
      <protection locked="0"/>
    </xf>
    <xf numFmtId="4" fontId="0" fillId="4" borderId="29" xfId="13" applyFont="1" applyBorder="1" applyAlignment="1">
      <alignment horizontal="right"/>
      <protection locked="0"/>
    </xf>
    <xf numFmtId="4" fontId="0" fillId="4" borderId="37" xfId="13" applyFont="1" applyBorder="1" applyAlignment="1">
      <alignment horizontal="right"/>
      <protection locked="0"/>
    </xf>
    <xf numFmtId="4" fontId="0" fillId="4" borderId="38" xfId="13" applyFont="1" applyBorder="1" applyAlignment="1">
      <alignment horizontal="right"/>
      <protection locked="0"/>
    </xf>
    <xf numFmtId="0" fontId="24" fillId="8" borderId="36" xfId="0" applyFont="1" applyFill="1" applyBorder="1" applyAlignment="1">
      <alignment horizontal="center" wrapText="1"/>
    </xf>
    <xf numFmtId="0" fontId="24" fillId="8" borderId="25" xfId="0" applyFont="1" applyFill="1" applyBorder="1" applyAlignment="1">
      <alignment horizontal="center" wrapText="1"/>
    </xf>
    <xf numFmtId="4" fontId="0" fillId="11" borderId="37" xfId="13" applyFont="1" applyFill="1" applyBorder="1" applyAlignment="1">
      <alignment horizontal="right"/>
      <protection locked="0"/>
    </xf>
    <xf numFmtId="4" fontId="0" fillId="11" borderId="27" xfId="13" applyFont="1" applyFill="1" applyBorder="1" applyAlignment="1">
      <alignment horizontal="right"/>
      <protection locked="0"/>
    </xf>
    <xf numFmtId="2" fontId="24" fillId="10" borderId="53" xfId="1" applyNumberFormat="1" applyFont="1" applyFill="1" applyBorder="1" applyAlignment="1" applyProtection="1">
      <alignment horizontal="center"/>
    </xf>
    <xf numFmtId="2" fontId="24" fillId="10" borderId="64" xfId="1" applyNumberFormat="1" applyFont="1" applyFill="1" applyBorder="1" applyAlignment="1" applyProtection="1">
      <alignment horizontal="center"/>
    </xf>
    <xf numFmtId="0" fontId="24" fillId="8" borderId="36" xfId="0" applyFont="1" applyFill="1" applyBorder="1"/>
    <xf numFmtId="0" fontId="0" fillId="10" borderId="65" xfId="0" applyFill="1" applyBorder="1"/>
    <xf numFmtId="0" fontId="0" fillId="10" borderId="37" xfId="0" applyFill="1" applyBorder="1"/>
    <xf numFmtId="43" fontId="0" fillId="10" borderId="37" xfId="1" applyFont="1" applyFill="1" applyBorder="1" applyAlignment="1" applyProtection="1">
      <alignment horizontal="right"/>
    </xf>
    <xf numFmtId="4" fontId="0" fillId="4" borderId="37" xfId="13" applyFont="1" applyBorder="1" applyAlignment="1">
      <protection locked="0"/>
    </xf>
    <xf numFmtId="43" fontId="0" fillId="10" borderId="53" xfId="1" applyFont="1" applyFill="1" applyBorder="1" applyAlignment="1" applyProtection="1"/>
    <xf numFmtId="43" fontId="0" fillId="10" borderId="53" xfId="18" applyNumberFormat="1" applyFont="1" applyFill="1" applyBorder="1" applyAlignment="1">
      <alignment horizontal="right"/>
    </xf>
    <xf numFmtId="43" fontId="0" fillId="10" borderId="53" xfId="1" applyFont="1" applyFill="1" applyBorder="1" applyAlignment="1" applyProtection="1">
      <alignment horizontal="right"/>
    </xf>
    <xf numFmtId="3" fontId="0" fillId="10" borderId="26" xfId="0" applyNumberFormat="1" applyFill="1" applyBorder="1"/>
    <xf numFmtId="3" fontId="0" fillId="10" borderId="27" xfId="0" applyNumberFormat="1" applyFill="1" applyBorder="1"/>
    <xf numFmtId="3" fontId="0" fillId="10" borderId="84" xfId="0" applyNumberFormat="1" applyFill="1" applyBorder="1"/>
    <xf numFmtId="3" fontId="0" fillId="10" borderId="85" xfId="0" applyNumberFormat="1" applyFill="1" applyBorder="1"/>
    <xf numFmtId="3" fontId="24" fillId="10" borderId="28" xfId="0" applyNumberFormat="1" applyFont="1" applyFill="1" applyBorder="1"/>
    <xf numFmtId="3" fontId="24" fillId="10" borderId="29" xfId="0" applyNumberFormat="1" applyFont="1" applyFill="1" applyBorder="1"/>
    <xf numFmtId="0" fontId="0" fillId="8" borderId="28" xfId="0" applyFill="1" applyBorder="1" applyAlignment="1">
      <alignment horizontal="right"/>
    </xf>
    <xf numFmtId="0" fontId="0" fillId="8" borderId="79" xfId="0" applyFill="1" applyBorder="1"/>
    <xf numFmtId="0" fontId="24" fillId="8" borderId="79" xfId="0" applyFont="1" applyFill="1" applyBorder="1"/>
    <xf numFmtId="0" fontId="18" fillId="8" borderId="62" xfId="0" applyFont="1" applyFill="1" applyBorder="1" applyAlignment="1">
      <alignment horizontal="left"/>
    </xf>
    <xf numFmtId="0" fontId="24" fillId="10" borderId="26" xfId="0" applyFont="1" applyFill="1" applyBorder="1"/>
    <xf numFmtId="2" fontId="24" fillId="10" borderId="56" xfId="0" applyNumberFormat="1" applyFont="1" applyFill="1" applyBorder="1" applyAlignment="1">
      <alignment horizontal="center"/>
    </xf>
    <xf numFmtId="2" fontId="24" fillId="10" borderId="59" xfId="0" applyNumberFormat="1" applyFont="1" applyFill="1" applyBorder="1" applyAlignment="1">
      <alignment horizontal="center"/>
    </xf>
    <xf numFmtId="4" fontId="0" fillId="10" borderId="57" xfId="0" applyNumberFormat="1" applyFill="1" applyBorder="1" applyAlignment="1">
      <alignment horizontal="right"/>
    </xf>
    <xf numFmtId="4" fontId="0" fillId="10" borderId="61" xfId="0" applyNumberFormat="1" applyFill="1" applyBorder="1" applyAlignment="1">
      <alignment horizontal="right"/>
    </xf>
    <xf numFmtId="4" fontId="0" fillId="10" borderId="26" xfId="0" applyNumberFormat="1" applyFill="1" applyBorder="1" applyAlignment="1">
      <alignment horizontal="right"/>
    </xf>
    <xf numFmtId="4" fontId="0" fillId="10" borderId="0" xfId="0" applyNumberFormat="1" applyFill="1" applyAlignment="1">
      <alignment horizontal="right"/>
    </xf>
    <xf numFmtId="4" fontId="0" fillId="10" borderId="27" xfId="0" applyNumberFormat="1" applyFill="1" applyBorder="1" applyAlignment="1">
      <alignment horizontal="right"/>
    </xf>
    <xf numFmtId="4" fontId="0" fillId="10" borderId="28" xfId="0" applyNumberFormat="1" applyFill="1" applyBorder="1" applyAlignment="1">
      <alignment horizontal="right"/>
    </xf>
    <xf numFmtId="4" fontId="0" fillId="10" borderId="19" xfId="0" applyNumberFormat="1" applyFill="1" applyBorder="1" applyAlignment="1">
      <alignment horizontal="right"/>
    </xf>
    <xf numFmtId="4" fontId="0" fillId="10" borderId="29" xfId="0" applyNumberFormat="1" applyFill="1" applyBorder="1" applyAlignment="1">
      <alignment horizontal="right"/>
    </xf>
    <xf numFmtId="0" fontId="24" fillId="10" borderId="24" xfId="0" applyFont="1" applyFill="1" applyBorder="1"/>
    <xf numFmtId="0" fontId="24" fillId="8" borderId="25" xfId="0" applyFont="1" applyFill="1" applyBorder="1"/>
    <xf numFmtId="2" fontId="24" fillId="10" borderId="28" xfId="0" applyNumberFormat="1" applyFont="1" applyFill="1" applyBorder="1" applyAlignment="1">
      <alignment horizontal="center"/>
    </xf>
    <xf numFmtId="2" fontId="24" fillId="10" borderId="19" xfId="0" applyNumberFormat="1" applyFont="1" applyFill="1" applyBorder="1" applyAlignment="1">
      <alignment horizontal="center"/>
    </xf>
    <xf numFmtId="2" fontId="24" fillId="10" borderId="29" xfId="0" applyNumberFormat="1" applyFont="1" applyFill="1" applyBorder="1" applyAlignment="1">
      <alignment horizontal="center"/>
    </xf>
    <xf numFmtId="10" fontId="0" fillId="10" borderId="19" xfId="14" applyNumberFormat="1" applyFont="1" applyFill="1" applyBorder="1" applyAlignment="1" applyProtection="1">
      <alignment horizontal="right"/>
    </xf>
    <xf numFmtId="10" fontId="0" fillId="10" borderId="26" xfId="14" applyNumberFormat="1" applyFont="1" applyFill="1" applyBorder="1" applyAlignment="1" applyProtection="1">
      <alignment horizontal="right"/>
    </xf>
    <xf numFmtId="10" fontId="0" fillId="10" borderId="27" xfId="14" applyNumberFormat="1" applyFont="1" applyFill="1" applyBorder="1" applyAlignment="1" applyProtection="1">
      <alignment horizontal="right"/>
    </xf>
    <xf numFmtId="10" fontId="0" fillId="10" borderId="28" xfId="14" applyNumberFormat="1" applyFont="1" applyFill="1" applyBorder="1" applyAlignment="1" applyProtection="1">
      <alignment horizontal="right"/>
    </xf>
    <xf numFmtId="10" fontId="0" fillId="10" borderId="29" xfId="14" applyNumberFormat="1" applyFont="1" applyFill="1" applyBorder="1" applyAlignment="1" applyProtection="1">
      <alignment horizontal="right"/>
    </xf>
    <xf numFmtId="2" fontId="24" fillId="10" borderId="28" xfId="0" applyNumberFormat="1" applyFont="1" applyFill="1" applyBorder="1" applyAlignment="1">
      <alignment horizontal="right"/>
    </xf>
    <xf numFmtId="2" fontId="24" fillId="10" borderId="29" xfId="0" applyNumberFormat="1" applyFont="1" applyFill="1" applyBorder="1" applyAlignment="1">
      <alignment horizontal="right"/>
    </xf>
    <xf numFmtId="4" fontId="24" fillId="10" borderId="56" xfId="0" applyNumberFormat="1" applyFont="1" applyFill="1" applyBorder="1" applyAlignment="1">
      <alignment horizontal="right"/>
    </xf>
    <xf numFmtId="4" fontId="24" fillId="10" borderId="59" xfId="0" applyNumberFormat="1" applyFont="1" applyFill="1" applyBorder="1" applyAlignment="1">
      <alignment horizontal="right"/>
    </xf>
    <xf numFmtId="4" fontId="24" fillId="10" borderId="28" xfId="0" applyNumberFormat="1" applyFont="1" applyFill="1" applyBorder="1" applyAlignment="1">
      <alignment horizontal="right"/>
    </xf>
    <xf numFmtId="4" fontId="24" fillId="10" borderId="19" xfId="0" applyNumberFormat="1" applyFont="1" applyFill="1" applyBorder="1" applyAlignment="1">
      <alignment horizontal="right"/>
    </xf>
    <xf numFmtId="4" fontId="24" fillId="10" borderId="29" xfId="0" applyNumberFormat="1" applyFont="1" applyFill="1" applyBorder="1" applyAlignment="1">
      <alignment horizontal="right"/>
    </xf>
    <xf numFmtId="0" fontId="18" fillId="7" borderId="24" xfId="0" applyFont="1" applyFill="1" applyBorder="1" applyAlignment="1">
      <alignment horizontal="left"/>
    </xf>
    <xf numFmtId="0" fontId="0" fillId="7" borderId="20" xfId="0" applyFill="1" applyBorder="1"/>
    <xf numFmtId="0" fontId="0" fillId="7" borderId="20" xfId="0" applyFill="1" applyBorder="1" applyAlignment="1">
      <alignment horizontal="right"/>
    </xf>
    <xf numFmtId="0" fontId="24" fillId="7" borderId="20" xfId="0" applyFont="1" applyFill="1" applyBorder="1" applyAlignment="1">
      <alignment horizontal="center"/>
    </xf>
    <xf numFmtId="0" fontId="61" fillId="12" borderId="20" xfId="0" applyFont="1" applyFill="1" applyBorder="1" applyAlignment="1">
      <alignment horizontal="left"/>
    </xf>
    <xf numFmtId="0" fontId="24" fillId="7" borderId="25" xfId="0" applyFont="1" applyFill="1" applyBorder="1" applyAlignment="1">
      <alignment horizontal="center"/>
    </xf>
    <xf numFmtId="0" fontId="24" fillId="8" borderId="63" xfId="0" applyFont="1" applyFill="1" applyBorder="1" applyAlignment="1">
      <alignment wrapText="1"/>
    </xf>
    <xf numFmtId="0" fontId="24" fillId="8" borderId="64" xfId="0" applyFont="1" applyFill="1" applyBorder="1" applyAlignment="1">
      <alignment horizontal="center" wrapText="1"/>
    </xf>
    <xf numFmtId="0" fontId="24" fillId="8" borderId="62" xfId="0" applyFont="1" applyFill="1" applyBorder="1" applyAlignment="1">
      <alignment wrapText="1"/>
    </xf>
    <xf numFmtId="0" fontId="0" fillId="8" borderId="62" xfId="0" applyFill="1" applyBorder="1"/>
    <xf numFmtId="0" fontId="0" fillId="8" borderId="53" xfId="0" applyFill="1" applyBorder="1"/>
    <xf numFmtId="0" fontId="0" fillId="10" borderId="26" xfId="0" applyFill="1" applyBorder="1"/>
    <xf numFmtId="4" fontId="0" fillId="4" borderId="27" xfId="13" applyFont="1" applyBorder="1" applyAlignment="1">
      <protection locked="0"/>
    </xf>
    <xf numFmtId="0" fontId="0" fillId="10" borderId="36" xfId="0" applyFill="1" applyBorder="1"/>
    <xf numFmtId="43" fontId="0" fillId="10" borderId="36" xfId="1" applyFont="1" applyFill="1" applyBorder="1" applyAlignment="1" applyProtection="1">
      <alignment horizontal="right"/>
    </xf>
    <xf numFmtId="4" fontId="0" fillId="4" borderId="36" xfId="13" applyFont="1" applyBorder="1" applyAlignment="1">
      <alignment horizontal="right"/>
      <protection locked="0"/>
    </xf>
    <xf numFmtId="4" fontId="0" fillId="4" borderId="36" xfId="13" applyFont="1" applyBorder="1" applyAlignment="1">
      <protection locked="0"/>
    </xf>
    <xf numFmtId="0" fontId="24" fillId="8" borderId="53" xfId="0" applyFont="1" applyFill="1" applyBorder="1" applyAlignment="1">
      <alignment wrapText="1"/>
    </xf>
    <xf numFmtId="0" fontId="24" fillId="8" borderId="53" xfId="0" applyFont="1" applyFill="1" applyBorder="1" applyAlignment="1">
      <alignment horizontal="center" wrapText="1"/>
    </xf>
    <xf numFmtId="43" fontId="0" fillId="10" borderId="64" xfId="1" applyFont="1" applyFill="1" applyBorder="1" applyAlignment="1" applyProtection="1"/>
    <xf numFmtId="0" fontId="5" fillId="7" borderId="24" xfId="0" applyFont="1" applyFill="1" applyBorder="1" applyAlignment="1">
      <alignment horizontal="left"/>
    </xf>
    <xf numFmtId="0" fontId="24" fillId="7" borderId="20" xfId="0" applyFont="1" applyFill="1" applyBorder="1" applyAlignment="1">
      <alignment horizontal="left"/>
    </xf>
    <xf numFmtId="0" fontId="0" fillId="7" borderId="56" xfId="0" applyFill="1" applyBorder="1" applyAlignment="1">
      <alignment horizontal="left"/>
    </xf>
    <xf numFmtId="0" fontId="24" fillId="7" borderId="59" xfId="0" applyFont="1" applyFill="1" applyBorder="1" applyAlignment="1">
      <alignment horizontal="center"/>
    </xf>
    <xf numFmtId="0" fontId="24" fillId="8" borderId="57" xfId="0" applyFont="1" applyFill="1" applyBorder="1"/>
    <xf numFmtId="4" fontId="0" fillId="4" borderId="26" xfId="13" applyFont="1" applyBorder="1" applyAlignment="1">
      <alignment horizontal="left"/>
      <protection locked="0"/>
    </xf>
    <xf numFmtId="4" fontId="0" fillId="4" borderId="28" xfId="13" applyFont="1" applyBorder="1" applyAlignment="1">
      <alignment horizontal="left"/>
      <protection locked="0"/>
    </xf>
    <xf numFmtId="0" fontId="0" fillId="7" borderId="26" xfId="0" applyFill="1" applyBorder="1" applyAlignment="1">
      <alignment horizontal="left"/>
    </xf>
    <xf numFmtId="0" fontId="0" fillId="7" borderId="0" xfId="0" applyFill="1" applyAlignment="1">
      <alignment horizontal="right"/>
    </xf>
    <xf numFmtId="0" fontId="24" fillId="7" borderId="0" xfId="0" applyFont="1" applyFill="1" applyAlignment="1">
      <alignment horizontal="center"/>
    </xf>
    <xf numFmtId="0" fontId="24" fillId="7" borderId="27" xfId="0" applyFont="1" applyFill="1" applyBorder="1" applyAlignment="1">
      <alignment horizontal="center"/>
    </xf>
    <xf numFmtId="2" fontId="24" fillId="10" borderId="38" xfId="1" applyNumberFormat="1" applyFont="1" applyFill="1" applyBorder="1" applyAlignment="1" applyProtection="1">
      <alignment horizontal="center"/>
    </xf>
    <xf numFmtId="4" fontId="0" fillId="4" borderId="19" xfId="13" applyFont="1" applyBorder="1" applyAlignment="1">
      <alignment horizontal="left"/>
      <protection locked="0"/>
    </xf>
    <xf numFmtId="4" fontId="0" fillId="0" borderId="36" xfId="13" applyFont="1" applyFill="1" applyBorder="1" applyAlignment="1">
      <alignment horizontal="left"/>
      <protection locked="0"/>
    </xf>
    <xf numFmtId="4" fontId="0" fillId="0" borderId="37" xfId="13" applyFont="1" applyFill="1" applyBorder="1" applyAlignment="1">
      <alignment horizontal="left"/>
      <protection locked="0"/>
    </xf>
    <xf numFmtId="4" fontId="0" fillId="0" borderId="38" xfId="13" applyFont="1" applyFill="1" applyBorder="1" applyAlignment="1">
      <alignment horizontal="left"/>
      <protection locked="0"/>
    </xf>
    <xf numFmtId="4" fontId="0" fillId="4" borderId="38" xfId="13" applyFont="1" applyBorder="1" applyAlignment="1">
      <protection locked="0"/>
    </xf>
    <xf numFmtId="0" fontId="61" fillId="12" borderId="20" xfId="0" applyFont="1" applyFill="1" applyBorder="1" applyAlignment="1">
      <alignment horizontal="right"/>
    </xf>
    <xf numFmtId="4" fontId="0" fillId="4" borderId="28" xfId="13" applyFont="1" applyBorder="1" applyAlignment="1">
      <protection locked="0"/>
    </xf>
    <xf numFmtId="4" fontId="0" fillId="4" borderId="19" xfId="13" applyFont="1" applyBorder="1" applyAlignment="1">
      <protection locked="0"/>
    </xf>
    <xf numFmtId="4" fontId="0" fillId="0" borderId="42" xfId="13" applyFont="1" applyFill="1" applyBorder="1" applyAlignment="1">
      <protection locked="0"/>
    </xf>
    <xf numFmtId="4" fontId="0" fillId="0" borderId="19" xfId="13" applyFont="1" applyFill="1" applyBorder="1" applyAlignment="1">
      <protection locked="0"/>
    </xf>
    <xf numFmtId="4" fontId="0" fillId="0" borderId="43" xfId="13" applyFont="1" applyFill="1" applyBorder="1" applyAlignment="1">
      <protection locked="0"/>
    </xf>
    <xf numFmtId="0" fontId="0" fillId="7" borderId="28" xfId="0" applyFill="1" applyBorder="1" applyAlignment="1">
      <alignment horizontal="left"/>
    </xf>
    <xf numFmtId="0" fontId="0" fillId="7" borderId="19" xfId="0" applyFill="1" applyBorder="1"/>
    <xf numFmtId="0" fontId="0" fillId="7" borderId="19" xfId="0" applyFill="1" applyBorder="1" applyAlignment="1">
      <alignment horizontal="right"/>
    </xf>
    <xf numFmtId="0" fontId="24" fillId="7" borderId="19" xfId="0" applyFont="1" applyFill="1" applyBorder="1" applyAlignment="1">
      <alignment horizontal="right"/>
    </xf>
    <xf numFmtId="0" fontId="24" fillId="7" borderId="19" xfId="0" applyFont="1" applyFill="1" applyBorder="1" applyAlignment="1">
      <alignment horizontal="center"/>
    </xf>
    <xf numFmtId="0" fontId="24" fillId="7" borderId="29" xfId="0" applyFont="1" applyFill="1" applyBorder="1" applyAlignment="1">
      <alignment horizontal="center"/>
    </xf>
    <xf numFmtId="4" fontId="0" fillId="0" borderId="38" xfId="13" applyFont="1" applyFill="1" applyBorder="1" applyAlignment="1">
      <protection locked="0"/>
    </xf>
    <xf numFmtId="0" fontId="24" fillId="8" borderId="65" xfId="0" applyFont="1" applyFill="1" applyBorder="1" applyAlignment="1">
      <alignment wrapText="1"/>
    </xf>
    <xf numFmtId="0" fontId="24" fillId="8" borderId="89" xfId="0" applyFont="1" applyFill="1" applyBorder="1" applyAlignment="1">
      <alignment horizontal="center" wrapText="1"/>
    </xf>
    <xf numFmtId="4" fontId="0" fillId="4" borderId="24" xfId="13" applyFont="1" applyBorder="1" applyAlignment="1">
      <alignment horizontal="left"/>
      <protection locked="0"/>
    </xf>
    <xf numFmtId="4" fontId="0" fillId="4" borderId="20" xfId="13" applyFont="1" applyBorder="1" applyAlignment="1">
      <alignment horizontal="left"/>
      <protection locked="0"/>
    </xf>
    <xf numFmtId="4" fontId="0" fillId="0" borderId="20" xfId="13" applyFont="1" applyFill="1" applyBorder="1" applyAlignment="1">
      <alignment horizontal="left"/>
      <protection locked="0"/>
    </xf>
    <xf numFmtId="4" fontId="0" fillId="0" borderId="91" xfId="13" applyFont="1" applyFill="1" applyBorder="1" applyAlignment="1">
      <alignment horizontal="left"/>
      <protection locked="0"/>
    </xf>
    <xf numFmtId="4" fontId="0" fillId="4" borderId="25" xfId="13" applyFont="1" applyBorder="1" applyAlignment="1">
      <protection locked="0"/>
    </xf>
    <xf numFmtId="4" fontId="0" fillId="4" borderId="29" xfId="13" applyFont="1" applyBorder="1" applyAlignment="1">
      <protection locked="0"/>
    </xf>
    <xf numFmtId="0" fontId="0" fillId="10" borderId="24" xfId="0" applyFill="1" applyBorder="1"/>
    <xf numFmtId="4" fontId="0" fillId="0" borderId="28" xfId="13" applyFont="1" applyFill="1" applyBorder="1" applyAlignment="1">
      <protection locked="0"/>
    </xf>
    <xf numFmtId="4" fontId="0" fillId="4" borderId="20" xfId="13" applyFont="1" applyBorder="1" applyAlignment="1">
      <alignment horizontal="right"/>
      <protection locked="0"/>
    </xf>
    <xf numFmtId="4" fontId="0" fillId="4" borderId="19" xfId="13" applyFont="1" applyBorder="1" applyAlignment="1">
      <alignment horizontal="right"/>
      <protection locked="0"/>
    </xf>
    <xf numFmtId="0" fontId="24" fillId="8" borderId="61" xfId="0" applyFont="1" applyFill="1" applyBorder="1" applyAlignment="1">
      <alignment wrapText="1"/>
    </xf>
    <xf numFmtId="0" fontId="24" fillId="8" borderId="65" xfId="0" applyFont="1" applyFill="1" applyBorder="1" applyAlignment="1">
      <alignment horizontal="center" wrapText="1"/>
    </xf>
    <xf numFmtId="2" fontId="24" fillId="10" borderId="90" xfId="1" applyNumberFormat="1" applyFont="1" applyFill="1" applyBorder="1" applyAlignment="1" applyProtection="1">
      <alignment horizontal="center"/>
    </xf>
    <xf numFmtId="4" fontId="0" fillId="4" borderId="91" xfId="13" applyFont="1" applyBorder="1" applyAlignment="1">
      <alignment horizontal="left"/>
      <protection locked="0"/>
    </xf>
    <xf numFmtId="10" fontId="0" fillId="10" borderId="57" xfId="14" applyNumberFormat="1" applyFont="1" applyFill="1" applyBorder="1" applyAlignment="1" applyProtection="1">
      <alignment horizontal="right"/>
    </xf>
    <xf numFmtId="10" fontId="0" fillId="10" borderId="61" xfId="14" applyNumberFormat="1" applyFont="1" applyFill="1" applyBorder="1" applyAlignment="1" applyProtection="1">
      <alignment horizontal="right"/>
    </xf>
    <xf numFmtId="10" fontId="24" fillId="10" borderId="56" xfId="14" applyNumberFormat="1" applyFont="1" applyFill="1" applyBorder="1" applyAlignment="1" applyProtection="1">
      <alignment horizontal="right"/>
    </xf>
    <xf numFmtId="10" fontId="24" fillId="10" borderId="59" xfId="14" applyNumberFormat="1" applyFont="1" applyFill="1" applyBorder="1" applyAlignment="1" applyProtection="1">
      <alignment horizontal="right"/>
    </xf>
    <xf numFmtId="10" fontId="24" fillId="10" borderId="28" xfId="14" applyNumberFormat="1" applyFont="1" applyFill="1" applyBorder="1" applyAlignment="1" applyProtection="1">
      <alignment horizontal="right"/>
    </xf>
    <xf numFmtId="10" fontId="24" fillId="10" borderId="19" xfId="14" applyNumberFormat="1" applyFont="1" applyFill="1" applyBorder="1" applyAlignment="1" applyProtection="1">
      <alignment horizontal="right"/>
    </xf>
    <xf numFmtId="10" fontId="24" fillId="10" borderId="29" xfId="14" applyNumberFormat="1" applyFont="1" applyFill="1" applyBorder="1" applyAlignment="1" applyProtection="1">
      <alignment horizontal="right"/>
    </xf>
    <xf numFmtId="2" fontId="0" fillId="10" borderId="26" xfId="14" applyNumberFormat="1" applyFont="1" applyFill="1" applyBorder="1" applyAlignment="1" applyProtection="1">
      <alignment horizontal="right"/>
    </xf>
    <xf numFmtId="2" fontId="0" fillId="10" borderId="0" xfId="14" applyNumberFormat="1" applyFont="1" applyFill="1" applyBorder="1" applyAlignment="1" applyProtection="1">
      <alignment horizontal="right"/>
    </xf>
    <xf numFmtId="2" fontId="0" fillId="10" borderId="27" xfId="14" applyNumberFormat="1" applyFont="1" applyFill="1" applyBorder="1" applyAlignment="1" applyProtection="1">
      <alignment horizontal="right"/>
    </xf>
    <xf numFmtId="2" fontId="24" fillId="10" borderId="28" xfId="14" applyNumberFormat="1" applyFont="1" applyFill="1" applyBorder="1" applyAlignment="1" applyProtection="1">
      <alignment horizontal="right"/>
    </xf>
    <xf numFmtId="2" fontId="24" fillId="10" borderId="19" xfId="14" applyNumberFormat="1" applyFont="1" applyFill="1" applyBorder="1" applyAlignment="1" applyProtection="1">
      <alignment horizontal="right"/>
    </xf>
    <xf numFmtId="2" fontId="24" fillId="10" borderId="29" xfId="14" applyNumberFormat="1" applyFont="1" applyFill="1" applyBorder="1" applyAlignment="1" applyProtection="1">
      <alignment horizontal="right"/>
    </xf>
    <xf numFmtId="10" fontId="0" fillId="10" borderId="26" xfId="0" applyNumberFormat="1" applyFill="1" applyBorder="1" applyAlignment="1">
      <alignment horizontal="right"/>
    </xf>
    <xf numFmtId="10" fontId="0" fillId="10" borderId="0" xfId="0" applyNumberFormat="1" applyFill="1" applyAlignment="1">
      <alignment horizontal="right"/>
    </xf>
    <xf numFmtId="10" fontId="0" fillId="10" borderId="27" xfId="0" applyNumberFormat="1" applyFill="1" applyBorder="1" applyAlignment="1">
      <alignment horizontal="right"/>
    </xf>
    <xf numFmtId="10" fontId="24" fillId="10" borderId="28" xfId="0" applyNumberFormat="1" applyFont="1" applyFill="1" applyBorder="1" applyAlignment="1">
      <alignment horizontal="right"/>
    </xf>
    <xf numFmtId="10" fontId="24" fillId="10" borderId="19" xfId="0" applyNumberFormat="1" applyFont="1" applyFill="1" applyBorder="1" applyAlignment="1">
      <alignment horizontal="right"/>
    </xf>
    <xf numFmtId="10" fontId="24" fillId="10" borderId="29" xfId="0" applyNumberFormat="1" applyFont="1" applyFill="1" applyBorder="1" applyAlignment="1">
      <alignment horizontal="right"/>
    </xf>
    <xf numFmtId="10" fontId="0" fillId="10" borderId="28" xfId="0" applyNumberFormat="1" applyFill="1" applyBorder="1" applyAlignment="1">
      <alignment horizontal="right"/>
    </xf>
    <xf numFmtId="10" fontId="0" fillId="10" borderId="19" xfId="0" applyNumberFormat="1" applyFill="1" applyBorder="1" applyAlignment="1">
      <alignment horizontal="right"/>
    </xf>
    <xf numFmtId="10" fontId="0" fillId="10" borderId="29" xfId="0" applyNumberFormat="1" applyFill="1" applyBorder="1" applyAlignment="1">
      <alignment horizontal="right"/>
    </xf>
    <xf numFmtId="0" fontId="0" fillId="8" borderId="24" xfId="0" applyFill="1" applyBorder="1" applyAlignment="1">
      <alignment horizontal="left" vertical="center"/>
    </xf>
    <xf numFmtId="0" fontId="14" fillId="8" borderId="20" xfId="0" applyFont="1" applyFill="1" applyBorder="1"/>
    <xf numFmtId="0" fontId="0" fillId="8" borderId="20" xfId="0" applyFill="1" applyBorder="1" applyAlignment="1">
      <alignment horizontal="center" vertical="center"/>
    </xf>
    <xf numFmtId="0" fontId="0" fillId="8" borderId="25" xfId="0" applyFill="1" applyBorder="1" applyAlignment="1">
      <alignment horizontal="center" vertical="center"/>
    </xf>
    <xf numFmtId="0" fontId="24" fillId="10" borderId="26" xfId="0" applyFont="1" applyFill="1" applyBorder="1" applyAlignment="1">
      <alignment horizontal="left" vertical="center"/>
    </xf>
    <xf numFmtId="0" fontId="0" fillId="10" borderId="26" xfId="0" applyFill="1" applyBorder="1" applyAlignment="1">
      <alignment horizontal="left" vertical="center"/>
    </xf>
    <xf numFmtId="0" fontId="0" fillId="8" borderId="19" xfId="0" applyFill="1" applyBorder="1" applyAlignment="1">
      <alignment horizontal="center" vertical="center"/>
    </xf>
    <xf numFmtId="0" fontId="0" fillId="8" borderId="29" xfId="0" applyFill="1" applyBorder="1" applyAlignment="1">
      <alignment horizontal="center" vertical="center"/>
    </xf>
    <xf numFmtId="0" fontId="0" fillId="7" borderId="61" xfId="0" applyFill="1" applyBorder="1"/>
    <xf numFmtId="3" fontId="1" fillId="10" borderId="16" xfId="18" applyNumberFormat="1" applyFont="1" applyFill="1" applyAlignment="1">
      <alignment horizontal="right"/>
    </xf>
    <xf numFmtId="0" fontId="0" fillId="8" borderId="28" xfId="0" applyFill="1" applyBorder="1" applyAlignment="1">
      <alignment wrapText="1"/>
    </xf>
    <xf numFmtId="0" fontId="61" fillId="7" borderId="0" xfId="0" applyFont="1" applyFill="1" applyAlignment="1">
      <alignment horizontal="left"/>
    </xf>
    <xf numFmtId="0" fontId="0" fillId="7" borderId="27" xfId="0" applyFill="1" applyBorder="1"/>
    <xf numFmtId="0" fontId="24" fillId="10" borderId="36" xfId="0" applyFont="1" applyFill="1" applyBorder="1" applyAlignment="1">
      <alignment horizontal="center"/>
    </xf>
    <xf numFmtId="0" fontId="24" fillId="10" borderId="36" xfId="0" applyFont="1" applyFill="1" applyBorder="1" applyAlignment="1">
      <alignment horizontal="center" vertical="center"/>
    </xf>
    <xf numFmtId="0" fontId="24" fillId="10" borderId="38" xfId="0" applyFont="1" applyFill="1" applyBorder="1" applyAlignment="1">
      <alignment horizontal="center"/>
    </xf>
    <xf numFmtId="0" fontId="18" fillId="7" borderId="26" xfId="0" applyFont="1" applyFill="1" applyBorder="1"/>
    <xf numFmtId="0" fontId="61" fillId="12" borderId="0" xfId="0" applyFont="1" applyFill="1" applyAlignment="1">
      <alignment horizontal="left"/>
    </xf>
    <xf numFmtId="3" fontId="1" fillId="10" borderId="92" xfId="18" applyNumberFormat="1" applyFont="1" applyFill="1" applyBorder="1" applyAlignment="1">
      <alignment horizontal="right"/>
    </xf>
    <xf numFmtId="3" fontId="0" fillId="8" borderId="38" xfId="0" applyNumberFormat="1" applyFill="1" applyBorder="1"/>
    <xf numFmtId="3" fontId="1" fillId="10" borderId="2" xfId="18" applyNumberFormat="1" applyFont="1" applyFill="1" applyBorder="1" applyAlignment="1">
      <alignment horizontal="right"/>
    </xf>
    <xf numFmtId="3" fontId="0" fillId="8" borderId="19" xfId="0" applyNumberFormat="1" applyFill="1" applyBorder="1" applyAlignment="1">
      <alignment horizontal="right"/>
    </xf>
    <xf numFmtId="3" fontId="1" fillId="10" borderId="37" xfId="18" applyNumberFormat="1" applyFont="1" applyFill="1" applyBorder="1" applyAlignment="1">
      <alignment horizontal="right"/>
    </xf>
    <xf numFmtId="3" fontId="0" fillId="8" borderId="38" xfId="0" applyNumberFormat="1" applyFill="1" applyBorder="1" applyAlignment="1">
      <alignment horizontal="right"/>
    </xf>
    <xf numFmtId="170" fontId="0" fillId="10" borderId="27" xfId="0" applyNumberFormat="1" applyFill="1" applyBorder="1"/>
    <xf numFmtId="4" fontId="0" fillId="8" borderId="29" xfId="0" applyNumberFormat="1" applyFill="1" applyBorder="1"/>
    <xf numFmtId="3" fontId="0" fillId="10" borderId="29" xfId="0" applyNumberFormat="1" applyFill="1" applyBorder="1"/>
    <xf numFmtId="3" fontId="0" fillId="10" borderId="38" xfId="0" applyNumberFormat="1" applyFill="1" applyBorder="1" applyAlignment="1">
      <alignment horizontal="right"/>
    </xf>
    <xf numFmtId="0" fontId="18" fillId="8" borderId="24" xfId="0" applyFont="1" applyFill="1" applyBorder="1"/>
    <xf numFmtId="0" fontId="24" fillId="10" borderId="25" xfId="0" applyFont="1" applyFill="1" applyBorder="1" applyAlignment="1">
      <alignment horizontal="left"/>
    </xf>
    <xf numFmtId="0" fontId="0" fillId="0" borderId="26" xfId="0" applyBorder="1" applyAlignment="1">
      <alignment vertical="top"/>
    </xf>
    <xf numFmtId="3" fontId="0" fillId="0" borderId="27" xfId="0" applyNumberFormat="1" applyBorder="1"/>
    <xf numFmtId="4" fontId="0" fillId="4" borderId="26" xfId="13" applyFont="1" applyBorder="1" applyAlignment="1">
      <protection locked="0"/>
    </xf>
    <xf numFmtId="0" fontId="0" fillId="8" borderId="26" xfId="0" applyFill="1" applyBorder="1" applyAlignment="1">
      <alignment vertical="top"/>
    </xf>
    <xf numFmtId="3" fontId="0" fillId="8" borderId="27" xfId="0" applyNumberFormat="1" applyFill="1" applyBorder="1"/>
    <xf numFmtId="0" fontId="18" fillId="8" borderId="28" xfId="0" applyFont="1" applyFill="1" applyBorder="1"/>
    <xf numFmtId="0" fontId="24" fillId="10" borderId="29" xfId="0" applyFont="1" applyFill="1" applyBorder="1" applyAlignment="1">
      <alignment horizontal="left"/>
    </xf>
    <xf numFmtId="0" fontId="24" fillId="10" borderId="36" xfId="0" applyFont="1" applyFill="1" applyBorder="1" applyAlignment="1">
      <alignment horizontal="left"/>
    </xf>
    <xf numFmtId="0" fontId="24" fillId="10" borderId="38" xfId="0" applyFont="1" applyFill="1" applyBorder="1" applyAlignment="1">
      <alignment horizontal="left"/>
    </xf>
    <xf numFmtId="3" fontId="0" fillId="8" borderId="29" xfId="0" applyNumberFormat="1" applyFill="1" applyBorder="1"/>
    <xf numFmtId="3" fontId="47" fillId="0" borderId="36" xfId="0" applyNumberFormat="1" applyFont="1" applyBorder="1" applyAlignment="1">
      <alignment horizontal="center" wrapText="1"/>
    </xf>
    <xf numFmtId="3" fontId="0" fillId="4" borderId="37" xfId="13" applyNumberFormat="1" applyFont="1" applyBorder="1" applyAlignment="1">
      <protection locked="0"/>
    </xf>
    <xf numFmtId="3" fontId="0" fillId="11" borderId="37" xfId="13" applyNumberFormat="1" applyFont="1" applyFill="1" applyBorder="1" applyAlignment="1">
      <protection locked="0"/>
    </xf>
    <xf numFmtId="3" fontId="0" fillId="8" borderId="37" xfId="0" applyNumberFormat="1" applyFill="1" applyBorder="1"/>
    <xf numFmtId="3" fontId="0" fillId="8" borderId="37" xfId="0" applyNumberFormat="1" applyFill="1" applyBorder="1" applyAlignment="1">
      <alignment horizontal="center" wrapText="1"/>
    </xf>
    <xf numFmtId="3" fontId="0" fillId="10" borderId="37" xfId="0" applyNumberFormat="1" applyFill="1" applyBorder="1" applyAlignment="1">
      <alignment horizontal="right"/>
    </xf>
    <xf numFmtId="3" fontId="0" fillId="4" borderId="26" xfId="13" applyNumberFormat="1" applyFont="1" applyBorder="1" applyAlignment="1">
      <protection locked="0"/>
    </xf>
    <xf numFmtId="3" fontId="1" fillId="4" borderId="26" xfId="13" applyNumberFormat="1" applyBorder="1" applyAlignment="1">
      <protection locked="0"/>
    </xf>
    <xf numFmtId="0" fontId="0" fillId="8" borderId="26" xfId="0" applyFill="1" applyBorder="1" applyProtection="1">
      <protection locked="0"/>
    </xf>
    <xf numFmtId="0" fontId="0" fillId="8" borderId="28" xfId="0" applyFill="1" applyBorder="1" applyProtection="1">
      <protection locked="0"/>
    </xf>
    <xf numFmtId="0" fontId="0" fillId="8" borderId="19" xfId="0" applyFill="1" applyBorder="1" applyProtection="1">
      <protection locked="0"/>
    </xf>
    <xf numFmtId="3" fontId="0" fillId="10" borderId="37" xfId="0" applyNumberFormat="1" applyFill="1" applyBorder="1" applyAlignment="1" applyProtection="1">
      <alignment horizontal="right"/>
      <protection locked="0"/>
    </xf>
    <xf numFmtId="3" fontId="0" fillId="10" borderId="38" xfId="0" applyNumberFormat="1" applyFill="1" applyBorder="1" applyAlignment="1" applyProtection="1">
      <alignment horizontal="right"/>
      <protection locked="0"/>
    </xf>
    <xf numFmtId="3" fontId="24" fillId="8" borderId="25" xfId="0" applyNumberFormat="1" applyFont="1" applyFill="1" applyBorder="1"/>
    <xf numFmtId="3" fontId="0" fillId="0" borderId="59" xfId="0" applyNumberFormat="1" applyBorder="1"/>
    <xf numFmtId="3" fontId="24" fillId="8" borderId="36" xfId="0" applyNumberFormat="1" applyFont="1" applyFill="1" applyBorder="1"/>
    <xf numFmtId="3" fontId="24" fillId="8" borderId="60" xfId="0" applyNumberFormat="1" applyFont="1" applyFill="1" applyBorder="1"/>
    <xf numFmtId="0" fontId="0" fillId="0" borderId="28" xfId="0" applyBorder="1" applyAlignment="1">
      <alignment vertical="top"/>
    </xf>
    <xf numFmtId="0" fontId="24" fillId="8" borderId="19" xfId="0" applyFont="1" applyFill="1" applyBorder="1" applyAlignment="1">
      <alignment vertical="top"/>
    </xf>
    <xf numFmtId="3" fontId="0" fillId="0" borderId="19" xfId="0" applyNumberFormat="1" applyBorder="1" applyAlignment="1">
      <alignment horizontal="center" wrapText="1"/>
    </xf>
    <xf numFmtId="3" fontId="0" fillId="0" borderId="29" xfId="0" applyNumberFormat="1" applyBorder="1" applyAlignment="1">
      <alignment horizontal="center" wrapText="1"/>
    </xf>
    <xf numFmtId="4" fontId="0" fillId="8" borderId="26" xfId="0" applyNumberFormat="1" applyFill="1" applyBorder="1"/>
    <xf numFmtId="4" fontId="0" fillId="8" borderId="28" xfId="0" applyNumberFormat="1" applyFill="1" applyBorder="1" applyAlignment="1">
      <alignment wrapText="1"/>
    </xf>
    <xf numFmtId="4" fontId="0" fillId="8" borderId="19" xfId="0" applyNumberFormat="1" applyFill="1" applyBorder="1"/>
    <xf numFmtId="3" fontId="0" fillId="0" borderId="29" xfId="0" applyNumberFormat="1" applyBorder="1"/>
    <xf numFmtId="3" fontId="24" fillId="8" borderId="38" xfId="0" applyNumberFormat="1" applyFont="1" applyFill="1" applyBorder="1"/>
    <xf numFmtId="3" fontId="0" fillId="10" borderId="36" xfId="0" applyNumberFormat="1" applyFill="1" applyBorder="1" applyAlignment="1">
      <alignment horizontal="right"/>
    </xf>
    <xf numFmtId="0" fontId="37" fillId="8" borderId="26" xfId="17" applyNumberFormat="1" applyFill="1" applyBorder="1" applyProtection="1"/>
    <xf numFmtId="3" fontId="1" fillId="4" borderId="27" xfId="13" applyNumberFormat="1" applyBorder="1" applyAlignment="1">
      <protection locked="0"/>
    </xf>
    <xf numFmtId="0" fontId="24" fillId="10" borderId="26" xfId="0" applyFont="1" applyFill="1" applyBorder="1" applyAlignment="1">
      <alignment horizontal="left"/>
    </xf>
    <xf numFmtId="3" fontId="24" fillId="8" borderId="27" xfId="0" applyNumberFormat="1" applyFont="1" applyFill="1" applyBorder="1"/>
    <xf numFmtId="3" fontId="36" fillId="8" borderId="27" xfId="0" applyNumberFormat="1" applyFont="1" applyFill="1" applyBorder="1"/>
    <xf numFmtId="0" fontId="36" fillId="8" borderId="26" xfId="0" applyFont="1" applyFill="1" applyBorder="1" applyAlignment="1">
      <alignment wrapText="1"/>
    </xf>
    <xf numFmtId="0" fontId="0" fillId="8" borderId="0" xfId="0" applyFill="1" applyAlignment="1">
      <alignment horizontal="right" wrapText="1"/>
    </xf>
    <xf numFmtId="165" fontId="0" fillId="8" borderId="27" xfId="21" applyNumberFormat="1" applyFont="1" applyFill="1" applyBorder="1"/>
    <xf numFmtId="0" fontId="0" fillId="8" borderId="63" xfId="0" applyFill="1" applyBorder="1" applyAlignment="1">
      <alignment horizontal="center"/>
    </xf>
    <xf numFmtId="0" fontId="24" fillId="8" borderId="64" xfId="0" applyFont="1" applyFill="1" applyBorder="1" applyAlignment="1">
      <alignment horizontal="center"/>
    </xf>
    <xf numFmtId="0" fontId="24" fillId="8" borderId="53" xfId="0" applyFont="1" applyFill="1" applyBorder="1" applyAlignment="1">
      <alignment horizontal="center"/>
    </xf>
    <xf numFmtId="3" fontId="1" fillId="4" borderId="37" xfId="13" applyNumberFormat="1" applyBorder="1" applyAlignment="1">
      <protection locked="0"/>
    </xf>
    <xf numFmtId="3" fontId="24" fillId="8" borderId="37" xfId="0" applyNumberFormat="1" applyFont="1" applyFill="1" applyBorder="1"/>
    <xf numFmtId="3" fontId="36" fillId="8" borderId="37" xfId="0" applyNumberFormat="1" applyFont="1" applyFill="1" applyBorder="1"/>
    <xf numFmtId="165" fontId="0" fillId="8" borderId="37" xfId="21" applyNumberFormat="1" applyFont="1" applyFill="1" applyBorder="1"/>
    <xf numFmtId="0" fontId="24" fillId="8" borderId="64" xfId="0" applyFont="1" applyFill="1" applyBorder="1" applyAlignment="1">
      <alignment horizontal="right"/>
    </xf>
    <xf numFmtId="0" fontId="24" fillId="8" borderId="53" xfId="0" applyFont="1" applyFill="1" applyBorder="1" applyAlignment="1">
      <alignment horizontal="right"/>
    </xf>
    <xf numFmtId="0" fontId="34" fillId="8" borderId="26" xfId="7" applyNumberFormat="1" applyFill="1" applyBorder="1" applyAlignment="1"/>
    <xf numFmtId="0" fontId="0" fillId="0" borderId="63" xfId="0" applyBorder="1"/>
    <xf numFmtId="0" fontId="0" fillId="0" borderId="37" xfId="0" applyBorder="1"/>
    <xf numFmtId="3" fontId="34" fillId="8" borderId="37" xfId="7" applyNumberFormat="1" applyFill="1" applyBorder="1" applyAlignment="1"/>
    <xf numFmtId="0" fontId="18" fillId="8" borderId="20" xfId="0" applyFont="1" applyFill="1" applyBorder="1" applyAlignment="1">
      <alignment horizontal="left"/>
    </xf>
    <xf numFmtId="0" fontId="24" fillId="8" borderId="29" xfId="0" applyFont="1" applyFill="1" applyBorder="1" applyAlignment="1">
      <alignment horizontal="right"/>
    </xf>
    <xf numFmtId="0" fontId="0" fillId="8" borderId="36" xfId="0" applyFill="1" applyBorder="1" applyAlignment="1">
      <alignment horizontal="right"/>
    </xf>
    <xf numFmtId="0" fontId="0" fillId="8" borderId="25" xfId="0" applyFill="1" applyBorder="1" applyAlignment="1">
      <alignment horizontal="center"/>
    </xf>
    <xf numFmtId="0" fontId="0" fillId="8" borderId="24" xfId="0" applyFill="1" applyBorder="1" applyAlignment="1">
      <alignment vertical="center"/>
    </xf>
    <xf numFmtId="0" fontId="0" fillId="8" borderId="20" xfId="0" applyFill="1" applyBorder="1" applyAlignment="1">
      <alignment vertical="center"/>
    </xf>
    <xf numFmtId="0" fontId="0" fillId="0" borderId="20" xfId="0" applyBorder="1" applyAlignment="1">
      <alignment horizontal="left"/>
    </xf>
    <xf numFmtId="0" fontId="0" fillId="8" borderId="25" xfId="0" applyFill="1" applyBorder="1" applyAlignment="1">
      <alignment vertical="center"/>
    </xf>
    <xf numFmtId="0" fontId="0" fillId="8" borderId="26" xfId="0" applyFill="1" applyBorder="1" applyAlignment="1">
      <alignment vertical="center"/>
    </xf>
    <xf numFmtId="0" fontId="0" fillId="8" borderId="28" xfId="0" applyFill="1" applyBorder="1" applyAlignment="1">
      <alignment vertical="center"/>
    </xf>
    <xf numFmtId="0" fontId="0" fillId="8" borderId="19" xfId="0" applyFill="1" applyBorder="1" applyAlignment="1">
      <alignment vertical="center"/>
    </xf>
    <xf numFmtId="0" fontId="0" fillId="8" borderId="29" xfId="0" applyFill="1" applyBorder="1" applyAlignment="1">
      <alignment vertical="center"/>
    </xf>
    <xf numFmtId="0" fontId="24" fillId="8" borderId="20" xfId="0" applyFont="1" applyFill="1" applyBorder="1" applyAlignment="1">
      <alignment horizontal="left" vertical="center"/>
    </xf>
    <xf numFmtId="0" fontId="24" fillId="8" borderId="25" xfId="0" applyFont="1" applyFill="1" applyBorder="1" applyAlignment="1">
      <alignment horizontal="right" vertical="center"/>
    </xf>
    <xf numFmtId="0" fontId="24" fillId="12" borderId="0" xfId="0" applyFont="1" applyFill="1" applyProtection="1">
      <protection locked="0"/>
    </xf>
    <xf numFmtId="0" fontId="24" fillId="7" borderId="0" xfId="0" applyFont="1" applyFill="1" applyAlignment="1">
      <alignment horizontal="left"/>
    </xf>
    <xf numFmtId="0" fontId="0" fillId="7" borderId="0" xfId="0" applyFill="1" applyProtection="1">
      <protection locked="0"/>
    </xf>
    <xf numFmtId="0" fontId="0" fillId="7" borderId="0" xfId="0" applyFill="1" applyAlignment="1" applyProtection="1">
      <alignment horizontal="right"/>
      <protection locked="0"/>
    </xf>
    <xf numFmtId="0" fontId="0" fillId="7" borderId="27" xfId="0" applyFill="1" applyBorder="1" applyProtection="1">
      <protection locked="0"/>
    </xf>
    <xf numFmtId="3" fontId="0" fillId="8" borderId="27" xfId="0" applyNumberFormat="1" applyFill="1" applyBorder="1" applyAlignment="1">
      <alignment horizontal="right"/>
    </xf>
    <xf numFmtId="4" fontId="37" fillId="10" borderId="26" xfId="17" applyNumberFormat="1" applyFill="1" applyBorder="1" applyAlignment="1" applyProtection="1">
      <alignment horizontal="left"/>
    </xf>
    <xf numFmtId="4" fontId="0" fillId="10" borderId="26" xfId="0" applyNumberFormat="1" applyFill="1" applyBorder="1" applyAlignment="1">
      <alignment horizontal="left"/>
    </xf>
    <xf numFmtId="10" fontId="24" fillId="10" borderId="27" xfId="0" applyNumberFormat="1" applyFont="1" applyFill="1" applyBorder="1" applyAlignment="1">
      <alignment horizontal="right"/>
    </xf>
    <xf numFmtId="0" fontId="0" fillId="8" borderId="26" xfId="0" applyFill="1" applyBorder="1" applyAlignment="1">
      <alignment horizontal="left" wrapText="1"/>
    </xf>
    <xf numFmtId="0" fontId="24" fillId="7" borderId="26" xfId="0" applyFont="1" applyFill="1" applyBorder="1"/>
    <xf numFmtId="4" fontId="24" fillId="10" borderId="26" xfId="0" applyNumberFormat="1" applyFont="1" applyFill="1" applyBorder="1" applyAlignment="1">
      <alignment horizontal="left" wrapText="1"/>
    </xf>
    <xf numFmtId="4" fontId="0" fillId="10" borderId="26" xfId="0" applyNumberFormat="1" applyFill="1" applyBorder="1" applyAlignment="1">
      <alignment horizontal="left" wrapText="1"/>
    </xf>
    <xf numFmtId="10" fontId="0" fillId="8" borderId="27" xfId="0" applyNumberFormat="1" applyFill="1" applyBorder="1" applyAlignment="1">
      <alignment horizontal="right"/>
    </xf>
    <xf numFmtId="4" fontId="0" fillId="10" borderId="28" xfId="0" applyNumberFormat="1" applyFill="1" applyBorder="1" applyAlignment="1">
      <alignment horizontal="left"/>
    </xf>
    <xf numFmtId="4" fontId="37" fillId="8" borderId="19" xfId="17" applyNumberFormat="1" applyFill="1" applyBorder="1" applyAlignment="1" applyProtection="1">
      <alignment horizontal="left"/>
    </xf>
    <xf numFmtId="4" fontId="1" fillId="8" borderId="19" xfId="17" applyNumberFormat="1" applyFont="1" applyFill="1" applyBorder="1" applyAlignment="1" applyProtection="1">
      <alignment horizontal="left"/>
    </xf>
    <xf numFmtId="10" fontId="0" fillId="8" borderId="29" xfId="0" applyNumberFormat="1" applyFill="1" applyBorder="1" applyAlignment="1">
      <alignment horizontal="right"/>
    </xf>
    <xf numFmtId="0" fontId="24" fillId="8" borderId="28" xfId="0" applyFont="1" applyFill="1" applyBorder="1" applyAlignment="1">
      <alignment horizontal="left"/>
    </xf>
    <xf numFmtId="0" fontId="24" fillId="8" borderId="19" xfId="0" applyFont="1" applyFill="1" applyBorder="1" applyAlignment="1">
      <alignment horizontal="center" vertical="center"/>
    </xf>
    <xf numFmtId="0" fontId="24" fillId="8" borderId="29" xfId="0" applyFont="1" applyFill="1" applyBorder="1" applyAlignment="1">
      <alignment horizontal="center" vertical="center"/>
    </xf>
    <xf numFmtId="0" fontId="24" fillId="8" borderId="36" xfId="0" applyFont="1" applyFill="1" applyBorder="1" applyAlignment="1">
      <alignment horizontal="center" vertical="center" wrapText="1"/>
    </xf>
    <xf numFmtId="2" fontId="24" fillId="10" borderId="38" xfId="0" applyNumberFormat="1" applyFont="1" applyFill="1" applyBorder="1" applyAlignment="1">
      <alignment horizontal="center" vertical="center"/>
    </xf>
    <xf numFmtId="0" fontId="24" fillId="8" borderId="20" xfId="0" applyFont="1" applyFill="1" applyBorder="1" applyAlignment="1">
      <alignment horizontal="center" vertical="center" wrapText="1"/>
    </xf>
    <xf numFmtId="0" fontId="24" fillId="8" borderId="24" xfId="0" applyFont="1" applyFill="1" applyBorder="1" applyAlignment="1">
      <alignment horizontal="left" vertical="center"/>
    </xf>
    <xf numFmtId="0" fontId="24" fillId="8" borderId="28" xfId="0" applyFont="1" applyFill="1" applyBorder="1" applyAlignment="1">
      <alignment horizontal="center" vertical="center"/>
    </xf>
    <xf numFmtId="165" fontId="0" fillId="8" borderId="37" xfId="14" applyNumberFormat="1" applyFont="1" applyFill="1" applyBorder="1" applyProtection="1"/>
    <xf numFmtId="3" fontId="0" fillId="8" borderId="37" xfId="0" applyNumberFormat="1" applyFill="1" applyBorder="1" applyAlignment="1">
      <alignment horizontal="right"/>
    </xf>
    <xf numFmtId="3" fontId="0" fillId="4" borderId="37" xfId="13" applyNumberFormat="1" applyFont="1" applyBorder="1" applyAlignment="1">
      <alignment horizontal="right"/>
      <protection locked="0"/>
    </xf>
    <xf numFmtId="3" fontId="0" fillId="10" borderId="37" xfId="0" applyNumberFormat="1" applyFill="1" applyBorder="1"/>
    <xf numFmtId="3" fontId="24" fillId="10" borderId="37" xfId="0" applyNumberFormat="1" applyFont="1" applyFill="1" applyBorder="1"/>
    <xf numFmtId="0" fontId="24" fillId="12" borderId="37" xfId="0" applyFont="1" applyFill="1" applyBorder="1"/>
    <xf numFmtId="0" fontId="24" fillId="7" borderId="37" xfId="0" applyFont="1" applyFill="1" applyBorder="1"/>
    <xf numFmtId="0" fontId="0" fillId="7" borderId="37" xfId="0" applyFill="1" applyBorder="1"/>
    <xf numFmtId="0" fontId="0" fillId="7" borderId="37" xfId="0" applyFill="1" applyBorder="1" applyAlignment="1">
      <alignment horizontal="right"/>
    </xf>
    <xf numFmtId="165" fontId="0" fillId="8" borderId="37" xfId="21" applyNumberFormat="1" applyFont="1" applyFill="1" applyBorder="1" applyProtection="1"/>
    <xf numFmtId="3" fontId="24" fillId="10" borderId="37" xfId="0" applyNumberFormat="1" applyFont="1" applyFill="1" applyBorder="1" applyAlignment="1">
      <alignment horizontal="right"/>
    </xf>
    <xf numFmtId="0" fontId="24" fillId="7" borderId="37" xfId="0" applyFont="1" applyFill="1" applyBorder="1" applyAlignment="1">
      <alignment horizontal="left"/>
    </xf>
    <xf numFmtId="0" fontId="24" fillId="7" borderId="37" xfId="0" applyFont="1" applyFill="1" applyBorder="1" applyAlignment="1">
      <alignment horizontal="right"/>
    </xf>
    <xf numFmtId="0" fontId="0" fillId="8" borderId="37" xfId="0" applyFill="1" applyBorder="1" applyAlignment="1">
      <alignment horizontal="right"/>
    </xf>
    <xf numFmtId="10" fontId="0" fillId="8" borderId="38" xfId="0" applyNumberFormat="1" applyFill="1" applyBorder="1" applyAlignment="1">
      <alignment horizontal="right"/>
    </xf>
    <xf numFmtId="10" fontId="0" fillId="10" borderId="38" xfId="0" applyNumberFormat="1" applyFill="1" applyBorder="1" applyAlignment="1">
      <alignment horizontal="right"/>
    </xf>
    <xf numFmtId="3" fontId="0" fillId="8" borderId="26" xfId="0" applyNumberFormat="1" applyFill="1" applyBorder="1" applyAlignment="1">
      <alignment horizontal="right"/>
    </xf>
    <xf numFmtId="3" fontId="0" fillId="10" borderId="26" xfId="0" applyNumberFormat="1" applyFill="1" applyBorder="1" applyAlignment="1">
      <alignment horizontal="right"/>
    </xf>
    <xf numFmtId="3" fontId="24" fillId="10" borderId="26" xfId="0" applyNumberFormat="1" applyFont="1" applyFill="1" applyBorder="1" applyAlignment="1">
      <alignment horizontal="right"/>
    </xf>
    <xf numFmtId="0" fontId="0" fillId="7" borderId="26" xfId="0" applyFill="1" applyBorder="1"/>
    <xf numFmtId="10" fontId="0" fillId="8" borderId="26" xfId="0" applyNumberFormat="1" applyFill="1" applyBorder="1" applyAlignment="1">
      <alignment horizontal="right"/>
    </xf>
    <xf numFmtId="10" fontId="0" fillId="8" borderId="28" xfId="0" applyNumberFormat="1" applyFill="1" applyBorder="1" applyAlignment="1">
      <alignment horizontal="right"/>
    </xf>
    <xf numFmtId="3" fontId="34" fillId="8" borderId="26" xfId="7" applyNumberFormat="1" applyFill="1" applyBorder="1" applyAlignment="1">
      <alignment horizontal="left"/>
    </xf>
    <xf numFmtId="3" fontId="24" fillId="8" borderId="26" xfId="7" applyNumberFormat="1" applyFont="1" applyFill="1" applyBorder="1" applyAlignment="1">
      <alignment horizontal="left"/>
    </xf>
    <xf numFmtId="3" fontId="34" fillId="8" borderId="93" xfId="7" applyNumberFormat="1" applyFill="1" applyBorder="1" applyAlignment="1">
      <alignment horizontal="left"/>
    </xf>
    <xf numFmtId="3" fontId="24" fillId="7" borderId="26" xfId="7" applyNumberFormat="1" applyFont="1" applyFill="1" applyBorder="1" applyAlignment="1">
      <alignment horizontal="left"/>
    </xf>
    <xf numFmtId="0" fontId="0" fillId="7" borderId="0" xfId="0" applyFill="1" applyAlignment="1">
      <alignment horizontal="left"/>
    </xf>
    <xf numFmtId="3" fontId="0" fillId="12" borderId="0" xfId="0" applyNumberFormat="1" applyFill="1" applyAlignment="1">
      <alignment horizontal="right"/>
    </xf>
    <xf numFmtId="0" fontId="0" fillId="7" borderId="27" xfId="0" applyFill="1" applyBorder="1" applyAlignment="1">
      <alignment horizontal="right"/>
    </xf>
    <xf numFmtId="3" fontId="36" fillId="8" borderId="26" xfId="7" applyNumberFormat="1" applyFont="1" applyFill="1" applyBorder="1" applyAlignment="1">
      <alignment horizontal="left"/>
    </xf>
    <xf numFmtId="3" fontId="34" fillId="8" borderId="28" xfId="7" applyNumberFormat="1" applyFill="1" applyBorder="1" applyAlignment="1">
      <alignment horizontal="left"/>
    </xf>
    <xf numFmtId="3" fontId="34" fillId="10" borderId="19" xfId="7" applyNumberFormat="1" applyFill="1" applyBorder="1" applyAlignment="1">
      <alignment horizontal="right"/>
    </xf>
    <xf numFmtId="0" fontId="0" fillId="8" borderId="29" xfId="0" applyFill="1" applyBorder="1" applyAlignment="1">
      <alignment horizontal="right"/>
    </xf>
    <xf numFmtId="0" fontId="24" fillId="12" borderId="37" xfId="0" applyFont="1" applyFill="1" applyBorder="1" applyProtection="1">
      <protection locked="0"/>
    </xf>
    <xf numFmtId="0" fontId="0" fillId="7" borderId="37" xfId="0" applyFill="1" applyBorder="1" applyProtection="1">
      <protection locked="0"/>
    </xf>
    <xf numFmtId="0" fontId="0" fillId="7" borderId="37" xfId="0" applyFill="1" applyBorder="1" applyAlignment="1" applyProtection="1">
      <alignment horizontal="right"/>
      <protection locked="0"/>
    </xf>
    <xf numFmtId="3" fontId="34" fillId="10" borderId="37" xfId="7" applyNumberFormat="1" applyFill="1" applyBorder="1" applyAlignment="1">
      <alignment horizontal="right"/>
    </xf>
    <xf numFmtId="0" fontId="0" fillId="0" borderId="37" xfId="0" applyBorder="1" applyAlignment="1">
      <alignment horizontal="left"/>
    </xf>
    <xf numFmtId="3" fontId="24" fillId="10" borderId="37" xfId="7" applyNumberFormat="1" applyFont="1" applyFill="1" applyBorder="1" applyAlignment="1">
      <alignment horizontal="right"/>
    </xf>
    <xf numFmtId="0" fontId="0" fillId="8" borderId="94" xfId="0" applyFill="1" applyBorder="1" applyAlignment="1">
      <alignment horizontal="right"/>
    </xf>
    <xf numFmtId="3" fontId="34" fillId="10" borderId="94" xfId="7" applyNumberFormat="1" applyFill="1" applyBorder="1" applyAlignment="1">
      <alignment horizontal="right"/>
    </xf>
    <xf numFmtId="3" fontId="0" fillId="12" borderId="37" xfId="0" applyNumberFormat="1" applyFill="1" applyBorder="1" applyAlignment="1">
      <alignment horizontal="right"/>
    </xf>
    <xf numFmtId="0" fontId="24" fillId="12" borderId="26" xfId="0" applyFont="1" applyFill="1" applyBorder="1"/>
    <xf numFmtId="0" fontId="0" fillId="10" borderId="26" xfId="0" applyFill="1" applyBorder="1" applyAlignment="1">
      <alignment horizontal="left" wrapText="1"/>
    </xf>
    <xf numFmtId="4" fontId="24" fillId="10" borderId="26" xfId="0" applyNumberFormat="1" applyFont="1" applyFill="1" applyBorder="1" applyAlignment="1">
      <alignment horizontal="left"/>
    </xf>
    <xf numFmtId="3" fontId="0" fillId="8" borderId="0" xfId="0" applyNumberFormat="1" applyFill="1" applyAlignment="1">
      <alignment horizontal="left"/>
    </xf>
    <xf numFmtId="0" fontId="24" fillId="10" borderId="29" xfId="0" applyFont="1" applyFill="1" applyBorder="1" applyAlignment="1">
      <alignment horizontal="center" vertical="center"/>
    </xf>
    <xf numFmtId="0" fontId="24" fillId="10" borderId="36" xfId="0" applyFont="1" applyFill="1" applyBorder="1" applyAlignment="1">
      <alignment horizontal="center" vertical="center" wrapText="1"/>
    </xf>
    <xf numFmtId="0" fontId="24" fillId="10" borderId="20" xfId="0" applyFont="1" applyFill="1" applyBorder="1" applyAlignment="1">
      <alignment horizontal="center" vertical="center" wrapText="1"/>
    </xf>
    <xf numFmtId="0" fontId="24" fillId="10" borderId="19" xfId="0" applyFont="1" applyFill="1" applyBorder="1" applyAlignment="1">
      <alignment horizontal="right"/>
    </xf>
    <xf numFmtId="0" fontId="24" fillId="10" borderId="24" xfId="0" applyFont="1" applyFill="1" applyBorder="1" applyAlignment="1">
      <alignment horizontal="left" vertical="center"/>
    </xf>
    <xf numFmtId="0" fontId="24" fillId="10" borderId="28" xfId="0" applyFont="1" applyFill="1" applyBorder="1" applyAlignment="1">
      <alignment horizontal="center" vertical="center"/>
    </xf>
    <xf numFmtId="3" fontId="0" fillId="11" borderId="37" xfId="13" applyNumberFormat="1" applyFont="1" applyFill="1" applyBorder="1" applyAlignment="1">
      <alignment horizontal="right"/>
      <protection locked="0"/>
    </xf>
    <xf numFmtId="10" fontId="0" fillId="8" borderId="37" xfId="0" applyNumberFormat="1" applyFill="1" applyBorder="1" applyAlignment="1">
      <alignment horizontal="right"/>
    </xf>
    <xf numFmtId="0" fontId="24" fillId="12" borderId="57" xfId="0" applyFont="1" applyFill="1" applyBorder="1"/>
    <xf numFmtId="4" fontId="1" fillId="10" borderId="26" xfId="17" applyNumberFormat="1" applyFont="1" applyFill="1" applyBorder="1" applyAlignment="1" applyProtection="1">
      <alignment horizontal="left"/>
    </xf>
    <xf numFmtId="3" fontId="24" fillId="10" borderId="26" xfId="7" applyNumberFormat="1" applyFont="1" applyFill="1" applyBorder="1" applyAlignment="1">
      <alignment horizontal="left"/>
    </xf>
    <xf numFmtId="3" fontId="24" fillId="12" borderId="26" xfId="7" applyNumberFormat="1" applyFont="1" applyFill="1" applyBorder="1" applyAlignment="1">
      <alignment horizontal="left"/>
    </xf>
    <xf numFmtId="3" fontId="36" fillId="10" borderId="26" xfId="7" applyNumberFormat="1" applyFont="1" applyFill="1" applyBorder="1" applyAlignment="1">
      <alignment horizontal="left"/>
    </xf>
    <xf numFmtId="3" fontId="34" fillId="10" borderId="26" xfId="7" applyNumberFormat="1" applyFill="1" applyBorder="1" applyAlignment="1">
      <alignment horizontal="left"/>
    </xf>
    <xf numFmtId="0" fontId="0" fillId="8" borderId="95" xfId="0" applyFill="1" applyBorder="1" applyAlignment="1">
      <alignment horizontal="right"/>
    </xf>
    <xf numFmtId="3" fontId="34" fillId="10" borderId="95" xfId="7" applyNumberFormat="1" applyFill="1" applyBorder="1" applyAlignment="1">
      <alignment horizontal="right"/>
    </xf>
    <xf numFmtId="0" fontId="7" fillId="8" borderId="24" xfId="0" applyFont="1" applyFill="1" applyBorder="1" applyAlignment="1">
      <alignment horizontal="left"/>
    </xf>
    <xf numFmtId="4" fontId="24" fillId="8" borderId="26" xfId="0" applyNumberFormat="1" applyFont="1" applyFill="1" applyBorder="1" applyAlignment="1">
      <alignment horizontal="left"/>
    </xf>
    <xf numFmtId="4" fontId="24" fillId="8" borderId="0" xfId="0" applyNumberFormat="1" applyFont="1" applyFill="1" applyAlignment="1">
      <alignment horizontal="left"/>
    </xf>
    <xf numFmtId="4" fontId="0" fillId="8" borderId="26" xfId="0" applyNumberFormat="1" applyFill="1" applyBorder="1" applyAlignment="1">
      <alignment horizontal="left"/>
    </xf>
    <xf numFmtId="4" fontId="0" fillId="8" borderId="0" xfId="0" applyNumberFormat="1" applyFill="1" applyAlignment="1">
      <alignment horizontal="left"/>
    </xf>
    <xf numFmtId="4" fontId="0" fillId="10" borderId="19" xfId="0" applyNumberFormat="1" applyFill="1" applyBorder="1" applyAlignment="1">
      <alignment horizontal="left"/>
    </xf>
    <xf numFmtId="4" fontId="24" fillId="8" borderId="19" xfId="0" applyNumberFormat="1" applyFont="1" applyFill="1" applyBorder="1" applyAlignment="1">
      <alignment horizontal="left"/>
    </xf>
    <xf numFmtId="4" fontId="24" fillId="8" borderId="19" xfId="0" applyNumberFormat="1" applyFont="1" applyFill="1" applyBorder="1" applyAlignment="1" applyProtection="1">
      <alignment horizontal="right"/>
      <protection locked="0"/>
    </xf>
    <xf numFmtId="2" fontId="24" fillId="10" borderId="19" xfId="0" applyNumberFormat="1" applyFont="1" applyFill="1" applyBorder="1" applyAlignment="1">
      <alignment horizontal="center" vertical="center"/>
    </xf>
    <xf numFmtId="169" fontId="0" fillId="8" borderId="0" xfId="0" applyNumberFormat="1" applyFill="1" applyAlignment="1">
      <alignment horizontal="right"/>
    </xf>
    <xf numFmtId="169" fontId="0" fillId="8" borderId="0" xfId="0" applyNumberFormat="1" applyFill="1" applyAlignment="1" applyProtection="1">
      <alignment horizontal="right"/>
      <protection locked="0"/>
    </xf>
    <xf numFmtId="169" fontId="0" fillId="8" borderId="19" xfId="0" applyNumberFormat="1" applyFill="1" applyBorder="1" applyAlignment="1" applyProtection="1">
      <alignment horizontal="right"/>
      <protection locked="0"/>
    </xf>
    <xf numFmtId="4" fontId="0" fillId="9" borderId="37" xfId="0" applyNumberFormat="1" applyFill="1" applyBorder="1" applyAlignment="1">
      <alignment horizontal="right"/>
    </xf>
    <xf numFmtId="10" fontId="0" fillId="10" borderId="37" xfId="14" applyNumberFormat="1" applyFont="1" applyFill="1" applyBorder="1" applyAlignment="1" applyProtection="1">
      <alignment horizontal="right"/>
    </xf>
    <xf numFmtId="10" fontId="0" fillId="4" borderId="37" xfId="14" applyNumberFormat="1" applyFont="1" applyFill="1" applyBorder="1" applyAlignment="1" applyProtection="1">
      <alignment horizontal="right"/>
      <protection locked="0"/>
    </xf>
    <xf numFmtId="10" fontId="0" fillId="9" borderId="37" xfId="14" applyNumberFormat="1" applyFont="1" applyFill="1" applyBorder="1" applyAlignment="1" applyProtection="1">
      <alignment horizontal="right"/>
    </xf>
    <xf numFmtId="10" fontId="0" fillId="4" borderId="38" xfId="14" applyNumberFormat="1" applyFont="1" applyFill="1" applyBorder="1" applyAlignment="1" applyProtection="1">
      <alignment horizontal="right"/>
      <protection locked="0"/>
    </xf>
    <xf numFmtId="4" fontId="26" fillId="10" borderId="26" xfId="0" applyNumberFormat="1" applyFont="1" applyFill="1" applyBorder="1" applyAlignment="1">
      <alignment horizontal="left"/>
    </xf>
    <xf numFmtId="4" fontId="0" fillId="10" borderId="56" xfId="0" applyNumberFormat="1" applyFill="1" applyBorder="1" applyAlignment="1">
      <alignment horizontal="left"/>
    </xf>
    <xf numFmtId="3" fontId="0" fillId="8" borderId="59" xfId="0" applyNumberFormat="1" applyFill="1" applyBorder="1" applyAlignment="1">
      <alignment horizontal="right"/>
    </xf>
    <xf numFmtId="3" fontId="0" fillId="8" borderId="60" xfId="0" applyNumberFormat="1" applyFill="1" applyBorder="1" applyAlignment="1">
      <alignment horizontal="right"/>
    </xf>
    <xf numFmtId="0" fontId="24" fillId="7" borderId="65" xfId="0" applyFont="1" applyFill="1" applyBorder="1"/>
    <xf numFmtId="0" fontId="24" fillId="7" borderId="65" xfId="0" applyFont="1" applyFill="1" applyBorder="1" applyAlignment="1">
      <alignment horizontal="left"/>
    </xf>
    <xf numFmtId="0" fontId="24" fillId="7" borderId="65" xfId="0" applyFont="1" applyFill="1" applyBorder="1" applyAlignment="1">
      <alignment horizontal="right"/>
    </xf>
    <xf numFmtId="0" fontId="0" fillId="7" borderId="65" xfId="0" applyFill="1" applyBorder="1"/>
    <xf numFmtId="3" fontId="0" fillId="8" borderId="56" xfId="0" applyNumberFormat="1" applyFill="1" applyBorder="1" applyAlignment="1">
      <alignment horizontal="right"/>
    </xf>
    <xf numFmtId="0" fontId="24" fillId="10" borderId="26" xfId="0" applyFont="1" applyFill="1" applyBorder="1" applyAlignment="1">
      <alignment horizontal="left" wrapText="1"/>
    </xf>
    <xf numFmtId="0" fontId="5" fillId="8" borderId="24" xfId="0" applyFont="1" applyFill="1" applyBorder="1" applyAlignment="1">
      <alignment horizontal="left" vertical="center"/>
    </xf>
    <xf numFmtId="0" fontId="12" fillId="8" borderId="26" xfId="0" applyFont="1" applyFill="1" applyBorder="1"/>
    <xf numFmtId="0" fontId="49" fillId="8" borderId="28" xfId="0" applyFont="1" applyFill="1" applyBorder="1" applyAlignment="1">
      <alignment horizontal="left" indent="1"/>
    </xf>
    <xf numFmtId="0" fontId="24" fillId="8" borderId="19" xfId="0" applyFont="1" applyFill="1" applyBorder="1" applyAlignment="1">
      <alignment vertical="center"/>
    </xf>
    <xf numFmtId="0" fontId="5" fillId="8" borderId="0" xfId="0" applyFont="1" applyFill="1" applyAlignment="1">
      <alignment horizontal="left" vertical="center"/>
    </xf>
    <xf numFmtId="0" fontId="0" fillId="8" borderId="20" xfId="0" applyFill="1" applyBorder="1" applyAlignment="1">
      <alignment horizontal="right" vertical="center"/>
    </xf>
    <xf numFmtId="0" fontId="0" fillId="8" borderId="25" xfId="0" applyFill="1" applyBorder="1" applyAlignment="1">
      <alignment horizontal="right" vertical="center"/>
    </xf>
    <xf numFmtId="0" fontId="0" fillId="8" borderId="27" xfId="0" applyFill="1" applyBorder="1" applyAlignment="1">
      <alignment horizontal="right" vertical="center"/>
    </xf>
    <xf numFmtId="0" fontId="0" fillId="8" borderId="19" xfId="0" applyFill="1" applyBorder="1" applyAlignment="1">
      <alignment horizontal="right" vertical="center"/>
    </xf>
    <xf numFmtId="0" fontId="0" fillId="8" borderId="29" xfId="0" applyFill="1" applyBorder="1" applyAlignment="1">
      <alignment horizontal="right" vertical="center"/>
    </xf>
    <xf numFmtId="0" fontId="0" fillId="8" borderId="87" xfId="0" applyFill="1" applyBorder="1" applyAlignment="1">
      <alignment horizontal="centerContinuous"/>
    </xf>
    <xf numFmtId="0" fontId="0" fillId="8" borderId="88" xfId="0" applyFill="1" applyBorder="1" applyAlignment="1">
      <alignment horizontal="centerContinuous"/>
    </xf>
    <xf numFmtId="0" fontId="24" fillId="10" borderId="0" xfId="0" applyFont="1" applyFill="1" applyAlignment="1">
      <alignment horizontal="center"/>
    </xf>
    <xf numFmtId="0" fontId="24" fillId="10" borderId="27" xfId="0" applyFont="1" applyFill="1" applyBorder="1" applyAlignment="1">
      <alignment horizontal="center"/>
    </xf>
    <xf numFmtId="2" fontId="24" fillId="10" borderId="59" xfId="0" applyNumberFormat="1" applyFont="1" applyFill="1" applyBorder="1" applyAlignment="1">
      <alignment horizontal="center" vertical="center"/>
    </xf>
    <xf numFmtId="165" fontId="0" fillId="8" borderId="27" xfId="0" applyNumberFormat="1" applyFill="1" applyBorder="1"/>
    <xf numFmtId="165" fontId="0" fillId="8" borderId="27" xfId="14" applyNumberFormat="1" applyFont="1" applyFill="1" applyBorder="1" applyProtection="1"/>
    <xf numFmtId="165" fontId="24" fillId="8" borderId="0" xfId="0" applyNumberFormat="1" applyFont="1" applyFill="1"/>
    <xf numFmtId="165" fontId="0" fillId="8" borderId="19" xfId="0" applyNumberFormat="1" applyFill="1" applyBorder="1"/>
    <xf numFmtId="165" fontId="0" fillId="8" borderId="29" xfId="0" applyNumberFormat="1" applyFill="1" applyBorder="1"/>
    <xf numFmtId="2" fontId="24" fillId="10" borderId="56" xfId="0" applyNumberFormat="1" applyFont="1" applyFill="1" applyBorder="1" applyAlignment="1">
      <alignment horizontal="center" vertical="center"/>
    </xf>
    <xf numFmtId="165" fontId="0" fillId="8" borderId="26" xfId="0" applyNumberFormat="1" applyFill="1" applyBorder="1"/>
    <xf numFmtId="2" fontId="24" fillId="10" borderId="28" xfId="0" applyNumberFormat="1" applyFont="1" applyFill="1" applyBorder="1" applyAlignment="1">
      <alignment horizontal="center" vertical="center"/>
    </xf>
    <xf numFmtId="2" fontId="24" fillId="10" borderId="29" xfId="0" applyNumberFormat="1" applyFont="1" applyFill="1" applyBorder="1" applyAlignment="1">
      <alignment horizontal="center" vertical="center"/>
    </xf>
    <xf numFmtId="0" fontId="24" fillId="8" borderId="62" xfId="0" applyFont="1" applyFill="1" applyBorder="1" applyAlignment="1">
      <alignment horizontal="centerContinuous"/>
    </xf>
    <xf numFmtId="0" fontId="24" fillId="8" borderId="63" xfId="0" applyFont="1" applyFill="1" applyBorder="1" applyAlignment="1">
      <alignment horizontal="centerContinuous"/>
    </xf>
    <xf numFmtId="0" fontId="0" fillId="8" borderId="64" xfId="0" applyFill="1" applyBorder="1" applyAlignment="1">
      <alignment horizontal="centerContinuous"/>
    </xf>
    <xf numFmtId="0" fontId="0" fillId="8" borderId="63" xfId="0" applyFill="1" applyBorder="1" applyAlignment="1">
      <alignment horizontal="centerContinuous"/>
    </xf>
    <xf numFmtId="165" fontId="0" fillId="8" borderId="28" xfId="0" applyNumberFormat="1" applyFill="1" applyBorder="1"/>
    <xf numFmtId="165" fontId="24" fillId="8" borderId="0" xfId="0" applyNumberFormat="1" applyFont="1" applyFill="1" applyAlignment="1">
      <alignment horizontal="left"/>
    </xf>
    <xf numFmtId="165" fontId="0" fillId="8" borderId="20" xfId="0" applyNumberFormat="1" applyFill="1" applyBorder="1"/>
    <xf numFmtId="165" fontId="0" fillId="8" borderId="25" xfId="0" applyNumberFormat="1" applyFill="1" applyBorder="1"/>
    <xf numFmtId="165" fontId="24" fillId="10" borderId="0" xfId="0" applyNumberFormat="1" applyFont="1" applyFill="1"/>
    <xf numFmtId="165" fontId="0" fillId="0" borderId="0" xfId="0" applyNumberFormat="1"/>
    <xf numFmtId="165" fontId="0" fillId="8" borderId="24" xfId="0" applyNumberFormat="1" applyFill="1" applyBorder="1"/>
    <xf numFmtId="165" fontId="0" fillId="0" borderId="26" xfId="0" applyNumberFormat="1" applyBorder="1"/>
    <xf numFmtId="165" fontId="0" fillId="0" borderId="27" xfId="0" applyNumberFormat="1" applyBorder="1"/>
    <xf numFmtId="0" fontId="24" fillId="10" borderId="61" xfId="0" applyFont="1" applyFill="1" applyBorder="1" applyAlignment="1">
      <alignment horizontal="center"/>
    </xf>
    <xf numFmtId="0" fontId="0" fillId="10" borderId="0" xfId="0" applyFill="1" applyAlignment="1">
      <alignment horizontal="center"/>
    </xf>
    <xf numFmtId="0" fontId="24" fillId="8" borderId="26" xfId="0" applyFont="1" applyFill="1" applyBorder="1" applyAlignment="1">
      <alignment horizontal="left" wrapText="1"/>
    </xf>
    <xf numFmtId="0" fontId="0" fillId="10" borderId="19" xfId="0" applyFill="1" applyBorder="1"/>
    <xf numFmtId="0" fontId="0" fillId="8" borderId="86" xfId="0" applyFill="1" applyBorder="1" applyAlignment="1">
      <alignment horizontal="centerContinuous"/>
    </xf>
    <xf numFmtId="0" fontId="0" fillId="8" borderId="57" xfId="0" applyFill="1" applyBorder="1" applyAlignment="1">
      <alignment horizontal="center"/>
    </xf>
    <xf numFmtId="0" fontId="0" fillId="8" borderId="61" xfId="0" applyFill="1" applyBorder="1" applyAlignment="1">
      <alignment horizontal="center"/>
    </xf>
    <xf numFmtId="0" fontId="24" fillId="7" borderId="26" xfId="0" applyFont="1" applyFill="1" applyBorder="1" applyAlignment="1">
      <alignment horizontal="left"/>
    </xf>
    <xf numFmtId="4" fontId="1" fillId="8" borderId="27" xfId="13" applyFill="1" applyBorder="1" applyAlignment="1">
      <protection locked="0"/>
    </xf>
    <xf numFmtId="0" fontId="24" fillId="0" borderId="26" xfId="0" applyFont="1" applyBorder="1" applyAlignment="1">
      <alignment horizontal="left"/>
    </xf>
    <xf numFmtId="3" fontId="1" fillId="8" borderId="27" xfId="13" applyNumberFormat="1" applyFill="1" applyBorder="1" applyAlignment="1">
      <protection locked="0"/>
    </xf>
    <xf numFmtId="0" fontId="1" fillId="8" borderId="26" xfId="2" applyFont="1" applyFill="1" applyBorder="1"/>
    <xf numFmtId="0" fontId="24" fillId="8" borderId="29" xfId="0" applyFont="1" applyFill="1" applyBorder="1" applyAlignment="1">
      <alignment horizontal="center"/>
    </xf>
    <xf numFmtId="0" fontId="0" fillId="8" borderId="36" xfId="0" applyFill="1" applyBorder="1" applyAlignment="1">
      <alignment horizontal="center"/>
    </xf>
    <xf numFmtId="0" fontId="24" fillId="8" borderId="38" xfId="0" applyFont="1" applyFill="1" applyBorder="1" applyAlignment="1">
      <alignment horizontal="center"/>
    </xf>
    <xf numFmtId="0" fontId="24" fillId="8" borderId="37" xfId="0" applyFont="1" applyFill="1" applyBorder="1" applyAlignment="1">
      <alignment horizontal="center"/>
    </xf>
    <xf numFmtId="3" fontId="1" fillId="8" borderId="37" xfId="13" applyNumberFormat="1" applyFill="1" applyBorder="1" applyAlignment="1">
      <protection locked="0"/>
    </xf>
    <xf numFmtId="4" fontId="1" fillId="8" borderId="37" xfId="13" applyFill="1" applyBorder="1" applyAlignment="1">
      <protection locked="0"/>
    </xf>
    <xf numFmtId="0" fontId="0" fillId="0" borderId="38" xfId="0" applyBorder="1"/>
    <xf numFmtId="164" fontId="65" fillId="17" borderId="27" xfId="24" applyNumberFormat="1" applyBorder="1">
      <protection locked="0"/>
    </xf>
    <xf numFmtId="164" fontId="65" fillId="17" borderId="37" xfId="24" applyNumberFormat="1" applyBorder="1">
      <protection locked="0"/>
    </xf>
    <xf numFmtId="0" fontId="24" fillId="8" borderId="20" xfId="0" applyFont="1" applyFill="1" applyBorder="1" applyAlignment="1">
      <alignment horizontal="centerContinuous"/>
    </xf>
    <xf numFmtId="0" fontId="24" fillId="8" borderId="25" xfId="0" applyFont="1" applyFill="1" applyBorder="1" applyAlignment="1">
      <alignment horizontal="centerContinuous"/>
    </xf>
    <xf numFmtId="0" fontId="65" fillId="8" borderId="26" xfId="24" applyNumberFormat="1" applyFill="1" applyBorder="1">
      <protection locked="0"/>
    </xf>
    <xf numFmtId="0" fontId="65" fillId="17" borderId="27" xfId="24" applyNumberFormat="1" applyBorder="1">
      <protection locked="0"/>
    </xf>
    <xf numFmtId="0" fontId="24" fillId="0" borderId="19" xfId="0" applyFont="1" applyBorder="1"/>
    <xf numFmtId="0" fontId="24" fillId="0" borderId="29" xfId="0" applyFont="1" applyBorder="1"/>
    <xf numFmtId="0" fontId="24" fillId="8" borderId="24" xfId="0" applyFont="1" applyFill="1" applyBorder="1" applyAlignment="1">
      <alignment horizontal="centerContinuous"/>
    </xf>
    <xf numFmtId="0" fontId="24" fillId="0" borderId="28" xfId="0" applyFont="1" applyBorder="1"/>
    <xf numFmtId="0" fontId="65" fillId="17" borderId="26" xfId="24" applyNumberFormat="1" applyBorder="1">
      <protection locked="0"/>
    </xf>
    <xf numFmtId="0" fontId="46" fillId="8" borderId="20" xfId="0" applyFont="1" applyFill="1" applyBorder="1" applyAlignment="1">
      <alignment horizontal="left"/>
    </xf>
    <xf numFmtId="0" fontId="71" fillId="8" borderId="26" xfId="0" quotePrefix="1" applyFont="1" applyFill="1" applyBorder="1"/>
    <xf numFmtId="0" fontId="0" fillId="8" borderId="26" xfId="0" quotePrefix="1" applyFill="1" applyBorder="1" applyAlignment="1">
      <alignment horizontal="left" vertical="center"/>
    </xf>
    <xf numFmtId="0" fontId="79" fillId="8" borderId="26" xfId="0" applyFont="1" applyFill="1" applyBorder="1" applyAlignment="1">
      <alignment horizontal="left" vertical="center" indent="1"/>
    </xf>
    <xf numFmtId="0" fontId="78" fillId="8" borderId="26" xfId="0" applyFont="1" applyFill="1" applyBorder="1" applyAlignment="1">
      <alignment horizontal="left"/>
    </xf>
    <xf numFmtId="0" fontId="0" fillId="8" borderId="26" xfId="0" applyFill="1" applyBorder="1" applyAlignment="1">
      <alignment horizontal="left" vertical="center" indent="2"/>
    </xf>
    <xf numFmtId="10" fontId="24" fillId="4" borderId="0" xfId="12" applyNumberFormat="1" applyFont="1" applyBorder="1" applyAlignment="1">
      <alignment horizontal="right"/>
      <protection locked="0"/>
    </xf>
    <xf numFmtId="0" fontId="24" fillId="10" borderId="37" xfId="1" applyNumberFormat="1" applyFont="1" applyFill="1" applyBorder="1" applyAlignment="1" applyProtection="1">
      <alignment horizontal="center" vertical="center" wrapText="1"/>
    </xf>
    <xf numFmtId="3" fontId="0" fillId="4" borderId="75" xfId="13" applyNumberFormat="1" applyFont="1" applyBorder="1" applyAlignment="1">
      <alignment vertical="center"/>
      <protection locked="0"/>
    </xf>
    <xf numFmtId="3" fontId="0" fillId="10" borderId="67" xfId="1" applyNumberFormat="1" applyFont="1" applyFill="1" applyBorder="1" applyAlignment="1" applyProtection="1">
      <alignment horizontal="right" vertical="center"/>
    </xf>
    <xf numFmtId="2" fontId="24" fillId="10" borderId="53" xfId="1" applyNumberFormat="1" applyFont="1" applyFill="1" applyBorder="1" applyAlignment="1" applyProtection="1">
      <alignment horizontal="right"/>
    </xf>
    <xf numFmtId="9" fontId="0" fillId="8" borderId="27" xfId="0" applyNumberFormat="1" applyFill="1" applyBorder="1" applyAlignment="1">
      <alignment horizontal="right"/>
    </xf>
    <xf numFmtId="9" fontId="0" fillId="10" borderId="27" xfId="0" applyNumberFormat="1" applyFill="1" applyBorder="1" applyAlignment="1">
      <alignment horizontal="right"/>
    </xf>
    <xf numFmtId="9" fontId="0" fillId="7" borderId="27" xfId="0" applyNumberFormat="1" applyFill="1" applyBorder="1"/>
    <xf numFmtId="10" fontId="0" fillId="10" borderId="4" xfId="0" applyNumberFormat="1" applyFill="1" applyBorder="1" applyAlignment="1">
      <alignment horizontal="right"/>
    </xf>
    <xf numFmtId="9" fontId="0" fillId="0" borderId="0" xfId="14" applyFont="1" applyAlignment="1">
      <alignment horizontal="right"/>
    </xf>
    <xf numFmtId="173" fontId="0" fillId="0" borderId="0" xfId="0" applyNumberFormat="1"/>
    <xf numFmtId="171" fontId="0" fillId="8" borderId="0" xfId="0" applyNumberFormat="1" applyFill="1" applyAlignment="1">
      <alignment horizontal="right"/>
    </xf>
    <xf numFmtId="10" fontId="68" fillId="8" borderId="0" xfId="12" applyNumberFormat="1" applyFont="1" applyFill="1" applyBorder="1" applyAlignment="1">
      <alignment horizontal="right"/>
      <protection locked="0"/>
    </xf>
    <xf numFmtId="10" fontId="1" fillId="4" borderId="0" xfId="12" applyNumberFormat="1" applyBorder="1" applyAlignment="1">
      <alignment horizontal="right"/>
      <protection locked="0"/>
    </xf>
    <xf numFmtId="165" fontId="1" fillId="4" borderId="0" xfId="12" applyBorder="1" applyAlignment="1">
      <alignment horizontal="right"/>
      <protection locked="0"/>
    </xf>
    <xf numFmtId="171" fontId="0" fillId="4" borderId="0" xfId="13" applyNumberFormat="1" applyFont="1" applyBorder="1" applyAlignment="1">
      <alignment vertical="center"/>
      <protection locked="0"/>
    </xf>
    <xf numFmtId="10" fontId="0" fillId="10" borderId="27" xfId="14" applyNumberFormat="1" applyFont="1" applyFill="1" applyBorder="1" applyAlignment="1" applyProtection="1">
      <alignment horizontal="right" vertical="center"/>
    </xf>
    <xf numFmtId="3" fontId="0" fillId="4" borderId="24" xfId="13" applyNumberFormat="1" applyFont="1" applyBorder="1" applyAlignment="1">
      <alignment vertical="center"/>
      <protection locked="0"/>
    </xf>
    <xf numFmtId="3" fontId="0" fillId="4" borderId="25" xfId="13" applyNumberFormat="1" applyFont="1" applyBorder="1" applyAlignment="1">
      <alignment vertical="center"/>
      <protection locked="0"/>
    </xf>
    <xf numFmtId="3" fontId="0" fillId="4" borderId="26" xfId="13" applyNumberFormat="1" applyFont="1" applyBorder="1" applyAlignment="1">
      <alignment vertical="center"/>
      <protection locked="0"/>
    </xf>
    <xf numFmtId="10" fontId="24" fillId="8" borderId="0" xfId="14" applyNumberFormat="1" applyFont="1" applyFill="1" applyBorder="1" applyAlignment="1"/>
    <xf numFmtId="10" fontId="0" fillId="8" borderId="0" xfId="14" applyNumberFormat="1" applyFont="1" applyFill="1" applyBorder="1" applyAlignment="1"/>
    <xf numFmtId="0" fontId="0" fillId="8" borderId="20" xfId="0" applyFill="1" applyBorder="1" applyAlignment="1">
      <alignment horizontal="centerContinuous"/>
    </xf>
    <xf numFmtId="0" fontId="0" fillId="8" borderId="25" xfId="0" applyFill="1" applyBorder="1" applyAlignment="1">
      <alignment horizontal="centerContinuous"/>
    </xf>
    <xf numFmtId="3" fontId="24" fillId="10" borderId="27" xfId="0" applyNumberFormat="1" applyFont="1" applyFill="1" applyBorder="1"/>
    <xf numFmtId="10" fontId="1" fillId="4" borderId="37" xfId="12" applyNumberFormat="1" applyBorder="1" applyAlignment="1">
      <protection locked="0"/>
    </xf>
    <xf numFmtId="10" fontId="1" fillId="4" borderId="27" xfId="12" applyNumberFormat="1" applyBorder="1" applyAlignment="1">
      <protection locked="0"/>
    </xf>
    <xf numFmtId="3" fontId="1" fillId="8" borderId="92" xfId="13" applyNumberFormat="1" applyFill="1" applyBorder="1" applyAlignment="1">
      <protection locked="0"/>
    </xf>
    <xf numFmtId="4" fontId="37" fillId="4" borderId="26" xfId="17" applyNumberFormat="1" applyFill="1" applyBorder="1" applyAlignment="1">
      <protection locked="0"/>
    </xf>
    <xf numFmtId="0" fontId="24" fillId="10" borderId="37" xfId="0" applyFont="1" applyFill="1" applyBorder="1" applyProtection="1">
      <protection locked="0"/>
    </xf>
    <xf numFmtId="0" fontId="0" fillId="8" borderId="37" xfId="0" applyFill="1" applyBorder="1" applyProtection="1">
      <protection locked="0"/>
    </xf>
    <xf numFmtId="0" fontId="0" fillId="8" borderId="37" xfId="0" applyFill="1" applyBorder="1" applyAlignment="1" applyProtection="1">
      <alignment horizontal="right"/>
      <protection locked="0"/>
    </xf>
    <xf numFmtId="0" fontId="0" fillId="8" borderId="27" xfId="0" applyFill="1" applyBorder="1" applyProtection="1">
      <protection locked="0"/>
    </xf>
    <xf numFmtId="0" fontId="79" fillId="8" borderId="26" xfId="24" applyNumberFormat="1" applyFont="1" applyFill="1" applyBorder="1">
      <protection locked="0"/>
    </xf>
    <xf numFmtId="4" fontId="1" fillId="8" borderId="37" xfId="13" applyFill="1" applyBorder="1" applyAlignment="1">
      <alignment horizontal="right"/>
      <protection locked="0"/>
    </xf>
    <xf numFmtId="4" fontId="80" fillId="10" borderId="26" xfId="17" applyNumberFormat="1" applyFont="1" applyFill="1" applyBorder="1" applyAlignment="1" applyProtection="1">
      <alignment horizontal="left"/>
    </xf>
    <xf numFmtId="4" fontId="1" fillId="8" borderId="26" xfId="17" applyNumberFormat="1" applyFont="1" applyFill="1" applyBorder="1" applyAlignment="1">
      <protection locked="0"/>
    </xf>
    <xf numFmtId="3" fontId="0" fillId="0" borderId="37" xfId="0" applyNumberFormat="1" applyBorder="1"/>
    <xf numFmtId="3" fontId="36" fillId="8" borderId="2" xfId="0" applyNumberFormat="1" applyFont="1" applyFill="1" applyBorder="1"/>
    <xf numFmtId="3" fontId="24" fillId="8" borderId="2" xfId="0" applyNumberFormat="1" applyFont="1" applyFill="1" applyBorder="1"/>
    <xf numFmtId="0" fontId="35" fillId="8" borderId="0" xfId="2" applyFill="1"/>
    <xf numFmtId="165" fontId="1" fillId="8" borderId="0" xfId="2" applyNumberFormat="1" applyFont="1" applyFill="1" applyBorder="1" applyAlignment="1" applyProtection="1">
      <protection locked="0"/>
    </xf>
    <xf numFmtId="0" fontId="35" fillId="23" borderId="0" xfId="27"/>
    <xf numFmtId="165" fontId="37" fillId="8" borderId="2" xfId="17" applyNumberFormat="1" applyFill="1" applyBorder="1" applyProtection="1"/>
    <xf numFmtId="0" fontId="24" fillId="8" borderId="41" xfId="2" applyFont="1" applyFill="1" applyBorder="1"/>
    <xf numFmtId="0" fontId="24" fillId="8" borderId="35" xfId="2" applyFont="1" applyFill="1" applyBorder="1"/>
    <xf numFmtId="0" fontId="24" fillId="8" borderId="40" xfId="2" applyFont="1" applyFill="1" applyBorder="1"/>
    <xf numFmtId="0" fontId="82" fillId="0" borderId="0" xfId="0" applyFont="1"/>
    <xf numFmtId="4" fontId="37" fillId="0" borderId="41" xfId="17" applyNumberFormat="1" applyFill="1" applyBorder="1" applyProtection="1"/>
    <xf numFmtId="0" fontId="37" fillId="0" borderId="2" xfId="17" applyNumberFormat="1" applyBorder="1" applyProtection="1"/>
    <xf numFmtId="0" fontId="0" fillId="0" borderId="0" xfId="0" applyBorder="1"/>
    <xf numFmtId="0" fontId="0" fillId="8" borderId="0" xfId="0" applyFill="1" applyAlignment="1">
      <alignment horizontal="left"/>
    </xf>
    <xf numFmtId="165" fontId="1" fillId="4" borderId="27" xfId="12" applyBorder="1" applyAlignment="1">
      <alignment horizontal="right"/>
      <protection locked="0"/>
    </xf>
    <xf numFmtId="165" fontId="0" fillId="10" borderId="0" xfId="0" applyNumberFormat="1" applyFill="1" applyAlignment="1">
      <alignment horizontal="right"/>
    </xf>
    <xf numFmtId="165" fontId="65" fillId="17" borderId="0" xfId="24" applyNumberFormat="1" applyBorder="1" applyAlignment="1">
      <alignment horizontal="right"/>
      <protection locked="0"/>
    </xf>
    <xf numFmtId="165" fontId="65" fillId="17" borderId="27" xfId="24" applyNumberFormat="1" applyBorder="1" applyAlignment="1">
      <alignment horizontal="right"/>
      <protection locked="0"/>
    </xf>
    <xf numFmtId="165" fontId="0" fillId="10" borderId="26" xfId="0" applyNumberFormat="1" applyFill="1" applyBorder="1" applyAlignment="1">
      <alignment horizontal="right"/>
    </xf>
    <xf numFmtId="165" fontId="0" fillId="10" borderId="27" xfId="0" applyNumberFormat="1" applyFill="1" applyBorder="1" applyAlignment="1">
      <alignment horizontal="right"/>
    </xf>
    <xf numFmtId="165" fontId="0" fillId="10" borderId="0" xfId="21" applyNumberFormat="1" applyFont="1" applyFill="1" applyBorder="1" applyAlignment="1" applyProtection="1">
      <alignment horizontal="right"/>
    </xf>
    <xf numFmtId="165" fontId="0" fillId="10" borderId="27" xfId="21" applyNumberFormat="1" applyFont="1" applyFill="1" applyBorder="1" applyAlignment="1" applyProtection="1">
      <alignment horizontal="right"/>
    </xf>
    <xf numFmtId="165" fontId="0" fillId="10" borderId="26" xfId="14" applyNumberFormat="1" applyFont="1" applyFill="1" applyBorder="1" applyAlignment="1" applyProtection="1">
      <alignment horizontal="right"/>
    </xf>
    <xf numFmtId="165" fontId="0" fillId="10" borderId="0" xfId="14" applyNumberFormat="1" applyFont="1" applyFill="1" applyBorder="1" applyAlignment="1" applyProtection="1">
      <alignment horizontal="right"/>
    </xf>
    <xf numFmtId="165" fontId="0" fillId="10" borderId="27" xfId="14" applyNumberFormat="1" applyFont="1" applyFill="1" applyBorder="1" applyAlignment="1" applyProtection="1">
      <alignment horizontal="right"/>
    </xf>
    <xf numFmtId="3" fontId="1" fillId="4" borderId="26" xfId="13" applyNumberFormat="1" applyBorder="1" applyAlignment="1">
      <alignment horizontal="right"/>
      <protection locked="0"/>
    </xf>
    <xf numFmtId="3" fontId="1" fillId="4" borderId="27" xfId="13" applyNumberFormat="1" applyBorder="1" applyAlignment="1">
      <alignment horizontal="right"/>
      <protection locked="0"/>
    </xf>
    <xf numFmtId="10" fontId="0" fillId="8" borderId="0" xfId="14" applyNumberFormat="1" applyFont="1" applyFill="1" applyBorder="1" applyAlignment="1" applyProtection="1">
      <alignment horizontal="center"/>
    </xf>
    <xf numFmtId="0" fontId="23" fillId="8" borderId="0" xfId="0" applyFont="1" applyFill="1"/>
    <xf numFmtId="0" fontId="26" fillId="8" borderId="26" xfId="0" applyFont="1" applyFill="1" applyBorder="1"/>
    <xf numFmtId="0" fontId="34" fillId="8" borderId="20" xfId="7" applyNumberFormat="1" applyFill="1" applyBorder="1" applyAlignment="1"/>
    <xf numFmtId="0" fontId="0" fillId="8" borderId="26" xfId="0" applyFill="1" applyBorder="1" applyAlignment="1">
      <alignment horizontal="left" indent="2"/>
    </xf>
    <xf numFmtId="0" fontId="0" fillId="8" borderId="26" xfId="0" applyFill="1" applyBorder="1" applyAlignment="1">
      <alignment horizontal="left" vertical="top" wrapText="1" indent="1"/>
    </xf>
    <xf numFmtId="10" fontId="0" fillId="8" borderId="26" xfId="14" applyNumberFormat="1" applyFont="1" applyFill="1" applyBorder="1" applyAlignment="1" applyProtection="1">
      <alignment horizontal="left"/>
    </xf>
    <xf numFmtId="4" fontId="0" fillId="8" borderId="0" xfId="13" applyFont="1" applyFill="1" applyBorder="1" applyAlignment="1">
      <alignment horizontal="right"/>
      <protection locked="0"/>
    </xf>
    <xf numFmtId="0" fontId="24" fillId="8" borderId="0" xfId="0" applyFont="1" applyFill="1" applyBorder="1" applyAlignment="1">
      <alignment horizontal="left"/>
    </xf>
    <xf numFmtId="0" fontId="24" fillId="8" borderId="0" xfId="0" applyFont="1" applyFill="1" applyBorder="1" applyAlignment="1">
      <alignment horizontal="center"/>
    </xf>
    <xf numFmtId="0" fontId="0" fillId="0" borderId="0" xfId="0" applyBorder="1" applyAlignment="1">
      <alignment horizontal="centerContinuous"/>
    </xf>
    <xf numFmtId="0" fontId="0" fillId="8" borderId="0" xfId="0" applyFill="1" applyBorder="1" applyAlignment="1">
      <alignment horizontal="centerContinuous"/>
    </xf>
    <xf numFmtId="0" fontId="24" fillId="8" borderId="0" xfId="0" applyFont="1" applyFill="1" applyBorder="1" applyAlignment="1">
      <alignment horizontal="centerContinuous"/>
    </xf>
    <xf numFmtId="0" fontId="5" fillId="8" borderId="0" xfId="0" applyFont="1" applyFill="1" applyBorder="1" applyAlignment="1">
      <alignment horizontal="centerContinuous"/>
    </xf>
    <xf numFmtId="0" fontId="22" fillId="8" borderId="0" xfId="0" applyFont="1" applyFill="1" applyBorder="1" applyAlignment="1">
      <alignment horizontal="centerContinuous"/>
    </xf>
    <xf numFmtId="0" fontId="6" fillId="8" borderId="96" xfId="0" applyFont="1" applyFill="1" applyBorder="1" applyAlignment="1">
      <alignment horizontal="centerContinuous"/>
    </xf>
    <xf numFmtId="0" fontId="6" fillId="8" borderId="97" xfId="0" applyFont="1" applyFill="1" applyBorder="1" applyAlignment="1">
      <alignment horizontal="centerContinuous"/>
    </xf>
    <xf numFmtId="0" fontId="13" fillId="8" borderId="98" xfId="0" applyFont="1" applyFill="1" applyBorder="1" applyAlignment="1">
      <alignment horizontal="centerContinuous"/>
    </xf>
    <xf numFmtId="0" fontId="0" fillId="8" borderId="99" xfId="0" applyFill="1" applyBorder="1" applyAlignment="1">
      <alignment horizontal="left"/>
    </xf>
    <xf numFmtId="0" fontId="0" fillId="8" borderId="100" xfId="0" applyFill="1" applyBorder="1"/>
    <xf numFmtId="0" fontId="7" fillId="8" borderId="99" xfId="0" applyFont="1" applyFill="1" applyBorder="1" applyAlignment="1">
      <alignment horizontal="centerContinuous"/>
    </xf>
    <xf numFmtId="0" fontId="0" fillId="8" borderId="100" xfId="0" applyFill="1" applyBorder="1" applyAlignment="1">
      <alignment horizontal="centerContinuous"/>
    </xf>
    <xf numFmtId="0" fontId="5" fillId="8" borderId="99" xfId="0" applyFont="1" applyFill="1" applyBorder="1" applyAlignment="1">
      <alignment horizontal="centerContinuous"/>
    </xf>
    <xf numFmtId="0" fontId="22" fillId="8" borderId="99" xfId="0" applyFont="1" applyFill="1" applyBorder="1" applyAlignment="1">
      <alignment horizontal="centerContinuous"/>
    </xf>
    <xf numFmtId="0" fontId="0" fillId="8" borderId="101" xfId="0" applyFill="1" applyBorder="1" applyAlignment="1">
      <alignment horizontal="centerContinuous"/>
    </xf>
    <xf numFmtId="0" fontId="0" fillId="8" borderId="102" xfId="0" applyFill="1" applyBorder="1" applyAlignment="1">
      <alignment horizontal="centerContinuous"/>
    </xf>
    <xf numFmtId="0" fontId="22" fillId="8" borderId="102" xfId="0" applyFont="1" applyFill="1" applyBorder="1" applyAlignment="1">
      <alignment horizontal="centerContinuous"/>
    </xf>
    <xf numFmtId="0" fontId="0" fillId="8" borderId="103" xfId="0" applyFill="1" applyBorder="1" applyAlignment="1">
      <alignment horizontal="centerContinuous"/>
    </xf>
    <xf numFmtId="0" fontId="7" fillId="8" borderId="104" xfId="0" applyFont="1" applyFill="1" applyBorder="1" applyAlignment="1">
      <alignment horizontal="centerContinuous"/>
    </xf>
    <xf numFmtId="0" fontId="0" fillId="8" borderId="105" xfId="0" applyFill="1" applyBorder="1" applyAlignment="1">
      <alignment horizontal="centerContinuous"/>
    </xf>
    <xf numFmtId="0" fontId="7" fillId="8" borderId="105" xfId="0" applyFont="1" applyFill="1" applyBorder="1" applyAlignment="1">
      <alignment horizontal="centerContinuous"/>
    </xf>
    <xf numFmtId="0" fontId="0" fillId="8" borderId="106" xfId="0" applyFill="1" applyBorder="1" applyAlignment="1">
      <alignment horizontal="centerContinuous"/>
    </xf>
    <xf numFmtId="0" fontId="5" fillId="8" borderId="107" xfId="0" applyFont="1" applyFill="1" applyBorder="1" applyAlignment="1">
      <alignment horizontal="left"/>
    </xf>
    <xf numFmtId="0" fontId="0" fillId="8" borderId="0" xfId="0" applyFill="1" applyBorder="1"/>
    <xf numFmtId="0" fontId="7" fillId="8" borderId="0" xfId="0" applyFont="1" applyFill="1" applyBorder="1" applyAlignment="1">
      <alignment horizontal="left"/>
    </xf>
    <xf numFmtId="0" fontId="0" fillId="8" borderId="108" xfId="0" applyFill="1" applyBorder="1"/>
    <xf numFmtId="0" fontId="7" fillId="8" borderId="109" xfId="0" applyFont="1" applyFill="1" applyBorder="1" applyAlignment="1">
      <alignment horizontal="centerContinuous"/>
    </xf>
    <xf numFmtId="0" fontId="0" fillId="8" borderId="110" xfId="0" applyFill="1" applyBorder="1" applyAlignment="1">
      <alignment horizontal="centerContinuous"/>
    </xf>
    <xf numFmtId="0" fontId="5" fillId="8" borderId="110" xfId="0" applyFont="1" applyFill="1" applyBorder="1" applyAlignment="1">
      <alignment horizontal="centerContinuous"/>
    </xf>
    <xf numFmtId="0" fontId="0" fillId="8" borderId="111" xfId="0" applyFill="1" applyBorder="1" applyAlignment="1">
      <alignment horizontal="centerContinuous"/>
    </xf>
    <xf numFmtId="0" fontId="7" fillId="8" borderId="96" xfId="0" applyFont="1" applyFill="1" applyBorder="1" applyAlignment="1">
      <alignment horizontal="centerContinuous"/>
    </xf>
    <xf numFmtId="0" fontId="14" fillId="8" borderId="97" xfId="0" applyFont="1" applyFill="1" applyBorder="1" applyAlignment="1">
      <alignment horizontal="centerContinuous"/>
    </xf>
    <xf numFmtId="0" fontId="14" fillId="8" borderId="98" xfId="0" applyFont="1" applyFill="1" applyBorder="1" applyAlignment="1">
      <alignment horizontal="centerContinuous"/>
    </xf>
    <xf numFmtId="0" fontId="5" fillId="8" borderId="99" xfId="0" applyFont="1" applyFill="1" applyBorder="1" applyAlignment="1">
      <alignment horizontal="left"/>
    </xf>
    <xf numFmtId="0" fontId="7" fillId="8" borderId="101" xfId="0" applyFont="1" applyFill="1" applyBorder="1" applyAlignment="1">
      <alignment horizontal="centerContinuous"/>
    </xf>
    <xf numFmtId="0" fontId="14" fillId="8" borderId="102" xfId="0" applyFont="1" applyFill="1" applyBorder="1" applyAlignment="1">
      <alignment horizontal="centerContinuous"/>
    </xf>
    <xf numFmtId="0" fontId="7" fillId="8" borderId="102" xfId="0" applyFont="1" applyFill="1" applyBorder="1" applyAlignment="1">
      <alignment horizontal="centerContinuous"/>
    </xf>
    <xf numFmtId="0" fontId="7" fillId="8" borderId="103" xfId="0" applyFont="1" applyFill="1" applyBorder="1" applyAlignment="1">
      <alignment horizontal="centerContinuous"/>
    </xf>
    <xf numFmtId="0" fontId="0" fillId="8" borderId="99" xfId="0" applyFill="1" applyBorder="1"/>
    <xf numFmtId="0" fontId="5" fillId="8" borderId="0" xfId="0" applyFont="1" applyFill="1" applyBorder="1"/>
    <xf numFmtId="0" fontId="13" fillId="8" borderId="0" xfId="0" applyFont="1" applyFill="1" applyBorder="1"/>
    <xf numFmtId="0" fontId="14" fillId="8" borderId="103" xfId="0" applyFont="1" applyFill="1" applyBorder="1" applyAlignment="1">
      <alignment horizontal="centerContinuous"/>
    </xf>
    <xf numFmtId="3" fontId="7" fillId="10" borderId="99" xfId="0" applyNumberFormat="1" applyFont="1" applyFill="1" applyBorder="1" applyAlignment="1">
      <alignment horizontal="left" vertical="top"/>
    </xf>
    <xf numFmtId="0" fontId="24" fillId="8" borderId="0" xfId="0" applyFont="1" applyFill="1" applyBorder="1" applyAlignment="1">
      <alignment horizontal="left" vertical="top"/>
    </xf>
    <xf numFmtId="0" fontId="0" fillId="0" borderId="100" xfId="0" applyBorder="1"/>
    <xf numFmtId="0" fontId="5" fillId="8" borderId="101" xfId="0" applyFont="1" applyFill="1" applyBorder="1" applyAlignment="1">
      <alignment horizontal="centerContinuous"/>
    </xf>
    <xf numFmtId="0" fontId="7" fillId="10" borderId="96" xfId="0" applyFont="1" applyFill="1" applyBorder="1" applyAlignment="1">
      <alignment horizontal="centerContinuous"/>
    </xf>
    <xf numFmtId="0" fontId="7" fillId="8" borderId="0" xfId="0" applyFont="1" applyFill="1" applyBorder="1" applyAlignment="1">
      <alignment horizontal="left" vertical="top"/>
    </xf>
    <xf numFmtId="0" fontId="14" fillId="8" borderId="0" xfId="0" applyFont="1" applyFill="1" applyBorder="1"/>
    <xf numFmtId="0" fontId="14" fillId="0" borderId="0" xfId="0" applyFont="1" applyBorder="1"/>
    <xf numFmtId="0" fontId="14" fillId="0" borderId="100" xfId="0" applyFont="1" applyBorder="1"/>
    <xf numFmtId="0" fontId="7" fillId="10" borderId="101" xfId="0" applyFont="1" applyFill="1" applyBorder="1" applyAlignment="1">
      <alignment horizontal="centerContinuous"/>
    </xf>
    <xf numFmtId="0" fontId="45" fillId="8" borderId="0" xfId="0" applyFont="1" applyFill="1" applyBorder="1" applyAlignment="1">
      <alignment horizontal="left"/>
    </xf>
    <xf numFmtId="0" fontId="0" fillId="8" borderId="0" xfId="0" applyFill="1" applyBorder="1" applyAlignment="1">
      <alignment horizontal="left"/>
    </xf>
    <xf numFmtId="0" fontId="41" fillId="8" borderId="0" xfId="0" applyFont="1" applyFill="1" applyBorder="1" applyAlignment="1">
      <alignment horizontal="left" vertical="top"/>
    </xf>
    <xf numFmtId="0" fontId="0" fillId="0" borderId="99" xfId="0" applyBorder="1"/>
    <xf numFmtId="0" fontId="24" fillId="8" borderId="0" xfId="0" applyFont="1" applyFill="1" applyBorder="1" applyAlignment="1">
      <alignment horizontal="right" vertical="top"/>
    </xf>
    <xf numFmtId="0" fontId="41" fillId="8" borderId="0" xfId="0" applyFont="1" applyFill="1" applyBorder="1" applyAlignment="1">
      <alignment horizontal="center"/>
    </xf>
    <xf numFmtId="0" fontId="14" fillId="8" borderId="100" xfId="0" applyFont="1" applyFill="1" applyBorder="1"/>
    <xf numFmtId="0" fontId="0" fillId="8" borderId="62" xfId="0" applyFill="1" applyBorder="1" applyAlignment="1">
      <alignment horizontal="center" vertical="center"/>
    </xf>
    <xf numFmtId="0" fontId="0" fillId="8" borderId="53" xfId="0" applyFill="1" applyBorder="1" applyAlignment="1">
      <alignment horizontal="center" vertical="center"/>
    </xf>
    <xf numFmtId="4" fontId="0" fillId="8" borderId="62" xfId="13" applyFont="1" applyFill="1" applyBorder="1" applyAlignment="1">
      <protection locked="0"/>
    </xf>
    <xf numFmtId="0" fontId="0" fillId="8" borderId="63" xfId="0" applyFill="1" applyBorder="1" applyAlignment="1">
      <alignment horizontal="center" vertical="center"/>
    </xf>
    <xf numFmtId="0" fontId="0" fillId="8" borderId="64" xfId="0" applyFill="1" applyBorder="1" applyAlignment="1">
      <alignment horizontal="center" vertical="center"/>
    </xf>
    <xf numFmtId="43" fontId="0" fillId="10" borderId="38" xfId="18" applyNumberFormat="1" applyFont="1" applyFill="1" applyBorder="1" applyAlignment="1">
      <alignment horizontal="right"/>
    </xf>
    <xf numFmtId="43" fontId="0" fillId="10" borderId="38" xfId="1" applyFont="1" applyFill="1" applyBorder="1" applyAlignment="1" applyProtection="1">
      <alignment horizontal="right"/>
    </xf>
    <xf numFmtId="43" fontId="0" fillId="10" borderId="38" xfId="1" applyFont="1" applyFill="1" applyBorder="1" applyAlignment="1" applyProtection="1"/>
    <xf numFmtId="43" fontId="0" fillId="10" borderId="29" xfId="1" applyFont="1" applyFill="1" applyBorder="1" applyAlignment="1" applyProtection="1"/>
    <xf numFmtId="0" fontId="0" fillId="10" borderId="28" xfId="0" applyFill="1" applyBorder="1"/>
    <xf numFmtId="0" fontId="0" fillId="10" borderId="38" xfId="0" applyFill="1" applyBorder="1"/>
    <xf numFmtId="0" fontId="0" fillId="8" borderId="112" xfId="0" applyFill="1" applyBorder="1"/>
    <xf numFmtId="0" fontId="7" fillId="0" borderId="96" xfId="0" applyFont="1" applyBorder="1" applyAlignment="1">
      <alignment horizontal="centerContinuous"/>
    </xf>
    <xf numFmtId="0" fontId="0" fillId="0" borderId="97" xfId="0" applyBorder="1" applyAlignment="1">
      <alignment horizontal="centerContinuous"/>
    </xf>
    <xf numFmtId="0" fontId="0" fillId="0" borderId="98" xfId="0" applyBorder="1" applyAlignment="1">
      <alignment horizontal="centerContinuous"/>
    </xf>
    <xf numFmtId="0" fontId="14" fillId="0" borderId="102" xfId="0" applyFont="1" applyBorder="1" applyAlignment="1">
      <alignment horizontal="centerContinuous"/>
    </xf>
    <xf numFmtId="0" fontId="14" fillId="0" borderId="103" xfId="0" applyFont="1" applyBorder="1" applyAlignment="1">
      <alignment horizontal="centerContinuous"/>
    </xf>
    <xf numFmtId="0" fontId="24" fillId="8" borderId="100" xfId="0" applyFont="1" applyFill="1" applyBorder="1" applyAlignment="1">
      <alignment horizontal="left" vertical="top"/>
    </xf>
    <xf numFmtId="0" fontId="0" fillId="0" borderId="99" xfId="0" applyBorder="1" applyAlignment="1">
      <alignment horizontal="centerContinuous"/>
    </xf>
    <xf numFmtId="4" fontId="24" fillId="8" borderId="0" xfId="0" applyNumberFormat="1" applyFont="1" applyFill="1" applyBorder="1" applyAlignment="1">
      <alignment horizontal="centerContinuous" vertical="top"/>
    </xf>
    <xf numFmtId="0" fontId="24" fillId="8" borderId="0" xfId="0" applyFont="1" applyFill="1" applyBorder="1" applyAlignment="1">
      <alignment horizontal="centerContinuous" vertical="top"/>
    </xf>
    <xf numFmtId="0" fontId="24" fillId="8" borderId="100" xfId="0" applyFont="1" applyFill="1" applyBorder="1" applyAlignment="1">
      <alignment horizontal="centerContinuous" vertical="top"/>
    </xf>
    <xf numFmtId="0" fontId="7" fillId="8" borderId="101" xfId="0" applyFont="1" applyFill="1" applyBorder="1" applyAlignment="1">
      <alignment horizontal="centerContinuous" vertical="center"/>
    </xf>
    <xf numFmtId="0" fontId="0" fillId="8" borderId="0" xfId="0" applyFill="1" applyBorder="1" applyAlignment="1">
      <alignment vertical="center"/>
    </xf>
    <xf numFmtId="0" fontId="0" fillId="8" borderId="0" xfId="0" applyFill="1" applyBorder="1" applyAlignment="1">
      <alignment horizontal="center" vertical="center"/>
    </xf>
    <xf numFmtId="0" fontId="0" fillId="8" borderId="0" xfId="0" applyFill="1" applyBorder="1" applyAlignment="1">
      <alignment horizontal="right" vertical="center"/>
    </xf>
    <xf numFmtId="0" fontId="24" fillId="8" borderId="0" xfId="0" applyFont="1" applyFill="1" applyBorder="1" applyAlignment="1">
      <alignment vertical="center"/>
    </xf>
    <xf numFmtId="0" fontId="24" fillId="8" borderId="0" xfId="0" applyFont="1" applyFill="1" applyBorder="1" applyAlignment="1">
      <alignment horizontal="center" vertical="center"/>
    </xf>
    <xf numFmtId="0" fontId="0" fillId="8" borderId="0" xfId="0" applyFill="1" applyBorder="1" applyAlignment="1">
      <alignment horizontal="center"/>
    </xf>
    <xf numFmtId="0" fontId="26" fillId="8" borderId="20" xfId="0" applyFont="1" applyFill="1" applyBorder="1" applyAlignment="1"/>
    <xf numFmtId="0" fontId="0" fillId="8" borderId="26" xfId="0" applyFont="1" applyFill="1" applyBorder="1" applyAlignment="1">
      <alignment horizontal="left" indent="1"/>
    </xf>
    <xf numFmtId="0" fontId="11" fillId="8" borderId="26" xfId="5" applyFill="1" applyBorder="1" applyAlignment="1">
      <alignment horizontal="left" indent="1"/>
    </xf>
    <xf numFmtId="0" fontId="26" fillId="8" borderId="0" xfId="0" applyFont="1" applyFill="1" applyBorder="1" applyAlignment="1">
      <alignment horizontal="left"/>
    </xf>
    <xf numFmtId="0" fontId="11" fillId="8" borderId="26" xfId="5" applyFill="1" applyBorder="1"/>
    <xf numFmtId="0" fontId="0" fillId="8" borderId="97" xfId="0" applyFill="1" applyBorder="1" applyAlignment="1">
      <alignment horizontal="centerContinuous"/>
    </xf>
    <xf numFmtId="0" fontId="0" fillId="8" borderId="98" xfId="0" applyFill="1" applyBorder="1" applyAlignment="1">
      <alignment horizontal="centerContinuous"/>
    </xf>
    <xf numFmtId="0" fontId="24" fillId="0" borderId="99" xfId="0" applyFont="1" applyBorder="1"/>
    <xf numFmtId="0" fontId="14" fillId="0" borderId="97" xfId="0" applyFont="1" applyBorder="1" applyAlignment="1">
      <alignment horizontal="centerContinuous"/>
    </xf>
    <xf numFmtId="0" fontId="14" fillId="0" borderId="98" xfId="0" applyFont="1" applyBorder="1" applyAlignment="1">
      <alignment horizontal="centerContinuous"/>
    </xf>
    <xf numFmtId="0" fontId="7" fillId="0" borderId="99" xfId="0" applyFont="1" applyBorder="1"/>
    <xf numFmtId="3" fontId="24" fillId="8" borderId="20" xfId="0" quotePrefix="1" applyNumberFormat="1" applyFont="1" applyFill="1" applyBorder="1"/>
    <xf numFmtId="10" fontId="1" fillId="8" borderId="20" xfId="14" quotePrefix="1" applyNumberFormat="1" applyFont="1" applyFill="1" applyBorder="1" applyAlignment="1" applyProtection="1"/>
    <xf numFmtId="0" fontId="40" fillId="8" borderId="0" xfId="0" applyFont="1" applyFill="1" applyAlignment="1">
      <alignment horizontal="left"/>
    </xf>
    <xf numFmtId="0" fontId="24" fillId="8" borderId="0" xfId="0" applyFont="1" applyFill="1" applyBorder="1"/>
    <xf numFmtId="0" fontId="7" fillId="0" borderId="24" xfId="0" applyFont="1" applyBorder="1" applyAlignment="1">
      <alignment horizontal="centerContinuous" vertical="center"/>
    </xf>
    <xf numFmtId="165" fontId="0" fillId="0" borderId="37" xfId="14" applyNumberFormat="1" applyFont="1" applyBorder="1"/>
    <xf numFmtId="165" fontId="0" fillId="0" borderId="27" xfId="14" applyNumberFormat="1" applyFont="1" applyBorder="1"/>
    <xf numFmtId="3" fontId="1" fillId="4" borderId="37" xfId="13" applyNumberFormat="1" applyBorder="1" applyAlignment="1">
      <alignment horizontal="right"/>
      <protection locked="0"/>
    </xf>
    <xf numFmtId="3" fontId="1" fillId="4" borderId="37" xfId="13" applyNumberFormat="1" applyBorder="1" applyAlignment="1">
      <alignment horizontal="left"/>
      <protection locked="0"/>
    </xf>
    <xf numFmtId="3" fontId="24" fillId="4" borderId="37" xfId="13" applyNumberFormat="1" applyFont="1" applyBorder="1" applyAlignment="1">
      <alignment horizontal="right"/>
      <protection locked="0"/>
    </xf>
    <xf numFmtId="3" fontId="1" fillId="8" borderId="37" xfId="13" applyNumberFormat="1" applyFill="1" applyBorder="1" applyAlignment="1">
      <alignment horizontal="right"/>
      <protection locked="0"/>
    </xf>
    <xf numFmtId="0" fontId="0" fillId="0" borderId="114" xfId="0" applyBorder="1"/>
    <xf numFmtId="0" fontId="0" fillId="0" borderId="115" xfId="0" applyBorder="1"/>
    <xf numFmtId="0" fontId="0" fillId="0" borderId="113" xfId="0" applyBorder="1"/>
    <xf numFmtId="3" fontId="1" fillId="4" borderId="27" xfId="13" applyNumberFormat="1" applyBorder="1" applyAlignment="1" applyProtection="1">
      <protection locked="0"/>
    </xf>
    <xf numFmtId="3" fontId="1" fillId="4" borderId="37" xfId="13" applyNumberFormat="1" applyBorder="1" applyAlignment="1" applyProtection="1">
      <protection locked="0"/>
    </xf>
    <xf numFmtId="3" fontId="0" fillId="4" borderId="36" xfId="13" applyNumberFormat="1" applyFont="1" applyBorder="1" applyAlignment="1" applyProtection="1">
      <alignment vertical="center"/>
      <protection locked="0"/>
    </xf>
    <xf numFmtId="3" fontId="0" fillId="4" borderId="37" xfId="13" applyNumberFormat="1" applyFont="1" applyBorder="1" applyAlignment="1" applyProtection="1">
      <alignment vertical="center"/>
      <protection locked="0"/>
    </xf>
    <xf numFmtId="171" fontId="0" fillId="4" borderId="37" xfId="13" applyNumberFormat="1" applyFont="1" applyBorder="1" applyAlignment="1" applyProtection="1">
      <alignment vertical="center"/>
      <protection locked="0"/>
    </xf>
    <xf numFmtId="4" fontId="0" fillId="4" borderId="37" xfId="13" applyFont="1" applyBorder="1" applyAlignment="1" applyProtection="1">
      <alignment vertical="center"/>
      <protection locked="0"/>
    </xf>
    <xf numFmtId="3" fontId="0" fillId="4" borderId="37" xfId="13" applyNumberFormat="1" applyFont="1" applyBorder="1" applyAlignment="1" applyProtection="1">
      <protection locked="0"/>
    </xf>
    <xf numFmtId="3" fontId="0" fillId="4" borderId="37" xfId="13" applyNumberFormat="1" applyFont="1" applyBorder="1" applyAlignment="1" applyProtection="1">
      <alignment horizontal="right"/>
      <protection locked="0"/>
    </xf>
    <xf numFmtId="4" fontId="37" fillId="4" borderId="26" xfId="17" applyNumberFormat="1" applyFill="1" applyBorder="1" applyAlignment="1" applyProtection="1">
      <protection locked="0"/>
    </xf>
    <xf numFmtId="165" fontId="1" fillId="4" borderId="0" xfId="12" applyBorder="1" applyAlignment="1" applyProtection="1">
      <alignment horizontal="right"/>
      <protection locked="0"/>
    </xf>
    <xf numFmtId="3" fontId="1" fillId="4" borderId="26" xfId="13" applyNumberFormat="1" applyBorder="1" applyAlignment="1" applyProtection="1">
      <alignment horizontal="right"/>
      <protection locked="0"/>
    </xf>
    <xf numFmtId="3" fontId="1" fillId="4" borderId="0" xfId="13" applyNumberFormat="1" applyBorder="1" applyAlignment="1" applyProtection="1">
      <alignment horizontal="right"/>
      <protection locked="0"/>
    </xf>
    <xf numFmtId="3" fontId="1" fillId="4" borderId="27" xfId="13" applyNumberFormat="1" applyBorder="1" applyAlignment="1" applyProtection="1">
      <alignment horizontal="right"/>
      <protection locked="0"/>
    </xf>
    <xf numFmtId="0" fontId="26" fillId="8" borderId="0" xfId="0" applyFont="1" applyFill="1" applyBorder="1" applyAlignment="1">
      <alignment horizontal="left"/>
    </xf>
  </cellXfs>
  <cellStyles count="28">
    <cellStyle name="Bad" xfId="26" builtinId="27"/>
    <cellStyle name="Border" xfId="18"/>
    <cellStyle name="Comma" xfId="1" builtinId="3"/>
    <cellStyle name="Comma [0]" xfId="16" builtinId="6" hidden="1"/>
    <cellStyle name="Comma 2" xfId="19"/>
    <cellStyle name="Edit check" xfId="25"/>
    <cellStyle name="Error checks" xfId="7"/>
    <cellStyle name="Error Warning" xfId="6"/>
    <cellStyle name="Hyperlink" xfId="5" builtinId="8"/>
    <cellStyle name="Info/Default #" xfId="11"/>
    <cellStyle name="Info/default %" xfId="10"/>
    <cellStyle name="Info/import #" xfId="4"/>
    <cellStyle name="Info/import %" xfId="3"/>
    <cellStyle name="Input #" xfId="13"/>
    <cellStyle name="Input %" xfId="12"/>
    <cellStyle name="Input2" xfId="17"/>
    <cellStyle name="Key Outputs" xfId="9"/>
    <cellStyle name="Key Outputs 2" xfId="20"/>
    <cellStyle name="Links from other files (green) style" xfId="8"/>
    <cellStyle name="Local import" xfId="22"/>
    <cellStyle name="No data" xfId="23"/>
    <cellStyle name="Normal" xfId="0" builtinId="0"/>
    <cellStyle name="Percent" xfId="14" builtinId="5"/>
    <cellStyle name="Percent 2" xfId="21"/>
    <cellStyle name="QA" xfId="2"/>
    <cellStyle name="QA Note" xfId="27"/>
    <cellStyle name="Title" xfId="15" builtinId="15" customBuiltin="1"/>
    <cellStyle name="Voluntary inputs" xfId="24"/>
  </cellStyles>
  <dxfs count="38">
    <dxf>
      <font>
        <b/>
        <i val="0"/>
        <color rgb="FF974706"/>
      </font>
    </dxf>
    <dxf>
      <font>
        <b/>
        <i val="0"/>
        <color rgb="FF974706"/>
      </font>
    </dxf>
    <dxf>
      <font>
        <b/>
        <i val="0"/>
        <color rgb="FF974706"/>
      </font>
    </dxf>
    <dxf>
      <font>
        <color theme="0"/>
      </font>
      <fill>
        <patternFill>
          <bgColor theme="1" tint="4.9989318521683403E-2"/>
        </patternFill>
      </fill>
    </dxf>
    <dxf>
      <font>
        <color theme="0"/>
      </font>
      <fill>
        <patternFill>
          <bgColor theme="1" tint="4.9989318521683403E-2"/>
        </patternFill>
      </fill>
    </dxf>
    <dxf>
      <fill>
        <patternFill>
          <bgColor theme="1" tint="4.9989318521683403E-2"/>
        </patternFill>
      </fill>
    </dxf>
    <dxf>
      <font>
        <color theme="0"/>
      </font>
      <fill>
        <patternFill>
          <bgColor theme="1" tint="4.9989318521683403E-2"/>
        </patternFill>
      </fill>
    </dxf>
    <dxf>
      <font>
        <color theme="0" tint="-0.24994659260841701"/>
      </font>
    </dxf>
    <dxf>
      <font>
        <color theme="0"/>
      </font>
      <fill>
        <patternFill>
          <bgColor theme="1" tint="4.9989318521683403E-2"/>
        </patternFill>
      </fill>
    </dxf>
    <dxf>
      <font>
        <color theme="0"/>
      </font>
      <fill>
        <patternFill>
          <bgColor theme="1" tint="4.9989318521683403E-2"/>
        </patternFill>
      </fill>
    </dxf>
    <dxf>
      <font>
        <color theme="0"/>
      </font>
      <fill>
        <patternFill>
          <bgColor theme="1" tint="4.9989318521683403E-2"/>
        </patternFill>
      </fill>
    </dxf>
    <dxf>
      <font>
        <color theme="0" tint="-0.34998626667073579"/>
      </font>
    </dxf>
    <dxf>
      <font>
        <b/>
        <i val="0"/>
        <strike val="0"/>
        <color theme="0" tint="-0.2499465926084170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ont>
        <b val="0"/>
        <i val="0"/>
        <color theme="0" tint="-0.34998626667073579"/>
      </font>
    </dxf>
    <dxf>
      <font>
        <b val="0"/>
        <i val="0"/>
        <color theme="0" tint="-0.14996795556505021"/>
      </font>
      <fill>
        <patternFill>
          <bgColor theme="0"/>
        </patternFill>
      </fill>
    </dxf>
    <dxf>
      <font>
        <b val="0"/>
        <i val="0"/>
        <color rgb="FF974706"/>
      </font>
    </dxf>
    <dxf>
      <font>
        <strike val="0"/>
        <color theme="0" tint="-0.499984740745262"/>
      </font>
      <fill>
        <patternFill>
          <bgColor theme="1"/>
        </patternFill>
      </fill>
    </dxf>
    <dxf>
      <font>
        <color theme="0"/>
      </font>
      <fill>
        <patternFill>
          <bgColor theme="1"/>
        </patternFill>
      </fill>
    </dxf>
    <dxf>
      <font>
        <b val="0"/>
        <i val="0"/>
        <color rgb="FFFF00FF"/>
      </font>
    </dxf>
    <dxf>
      <font>
        <color theme="0"/>
      </font>
      <fill>
        <patternFill>
          <bgColor theme="1" tint="4.9989318521683403E-2"/>
        </patternFill>
      </fill>
    </dxf>
    <dxf>
      <font>
        <color theme="0" tint="-0.34998626667073579"/>
      </font>
    </dxf>
    <dxf>
      <font>
        <color theme="0" tint="-0.34998626667073579"/>
      </font>
    </dxf>
    <dxf>
      <font>
        <strike val="0"/>
        <color theme="0" tint="-0.34998626667073579"/>
      </font>
    </dxf>
    <dxf>
      <font>
        <strike val="0"/>
        <color theme="0" tint="-0.34998626667073579"/>
      </font>
    </dxf>
    <dxf>
      <font>
        <color theme="0"/>
      </font>
      <fill>
        <patternFill>
          <bgColor theme="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rgb="FFFF00FF"/>
      </font>
    </dxf>
    <dxf>
      <font>
        <color theme="0" tint="-0.34998626667073579"/>
      </font>
    </dxf>
    <dxf>
      <font>
        <color rgb="FF9747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1C52"/>
      <rgbColor rgb="00B6C400"/>
      <rgbColor rgb="00DC0000"/>
      <rgbColor rgb="002C90CE"/>
      <rgbColor rgb="00EED084"/>
      <rgbColor rgb="006CB07E"/>
      <rgbColor rgb="00800000"/>
      <rgbColor rgb="00CCCCFF"/>
      <rgbColor rgb="00001C52"/>
      <rgbColor rgb="00B6C400"/>
      <rgbColor rgb="00DC0000"/>
      <rgbColor rgb="00001C52"/>
      <rgbColor rgb="00B6C400"/>
      <rgbColor rgb="00DC0000"/>
      <rgbColor rgb="00001C52"/>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6A6A6"/>
      <color rgb="FF974706"/>
      <color rgb="FFCCFFCC"/>
      <color rgb="FF0000FF"/>
      <color rgb="FFFF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38</xdr:row>
          <xdr:rowOff>76200</xdr:rowOff>
        </xdr:from>
        <xdr:to>
          <xdr:col>3</xdr:col>
          <xdr:colOff>1390650</xdr:colOff>
          <xdr:row>40</xdr:row>
          <xdr:rowOff>95250</xdr:rowOff>
        </xdr:to>
        <xdr:sp macro="" textlink="">
          <xdr:nvSpPr>
            <xdr:cNvPr id="883713" name="Check Box 1" hidden="1">
              <a:extLst>
                <a:ext uri="{63B3BB69-23CF-44E3-9099-C40C66FF867C}">
                  <a14:compatExt spid="_x0000_s883713"/>
                </a:ext>
                <a:ext uri="{FF2B5EF4-FFF2-40B4-BE49-F238E27FC236}">
                  <a16:creationId xmlns:a16="http://schemas.microsoft.com/office/drawing/2014/main" id="{00000000-0008-0000-0000-000001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Logic of entire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44</xdr:row>
          <xdr:rowOff>133350</xdr:rowOff>
        </xdr:from>
        <xdr:to>
          <xdr:col>3</xdr:col>
          <xdr:colOff>1390650</xdr:colOff>
          <xdr:row>47</xdr:row>
          <xdr:rowOff>19050</xdr:rowOff>
        </xdr:to>
        <xdr:sp macro="" textlink="">
          <xdr:nvSpPr>
            <xdr:cNvPr id="883714" name="Check Box 2" hidden="1">
              <a:extLst>
                <a:ext uri="{63B3BB69-23CF-44E3-9099-C40C66FF867C}">
                  <a14:compatExt spid="_x0000_s883714"/>
                </a:ext>
                <a:ext uri="{FF2B5EF4-FFF2-40B4-BE49-F238E27FC236}">
                  <a16:creationId xmlns:a16="http://schemas.microsoft.com/office/drawing/2014/main" id="{00000000-0008-0000-0000-000002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Logic of specified sections of model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1847850</xdr:colOff>
          <xdr:row>38</xdr:row>
          <xdr:rowOff>114300</xdr:rowOff>
        </xdr:from>
        <xdr:to>
          <xdr:col>5</xdr:col>
          <xdr:colOff>1123950</xdr:colOff>
          <xdr:row>40</xdr:row>
          <xdr:rowOff>133350</xdr:rowOff>
        </xdr:to>
        <xdr:sp macro="" textlink="">
          <xdr:nvSpPr>
            <xdr:cNvPr id="883715" name="Check Box 3" hidden="1">
              <a:extLst>
                <a:ext uri="{63B3BB69-23CF-44E3-9099-C40C66FF867C}">
                  <a14:compatExt spid="_x0000_s883715"/>
                </a:ext>
                <a:ext uri="{FF2B5EF4-FFF2-40B4-BE49-F238E27FC236}">
                  <a16:creationId xmlns:a16="http://schemas.microsoft.com/office/drawing/2014/main" id="{00000000-0008-0000-0000-000003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All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1885950</xdr:colOff>
          <xdr:row>44</xdr:row>
          <xdr:rowOff>133350</xdr:rowOff>
        </xdr:from>
        <xdr:to>
          <xdr:col>5</xdr:col>
          <xdr:colOff>1200150</xdr:colOff>
          <xdr:row>47</xdr:row>
          <xdr:rowOff>19050</xdr:rowOff>
        </xdr:to>
        <xdr:sp macro="" textlink="">
          <xdr:nvSpPr>
            <xdr:cNvPr id="883716" name="Check Box 4" hidden="1">
              <a:extLst>
                <a:ext uri="{63B3BB69-23CF-44E3-9099-C40C66FF867C}">
                  <a14:compatExt spid="_x0000_s883716"/>
                </a:ext>
                <a:ext uri="{FF2B5EF4-FFF2-40B4-BE49-F238E27FC236}">
                  <a16:creationId xmlns:a16="http://schemas.microsoft.com/office/drawing/2014/main" id="{00000000-0008-0000-0000-000004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Specific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133350</xdr:colOff>
          <xdr:row>26</xdr:row>
          <xdr:rowOff>38100</xdr:rowOff>
        </xdr:to>
        <xdr:sp macro="" textlink="">
          <xdr:nvSpPr>
            <xdr:cNvPr id="883717" name="Check Box 5" hidden="1">
              <a:extLst>
                <a:ext uri="{63B3BB69-23CF-44E3-9099-C40C66FF867C}">
                  <a14:compatExt spid="_x0000_s883717"/>
                </a:ext>
                <a:ext uri="{FF2B5EF4-FFF2-40B4-BE49-F238E27FC236}">
                  <a16:creationId xmlns:a16="http://schemas.microsoft.com/office/drawing/2014/main" id="{00000000-0008-0000-0000-000005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Information request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4</xdr:col>
          <xdr:colOff>76200</xdr:colOff>
          <xdr:row>30</xdr:row>
          <xdr:rowOff>19050</xdr:rowOff>
        </xdr:to>
        <xdr:sp macro="" textlink="">
          <xdr:nvSpPr>
            <xdr:cNvPr id="883718" name="Check Box 6" hidden="1">
              <a:extLst>
                <a:ext uri="{63B3BB69-23CF-44E3-9099-C40C66FF867C}">
                  <a14:compatExt spid="_x0000_s883718"/>
                </a:ext>
                <a:ext uri="{FF2B5EF4-FFF2-40B4-BE49-F238E27FC236}">
                  <a16:creationId xmlns:a16="http://schemas.microsoft.com/office/drawing/2014/main" id="{00000000-0008-0000-0000-000006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Draft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4</xdr:col>
          <xdr:colOff>76200</xdr:colOff>
          <xdr:row>32</xdr:row>
          <xdr:rowOff>19050</xdr:rowOff>
        </xdr:to>
        <xdr:sp macro="" textlink="">
          <xdr:nvSpPr>
            <xdr:cNvPr id="883719" name="Check Box 7" hidden="1">
              <a:extLst>
                <a:ext uri="{63B3BB69-23CF-44E3-9099-C40C66FF867C}">
                  <a14:compatExt spid="_x0000_s883719"/>
                </a:ext>
                <a:ext uri="{FF2B5EF4-FFF2-40B4-BE49-F238E27FC236}">
                  <a16:creationId xmlns:a16="http://schemas.microsoft.com/office/drawing/2014/main" id="{00000000-0008-0000-0000-000007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Final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19050</xdr:rowOff>
        </xdr:from>
        <xdr:to>
          <xdr:col>4</xdr:col>
          <xdr:colOff>152400</xdr:colOff>
          <xdr:row>28</xdr:row>
          <xdr:rowOff>38100</xdr:rowOff>
        </xdr:to>
        <xdr:sp macro="" textlink="">
          <xdr:nvSpPr>
            <xdr:cNvPr id="883720" name="Check Box 8" hidden="1">
              <a:extLst>
                <a:ext uri="{63B3BB69-23CF-44E3-9099-C40C66FF867C}">
                  <a14:compatExt spid="_x0000_s883720"/>
                </a:ext>
                <a:ext uri="{FF2B5EF4-FFF2-40B4-BE49-F238E27FC236}">
                  <a16:creationId xmlns:a16="http://schemas.microsoft.com/office/drawing/2014/main" id="{00000000-0008-0000-0000-000008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Issues Paper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3</xdr:col>
          <xdr:colOff>1028700</xdr:colOff>
          <xdr:row>34</xdr:row>
          <xdr:rowOff>19050</xdr:rowOff>
        </xdr:to>
        <xdr:sp macro="" textlink="">
          <xdr:nvSpPr>
            <xdr:cNvPr id="883721" name="Check Box 9" hidden="1">
              <a:extLst>
                <a:ext uri="{63B3BB69-23CF-44E3-9099-C40C66FF867C}">
                  <a14:compatExt spid="_x0000_s883721"/>
                </a:ext>
                <a:ext uri="{FF2B5EF4-FFF2-40B4-BE49-F238E27FC236}">
                  <a16:creationId xmlns:a16="http://schemas.microsoft.com/office/drawing/2014/main" id="{00000000-0008-0000-0000-000009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Other - Please describe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40</xdr:row>
          <xdr:rowOff>57150</xdr:rowOff>
        </xdr:from>
        <xdr:to>
          <xdr:col>4</xdr:col>
          <xdr:colOff>876300</xdr:colOff>
          <xdr:row>42</xdr:row>
          <xdr:rowOff>38100</xdr:rowOff>
        </xdr:to>
        <xdr:sp macro="" textlink="">
          <xdr:nvSpPr>
            <xdr:cNvPr id="883722" name="Check Box 10" hidden="1">
              <a:extLst>
                <a:ext uri="{63B3BB69-23CF-44E3-9099-C40C66FF867C}">
                  <a14:compatExt spid="_x0000_s883722"/>
                </a:ext>
                <a:ext uri="{FF2B5EF4-FFF2-40B4-BE49-F238E27FC236}">
                  <a16:creationId xmlns:a16="http://schemas.microsoft.com/office/drawing/2014/main" id="{00000000-0008-0000-0000-00000A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Comprehensive model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xdr:row>
          <xdr:rowOff>19050</xdr:rowOff>
        </xdr:from>
        <xdr:to>
          <xdr:col>4</xdr:col>
          <xdr:colOff>742950</xdr:colOff>
          <xdr:row>44</xdr:row>
          <xdr:rowOff>76200</xdr:rowOff>
        </xdr:to>
        <xdr:sp macro="" textlink="">
          <xdr:nvSpPr>
            <xdr:cNvPr id="883723" name="Check Box 11" hidden="1">
              <a:extLst>
                <a:ext uri="{63B3BB69-23CF-44E3-9099-C40C66FF867C}">
                  <a14:compatExt spid="_x0000_s883723"/>
                </a:ext>
                <a:ext uri="{FF2B5EF4-FFF2-40B4-BE49-F238E27FC236}">
                  <a16:creationId xmlns:a16="http://schemas.microsoft.com/office/drawing/2014/main" id="{00000000-0008-0000-0000-00000B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Moderate check e.g. simplified duplication of analysis*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42</xdr:row>
          <xdr:rowOff>19050</xdr:rowOff>
        </xdr:from>
        <xdr:to>
          <xdr:col>6</xdr:col>
          <xdr:colOff>647700</xdr:colOff>
          <xdr:row>44</xdr:row>
          <xdr:rowOff>19050</xdr:rowOff>
        </xdr:to>
        <xdr:sp macro="" textlink="">
          <xdr:nvSpPr>
            <xdr:cNvPr id="883724" name="Check Box 12" hidden="1">
              <a:extLst>
                <a:ext uri="{63B3BB69-23CF-44E3-9099-C40C66FF867C}">
                  <a14:compatExt spid="_x0000_s883724"/>
                </a:ext>
                <a:ext uri="{FF2B5EF4-FFF2-40B4-BE49-F238E27FC236}">
                  <a16:creationId xmlns:a16="http://schemas.microsoft.com/office/drawing/2014/main" id="{00000000-0008-0000-0000-00000C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Moderate check e.g. sampling of inputs*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40</xdr:row>
          <xdr:rowOff>57150</xdr:rowOff>
        </xdr:from>
        <xdr:to>
          <xdr:col>5</xdr:col>
          <xdr:colOff>2514600</xdr:colOff>
          <xdr:row>41</xdr:row>
          <xdr:rowOff>133350</xdr:rowOff>
        </xdr:to>
        <xdr:sp macro="" textlink="">
          <xdr:nvSpPr>
            <xdr:cNvPr id="883725" name="Check Box 13" hidden="1">
              <a:extLst>
                <a:ext uri="{63B3BB69-23CF-44E3-9099-C40C66FF867C}">
                  <a14:compatExt spid="_x0000_s883725"/>
                </a:ext>
                <a:ext uri="{FF2B5EF4-FFF2-40B4-BE49-F238E27FC236}">
                  <a16:creationId xmlns:a16="http://schemas.microsoft.com/office/drawing/2014/main" id="{00000000-0008-0000-0000-00000D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Comprehensive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46</xdr:row>
          <xdr:rowOff>76200</xdr:rowOff>
        </xdr:from>
        <xdr:to>
          <xdr:col>4</xdr:col>
          <xdr:colOff>723900</xdr:colOff>
          <xdr:row>48</xdr:row>
          <xdr:rowOff>95250</xdr:rowOff>
        </xdr:to>
        <xdr:sp macro="" textlink="">
          <xdr:nvSpPr>
            <xdr:cNvPr id="883726" name="Check Box 14" hidden="1">
              <a:extLst>
                <a:ext uri="{63B3BB69-23CF-44E3-9099-C40C66FF867C}">
                  <a14:compatExt spid="_x0000_s883726"/>
                </a:ext>
                <a:ext uri="{FF2B5EF4-FFF2-40B4-BE49-F238E27FC236}">
                  <a16:creationId xmlns:a16="http://schemas.microsoft.com/office/drawing/2014/main" id="{00000000-0008-0000-0000-00000E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Comprehensive model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48</xdr:row>
          <xdr:rowOff>38100</xdr:rowOff>
        </xdr:from>
        <xdr:to>
          <xdr:col>4</xdr:col>
          <xdr:colOff>1104900</xdr:colOff>
          <xdr:row>51</xdr:row>
          <xdr:rowOff>95250</xdr:rowOff>
        </xdr:to>
        <xdr:sp macro="" textlink="">
          <xdr:nvSpPr>
            <xdr:cNvPr id="883727" name="Check Box 15" hidden="1">
              <a:extLst>
                <a:ext uri="{63B3BB69-23CF-44E3-9099-C40C66FF867C}">
                  <a14:compatExt spid="_x0000_s883727"/>
                </a:ext>
                <a:ext uri="{FF2B5EF4-FFF2-40B4-BE49-F238E27FC236}">
                  <a16:creationId xmlns:a16="http://schemas.microsoft.com/office/drawing/2014/main" id="{00000000-0008-0000-0000-00000F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Moderate check e.g. simplified duplication of analysis*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46</xdr:row>
          <xdr:rowOff>38100</xdr:rowOff>
        </xdr:from>
        <xdr:to>
          <xdr:col>5</xdr:col>
          <xdr:colOff>2800350</xdr:colOff>
          <xdr:row>48</xdr:row>
          <xdr:rowOff>95250</xdr:rowOff>
        </xdr:to>
        <xdr:sp macro="" textlink="">
          <xdr:nvSpPr>
            <xdr:cNvPr id="883728" name="Check Box 16" hidden="1">
              <a:extLst>
                <a:ext uri="{63B3BB69-23CF-44E3-9099-C40C66FF867C}">
                  <a14:compatExt spid="_x0000_s883728"/>
                </a:ext>
                <a:ext uri="{FF2B5EF4-FFF2-40B4-BE49-F238E27FC236}">
                  <a16:creationId xmlns:a16="http://schemas.microsoft.com/office/drawing/2014/main" id="{00000000-0008-0000-0000-000010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Comprehensive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48</xdr:row>
          <xdr:rowOff>38100</xdr:rowOff>
        </xdr:from>
        <xdr:to>
          <xdr:col>6</xdr:col>
          <xdr:colOff>838200</xdr:colOff>
          <xdr:row>50</xdr:row>
          <xdr:rowOff>95250</xdr:rowOff>
        </xdr:to>
        <xdr:sp macro="" textlink="">
          <xdr:nvSpPr>
            <xdr:cNvPr id="883729" name="Check Box 17" hidden="1">
              <a:extLst>
                <a:ext uri="{63B3BB69-23CF-44E3-9099-C40C66FF867C}">
                  <a14:compatExt spid="_x0000_s883729"/>
                </a:ext>
                <a:ext uri="{FF2B5EF4-FFF2-40B4-BE49-F238E27FC236}">
                  <a16:creationId xmlns:a16="http://schemas.microsoft.com/office/drawing/2014/main" id="{00000000-0008-0000-0000-000011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Moderate check e.g. sampling of inputs* (required for medium risk)</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yourcouncil.nsw.gov.au/nsw-overview/finances/" TargetMode="External"/><Relationship Id="rId2" Type="http://schemas.openxmlformats.org/officeDocument/2006/relationships/hyperlink" Target="https://yourcouncil.nsw.gov.au/nsw-overview/finances/" TargetMode="External"/><Relationship Id="rId1" Type="http://schemas.openxmlformats.org/officeDocument/2006/relationships/hyperlink" Target="https://yourcouncil.nsw.gov.au/nsw-overview/finances/" TargetMode="External"/><Relationship Id="rId5" Type="http://schemas.openxmlformats.org/officeDocument/2006/relationships/printerSettings" Target="../printerSettings/printerSettings15.bin"/><Relationship Id="rId4" Type="http://schemas.openxmlformats.org/officeDocument/2006/relationships/hyperlink" Target="https://yourcouncil.nsw.gov.au/nsw-overview/finance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ocalgovernment@ipart.nsw.gov.au" TargetMode="External"/><Relationship Id="rId1" Type="http://schemas.openxmlformats.org/officeDocument/2006/relationships/hyperlink" Target="mailto:Jisoo.mok@ipart.nsw.gov.au"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tony_camenzuli@ipart.nsw.gov.a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49"/>
  <sheetViews>
    <sheetView workbookViewId="0"/>
  </sheetViews>
  <sheetFormatPr defaultColWidth="8.85546875" defaultRowHeight="12" x14ac:dyDescent="0.2"/>
  <cols>
    <col min="1" max="1" width="4.7109375" customWidth="1"/>
    <col min="2" max="2" width="3.42578125" customWidth="1"/>
    <col min="3" max="3" width="6.140625" customWidth="1"/>
    <col min="4" max="4" width="26.28515625" customWidth="1"/>
    <col min="5" max="5" width="29.42578125" customWidth="1"/>
    <col min="6" max="6" width="45.140625" customWidth="1"/>
    <col min="7" max="7" width="24.140625" customWidth="1"/>
    <col min="8" max="8" width="14.140625" customWidth="1"/>
    <col min="9" max="9" width="17" customWidth="1"/>
    <col min="10" max="10" width="27" customWidth="1"/>
    <col min="13" max="13" width="17.140625" customWidth="1"/>
    <col min="21" max="26" width="10.85546875" customWidth="1"/>
  </cols>
  <sheetData>
    <row r="1" spans="1:28" x14ac:dyDescent="0.2">
      <c r="A1" s="3"/>
      <c r="B1" s="3"/>
      <c r="C1" s="3"/>
      <c r="D1" s="3"/>
      <c r="E1" s="3"/>
      <c r="F1" s="3"/>
      <c r="G1" s="3"/>
      <c r="H1" s="3"/>
      <c r="I1" s="3"/>
      <c r="J1" s="3"/>
      <c r="K1" s="3"/>
      <c r="L1" s="3"/>
      <c r="M1" s="3"/>
      <c r="N1" s="3"/>
      <c r="O1" s="3"/>
      <c r="P1" s="3"/>
      <c r="Q1" s="3"/>
      <c r="R1" s="3"/>
      <c r="S1" s="3"/>
      <c r="T1" s="3"/>
      <c r="U1" s="3"/>
      <c r="V1" s="3"/>
      <c r="W1" s="3"/>
      <c r="X1" s="3"/>
      <c r="Y1" s="3"/>
      <c r="Z1" s="3"/>
    </row>
    <row r="2" spans="1:28" ht="15.75" x14ac:dyDescent="0.25">
      <c r="A2" s="3"/>
      <c r="B2" s="4" t="s">
        <v>0</v>
      </c>
      <c r="C2" s="3"/>
      <c r="D2" s="3"/>
      <c r="E2" s="432" t="s">
        <v>1</v>
      </c>
      <c r="F2" s="432"/>
      <c r="G2" s="432"/>
      <c r="H2" s="3"/>
      <c r="I2" s="3"/>
      <c r="J2" s="3"/>
      <c r="K2" s="3"/>
      <c r="L2" s="3"/>
      <c r="M2" s="3"/>
      <c r="N2" s="3"/>
      <c r="O2" s="3"/>
      <c r="P2" s="3"/>
      <c r="Q2" s="3"/>
      <c r="R2" s="3"/>
      <c r="S2" s="3"/>
      <c r="T2" s="3"/>
      <c r="U2" s="3"/>
      <c r="V2" s="3"/>
      <c r="W2" s="3"/>
      <c r="X2" s="3"/>
      <c r="Y2" s="3"/>
      <c r="Z2" s="3"/>
    </row>
    <row r="3" spans="1:28" ht="20.25" customHeight="1" x14ac:dyDescent="0.25">
      <c r="A3" s="3"/>
      <c r="B3" s="4" t="s">
        <v>2</v>
      </c>
      <c r="C3" s="3"/>
      <c r="D3" s="3"/>
      <c r="E3" s="432" t="s">
        <v>3</v>
      </c>
      <c r="F3" s="432"/>
      <c r="G3" s="438"/>
      <c r="H3" s="3"/>
      <c r="I3" s="3"/>
      <c r="J3" s="3"/>
      <c r="K3" s="3"/>
      <c r="L3" s="3"/>
      <c r="M3" s="3"/>
      <c r="N3" s="3"/>
      <c r="O3" s="3"/>
      <c r="P3" s="3"/>
      <c r="Q3" s="3"/>
      <c r="R3" s="3"/>
      <c r="S3" s="3"/>
      <c r="T3" s="3"/>
      <c r="U3" s="3"/>
      <c r="V3" s="3"/>
      <c r="W3" s="3"/>
      <c r="X3" s="3"/>
      <c r="Y3" s="3"/>
      <c r="Z3" s="3"/>
    </row>
    <row r="4" spans="1:28" ht="18.75" customHeight="1" x14ac:dyDescent="0.25">
      <c r="A4" s="3"/>
      <c r="B4" s="4" t="s">
        <v>4</v>
      </c>
      <c r="C4" s="3"/>
      <c r="D4" s="3"/>
      <c r="E4" s="432"/>
      <c r="F4" s="432"/>
      <c r="G4" s="438"/>
      <c r="H4" s="3"/>
      <c r="I4" s="3"/>
      <c r="J4" s="3"/>
      <c r="K4" s="3"/>
      <c r="L4" s="3"/>
      <c r="M4" s="3"/>
      <c r="N4" s="3"/>
      <c r="O4" s="3"/>
      <c r="P4" s="3"/>
      <c r="Q4" s="3"/>
      <c r="R4" s="3"/>
      <c r="S4" s="3"/>
      <c r="T4" s="3"/>
      <c r="U4" s="3"/>
      <c r="V4" s="3"/>
      <c r="W4" s="3"/>
      <c r="X4" s="3"/>
      <c r="Y4" s="3"/>
      <c r="Z4" s="3"/>
    </row>
    <row r="5" spans="1:28" ht="15.75" x14ac:dyDescent="0.25">
      <c r="A5" s="3"/>
      <c r="B5" s="4"/>
      <c r="C5" s="3"/>
      <c r="D5" s="3"/>
      <c r="E5" s="432"/>
      <c r="F5" s="432"/>
      <c r="G5" s="438"/>
      <c r="H5" s="439"/>
      <c r="I5" s="439"/>
      <c r="J5" s="3"/>
      <c r="K5" s="3"/>
      <c r="L5" s="3"/>
      <c r="M5" s="3"/>
      <c r="N5" s="3"/>
      <c r="O5" s="3"/>
      <c r="P5" s="3"/>
      <c r="Q5" s="3"/>
      <c r="R5" s="3"/>
      <c r="S5" s="3"/>
      <c r="T5" s="3"/>
      <c r="U5" s="3"/>
      <c r="V5" s="3"/>
      <c r="W5" s="3"/>
      <c r="X5" s="3"/>
      <c r="Y5" s="3"/>
      <c r="Z5" s="3"/>
    </row>
    <row r="6" spans="1:28" ht="18" customHeight="1" x14ac:dyDescent="0.25">
      <c r="A6" s="3"/>
      <c r="B6" s="4"/>
      <c r="C6" s="3"/>
      <c r="D6" s="3"/>
      <c r="E6" s="432"/>
      <c r="F6" s="432"/>
      <c r="G6" s="438"/>
      <c r="H6" s="439"/>
      <c r="I6" s="439"/>
      <c r="J6" s="3"/>
      <c r="K6" s="3"/>
      <c r="L6" s="3"/>
      <c r="M6" s="3"/>
      <c r="N6" s="3"/>
      <c r="O6" s="3"/>
      <c r="P6" s="3"/>
      <c r="Q6" s="3"/>
      <c r="R6" s="3"/>
      <c r="S6" s="3"/>
      <c r="T6" s="3"/>
      <c r="U6" s="3"/>
      <c r="V6" s="3"/>
      <c r="W6" s="3"/>
      <c r="X6" s="3"/>
      <c r="Y6" s="3"/>
      <c r="Z6" s="3"/>
    </row>
    <row r="7" spans="1:28" ht="15.75" x14ac:dyDescent="0.25">
      <c r="A7" s="3"/>
      <c r="B7" s="4"/>
      <c r="C7" s="3"/>
      <c r="D7" s="3"/>
      <c r="E7" s="3"/>
      <c r="F7" s="3"/>
      <c r="G7" s="3"/>
      <c r="H7" s="439"/>
      <c r="I7" s="439"/>
      <c r="J7" s="3"/>
      <c r="K7" s="3"/>
      <c r="L7" s="3"/>
      <c r="M7" s="3"/>
      <c r="N7" s="3"/>
      <c r="O7" s="3"/>
      <c r="P7" s="3"/>
      <c r="Q7" s="3"/>
      <c r="R7" s="3"/>
      <c r="S7" s="3"/>
      <c r="T7" s="3"/>
      <c r="U7" s="3"/>
      <c r="V7" s="3"/>
      <c r="W7" s="3"/>
      <c r="X7" s="3"/>
      <c r="Y7" s="3"/>
      <c r="Z7" s="3"/>
    </row>
    <row r="8" spans="1:28" ht="15.75" x14ac:dyDescent="0.25">
      <c r="A8" s="3"/>
      <c r="B8" s="4" t="s">
        <v>5</v>
      </c>
      <c r="C8" s="3"/>
      <c r="D8" s="3"/>
      <c r="E8" s="432" t="s">
        <v>6</v>
      </c>
      <c r="F8" s="432"/>
      <c r="G8" s="432"/>
      <c r="H8" s="3"/>
      <c r="I8" s="439"/>
      <c r="J8" s="3"/>
      <c r="K8" s="3"/>
      <c r="L8" s="3"/>
      <c r="M8" s="3"/>
      <c r="N8" s="3"/>
      <c r="O8" s="3"/>
      <c r="P8" s="3"/>
      <c r="Q8" s="3"/>
      <c r="R8" s="3"/>
      <c r="S8" s="3"/>
      <c r="T8" s="3"/>
      <c r="U8" s="3"/>
      <c r="V8" s="3"/>
      <c r="W8" s="3"/>
      <c r="X8" s="3"/>
      <c r="Y8" s="3"/>
      <c r="Z8" s="3"/>
    </row>
    <row r="9" spans="1:28" ht="31.5" customHeight="1" x14ac:dyDescent="0.25">
      <c r="A9" s="3"/>
      <c r="B9" s="4" t="s">
        <v>7</v>
      </c>
      <c r="C9" s="3"/>
      <c r="D9" s="3"/>
      <c r="E9" s="437" t="s">
        <v>8</v>
      </c>
      <c r="F9" s="438"/>
      <c r="G9" s="438"/>
      <c r="H9" s="3"/>
      <c r="I9" s="3"/>
      <c r="J9" s="424"/>
      <c r="K9" s="424"/>
      <c r="L9" s="424"/>
      <c r="M9" s="424"/>
      <c r="N9" s="424"/>
      <c r="O9" s="424"/>
      <c r="P9" s="424"/>
      <c r="Q9" s="424"/>
      <c r="R9" s="424"/>
      <c r="S9" s="424"/>
      <c r="T9" s="424"/>
      <c r="U9" s="424"/>
      <c r="V9" s="424"/>
      <c r="W9" s="424"/>
      <c r="X9" s="424"/>
      <c r="Y9" s="424"/>
      <c r="Z9" s="424"/>
      <c r="AA9" s="423"/>
      <c r="AB9" s="423"/>
    </row>
    <row r="10" spans="1:28" ht="27" customHeight="1" x14ac:dyDescent="0.25">
      <c r="A10" s="3"/>
      <c r="B10" s="4" t="s">
        <v>9</v>
      </c>
      <c r="C10" s="3"/>
      <c r="D10" s="3"/>
      <c r="E10" s="437" t="s">
        <v>10</v>
      </c>
      <c r="F10" s="3"/>
      <c r="G10" s="3"/>
      <c r="H10" s="424"/>
      <c r="I10" s="424"/>
      <c r="J10" s="424"/>
      <c r="K10" s="424"/>
      <c r="L10" s="424"/>
      <c r="M10" s="424"/>
      <c r="N10" s="424"/>
      <c r="O10" s="424"/>
      <c r="P10" s="424"/>
      <c r="Q10" s="424"/>
      <c r="R10" s="424"/>
      <c r="S10" s="424"/>
      <c r="T10" s="424"/>
      <c r="U10" s="424"/>
      <c r="V10" s="424"/>
      <c r="W10" s="424"/>
      <c r="X10" s="424"/>
      <c r="Y10" s="424"/>
      <c r="Z10" s="424"/>
      <c r="AA10" s="423"/>
      <c r="AB10" s="423"/>
    </row>
    <row r="11" spans="1:28" ht="27" customHeight="1" x14ac:dyDescent="0.2">
      <c r="A11" s="3"/>
      <c r="B11" s="436" t="s">
        <v>11</v>
      </c>
      <c r="C11" s="3"/>
      <c r="D11" s="3"/>
      <c r="E11" s="435"/>
      <c r="F11" s="3"/>
      <c r="G11" s="3"/>
      <c r="H11" s="424"/>
      <c r="I11" s="424"/>
      <c r="J11" s="424"/>
      <c r="K11" s="424"/>
      <c r="L11" s="424"/>
      <c r="M11" s="424"/>
      <c r="N11" s="424"/>
      <c r="O11" s="424"/>
      <c r="P11" s="424"/>
      <c r="Q11" s="424"/>
      <c r="R11" s="424"/>
      <c r="S11" s="424"/>
      <c r="T11" s="424"/>
      <c r="U11" s="424"/>
      <c r="V11" s="424"/>
      <c r="W11" s="424"/>
      <c r="X11" s="424"/>
      <c r="Y11" s="424"/>
      <c r="Z11" s="424"/>
      <c r="AA11" s="423"/>
      <c r="AB11" s="423"/>
    </row>
    <row r="12" spans="1:28" ht="18" customHeight="1" x14ac:dyDescent="0.2">
      <c r="A12" s="3"/>
      <c r="B12" s="2"/>
      <c r="C12" s="3"/>
      <c r="D12" s="3"/>
      <c r="E12" s="3"/>
      <c r="F12" s="3"/>
      <c r="G12" s="3"/>
      <c r="H12" s="424"/>
      <c r="I12" s="424"/>
      <c r="J12" s="424"/>
      <c r="K12" s="424"/>
      <c r="L12" s="424"/>
      <c r="M12" s="424"/>
      <c r="N12" s="424"/>
      <c r="O12" s="424"/>
      <c r="P12" s="424"/>
      <c r="Q12" s="424"/>
      <c r="R12" s="424"/>
      <c r="S12" s="424"/>
      <c r="T12" s="424"/>
      <c r="U12" s="424"/>
      <c r="V12" s="424"/>
      <c r="W12" s="424"/>
      <c r="X12" s="424"/>
      <c r="Y12" s="424"/>
      <c r="Z12" s="424"/>
      <c r="AA12" s="423"/>
      <c r="AB12" s="423"/>
    </row>
    <row r="13" spans="1:28" ht="15.75" x14ac:dyDescent="0.25">
      <c r="A13" s="3"/>
      <c r="B13" s="422" t="s">
        <v>12</v>
      </c>
      <c r="C13" s="18"/>
      <c r="D13" s="18"/>
      <c r="E13" s="18"/>
      <c r="F13" s="18"/>
      <c r="G13" s="18"/>
      <c r="H13" s="424"/>
      <c r="I13" s="424"/>
      <c r="J13" s="424"/>
      <c r="K13" s="424"/>
      <c r="L13" s="424"/>
      <c r="M13" s="424"/>
      <c r="N13" s="424"/>
      <c r="O13" s="424"/>
      <c r="P13" s="424"/>
      <c r="Q13" s="424"/>
      <c r="R13" s="424"/>
      <c r="S13" s="424"/>
      <c r="T13" s="424"/>
      <c r="U13" s="424"/>
      <c r="V13" s="424"/>
      <c r="W13" s="424"/>
      <c r="X13" s="424"/>
      <c r="Y13" s="424"/>
      <c r="Z13" s="424"/>
      <c r="AA13" s="423"/>
      <c r="AB13" s="423"/>
    </row>
    <row r="14" spans="1:28" s="433" customFormat="1" ht="12.75" thickBot="1" x14ac:dyDescent="0.25">
      <c r="A14" s="434"/>
      <c r="B14" s="431" t="s">
        <v>13</v>
      </c>
      <c r="C14" s="3"/>
      <c r="D14" s="3"/>
      <c r="E14" s="3"/>
      <c r="F14" s="3"/>
      <c r="G14" s="3"/>
      <c r="H14" s="424"/>
      <c r="I14" s="424"/>
      <c r="J14" s="424"/>
      <c r="K14" s="424"/>
      <c r="L14" s="434"/>
      <c r="M14" s="424"/>
      <c r="N14" s="424"/>
      <c r="O14" s="424"/>
      <c r="P14" s="424"/>
      <c r="Q14" s="424"/>
      <c r="R14" s="434"/>
      <c r="S14" s="434"/>
      <c r="T14" s="434"/>
      <c r="U14" s="434"/>
      <c r="V14" s="434"/>
      <c r="W14" s="434"/>
      <c r="X14" s="434"/>
      <c r="Y14" s="434"/>
      <c r="Z14" s="434"/>
    </row>
    <row r="15" spans="1:28" x14ac:dyDescent="0.2">
      <c r="A15" s="3"/>
      <c r="B15" s="428" t="s">
        <v>14</v>
      </c>
      <c r="C15" s="427"/>
      <c r="D15" s="427"/>
      <c r="E15" s="427"/>
      <c r="F15" s="427"/>
      <c r="G15" s="427"/>
      <c r="H15" s="424"/>
      <c r="I15" s="424"/>
      <c r="J15" s="424"/>
      <c r="K15" s="424"/>
      <c r="L15" s="424"/>
      <c r="M15" s="424"/>
      <c r="N15" s="424"/>
      <c r="O15" s="424"/>
      <c r="P15" s="424"/>
      <c r="Q15" s="424"/>
      <c r="R15" s="424"/>
      <c r="S15" s="424"/>
      <c r="T15" s="424"/>
      <c r="U15" s="424"/>
      <c r="V15" s="424"/>
      <c r="W15" s="424"/>
      <c r="X15" s="424"/>
      <c r="Y15" s="424"/>
      <c r="Z15" s="424"/>
      <c r="AA15" s="423"/>
      <c r="AB15" s="423"/>
    </row>
    <row r="16" spans="1:28" x14ac:dyDescent="0.2">
      <c r="A16" s="3"/>
      <c r="B16" s="441" t="s">
        <v>15</v>
      </c>
      <c r="C16" s="1"/>
      <c r="D16" s="1"/>
      <c r="E16" s="1"/>
      <c r="F16" s="1"/>
      <c r="G16" s="1"/>
      <c r="H16" s="424"/>
      <c r="I16" s="424"/>
      <c r="J16" s="424"/>
      <c r="K16" s="424"/>
      <c r="L16" s="424"/>
      <c r="M16" s="424"/>
      <c r="N16" s="424"/>
      <c r="O16" s="424"/>
      <c r="P16" s="424"/>
      <c r="Q16" s="424"/>
      <c r="R16" s="424"/>
      <c r="S16" s="424"/>
      <c r="T16" s="424"/>
      <c r="U16" s="424"/>
      <c r="V16" s="424"/>
      <c r="W16" s="424"/>
      <c r="X16" s="424"/>
      <c r="Y16" s="424"/>
      <c r="Z16" s="424"/>
      <c r="AA16" s="423"/>
      <c r="AB16" s="423"/>
    </row>
    <row r="17" spans="1:28" x14ac:dyDescent="0.2">
      <c r="A17" s="3"/>
      <c r="B17" s="441" t="s">
        <v>16</v>
      </c>
      <c r="C17" s="1"/>
      <c r="D17" s="1"/>
      <c r="E17" s="1"/>
      <c r="F17" s="1"/>
      <c r="G17" s="1"/>
      <c r="H17" s="424"/>
      <c r="I17" s="424"/>
      <c r="J17" s="424"/>
      <c r="K17" s="424"/>
      <c r="L17" s="424"/>
      <c r="M17" s="424"/>
      <c r="N17" s="424"/>
      <c r="O17" s="424"/>
      <c r="P17" s="424"/>
      <c r="Q17" s="424"/>
      <c r="R17" s="424"/>
      <c r="S17" s="424"/>
      <c r="T17" s="424"/>
      <c r="U17" s="424"/>
      <c r="V17" s="424"/>
      <c r="W17" s="424"/>
      <c r="X17" s="424"/>
      <c r="Y17" s="424"/>
      <c r="Z17" s="424"/>
      <c r="AA17" s="423"/>
      <c r="AB17" s="423"/>
    </row>
    <row r="18" spans="1:28" ht="12.75" thickBot="1" x14ac:dyDescent="0.25">
      <c r="A18" s="3"/>
      <c r="B18" s="426" t="s">
        <v>17</v>
      </c>
      <c r="C18" s="426"/>
      <c r="D18" s="426"/>
      <c r="E18" s="426"/>
      <c r="F18" s="426"/>
      <c r="G18" s="426"/>
      <c r="H18" s="424"/>
      <c r="I18" s="424"/>
      <c r="J18" s="424"/>
      <c r="K18" s="424"/>
      <c r="L18" s="424"/>
      <c r="M18" s="424"/>
      <c r="N18" s="424"/>
      <c r="O18" s="424"/>
      <c r="P18" s="424"/>
      <c r="Q18" s="424"/>
      <c r="R18" s="424"/>
      <c r="S18" s="424"/>
      <c r="T18" s="424"/>
      <c r="U18" s="424"/>
      <c r="V18" s="424"/>
      <c r="W18" s="424"/>
      <c r="X18" s="424"/>
      <c r="Y18" s="424"/>
      <c r="Z18" s="424"/>
      <c r="AA18" s="423"/>
      <c r="AB18" s="423"/>
    </row>
    <row r="19" spans="1:28" x14ac:dyDescent="0.2">
      <c r="A19" s="3"/>
      <c r="B19" s="3"/>
      <c r="C19" s="3"/>
      <c r="D19" s="3"/>
      <c r="E19" s="3"/>
      <c r="F19" s="3"/>
      <c r="G19" s="3"/>
      <c r="H19" s="424"/>
      <c r="I19" s="424"/>
      <c r="J19" s="424"/>
      <c r="K19" s="424"/>
      <c r="L19" s="424"/>
      <c r="M19" s="424"/>
      <c r="N19" s="424"/>
      <c r="O19" s="424"/>
      <c r="P19" s="424"/>
      <c r="Q19" s="424"/>
      <c r="R19" s="424"/>
      <c r="S19" s="424"/>
      <c r="T19" s="424"/>
      <c r="U19" s="424"/>
      <c r="V19" s="424"/>
      <c r="W19" s="424"/>
      <c r="X19" s="424"/>
      <c r="Y19" s="424"/>
      <c r="Z19" s="424"/>
      <c r="AA19" s="423"/>
      <c r="AB19" s="423"/>
    </row>
    <row r="20" spans="1:28" x14ac:dyDescent="0.2">
      <c r="A20" s="3"/>
      <c r="B20" s="3"/>
      <c r="C20" s="3"/>
      <c r="D20" s="3"/>
      <c r="E20" s="3"/>
      <c r="F20" s="3"/>
      <c r="G20" s="3"/>
      <c r="H20" s="424"/>
      <c r="I20" s="424"/>
      <c r="J20" s="424"/>
      <c r="K20" s="424"/>
      <c r="L20" s="424"/>
      <c r="M20" s="424"/>
      <c r="N20" s="424"/>
      <c r="O20" s="424"/>
      <c r="P20" s="424"/>
      <c r="Q20" s="424"/>
      <c r="R20" s="424"/>
      <c r="S20" s="424"/>
      <c r="T20" s="424"/>
      <c r="U20" s="424"/>
      <c r="V20" s="424"/>
      <c r="W20" s="424"/>
      <c r="X20" s="424"/>
      <c r="Y20" s="424"/>
      <c r="Z20" s="424"/>
      <c r="AA20" s="423"/>
      <c r="AB20" s="423"/>
    </row>
    <row r="21" spans="1:28" ht="15.75" x14ac:dyDescent="0.25">
      <c r="A21" s="3"/>
      <c r="B21" s="422" t="s">
        <v>18</v>
      </c>
      <c r="C21" s="18"/>
      <c r="D21" s="18"/>
      <c r="E21" s="18"/>
      <c r="F21" s="18"/>
      <c r="G21" s="18"/>
      <c r="H21" s="424"/>
      <c r="I21" s="424"/>
      <c r="J21" s="424"/>
      <c r="K21" s="424"/>
      <c r="L21" s="424"/>
      <c r="M21" s="424"/>
      <c r="N21" s="424"/>
      <c r="O21" s="424"/>
      <c r="P21" s="424"/>
      <c r="Q21" s="424"/>
      <c r="R21" s="424"/>
      <c r="S21" s="424"/>
      <c r="T21" s="424"/>
      <c r="U21" s="424"/>
      <c r="V21" s="424"/>
      <c r="W21" s="424"/>
      <c r="X21" s="424"/>
      <c r="Y21" s="424"/>
      <c r="Z21" s="424"/>
      <c r="AA21" s="423"/>
      <c r="AB21" s="423"/>
    </row>
    <row r="22" spans="1:28" x14ac:dyDescent="0.2">
      <c r="A22" s="3"/>
      <c r="B22" s="431" t="s">
        <v>19</v>
      </c>
      <c r="C22" s="3"/>
      <c r="D22" s="3"/>
      <c r="E22" s="3"/>
      <c r="F22" s="3"/>
      <c r="G22" s="3"/>
      <c r="H22" s="424"/>
      <c r="I22" s="424"/>
      <c r="J22" s="424"/>
      <c r="K22" s="424"/>
      <c r="L22" s="424"/>
      <c r="M22" s="424"/>
      <c r="N22" s="424"/>
      <c r="O22" s="424"/>
      <c r="P22" s="424"/>
      <c r="Q22" s="424"/>
      <c r="R22" s="424"/>
      <c r="S22" s="424"/>
      <c r="T22" s="424"/>
      <c r="U22" s="424"/>
      <c r="V22" s="424"/>
      <c r="W22" s="424"/>
      <c r="X22" s="424"/>
      <c r="Y22" s="424"/>
      <c r="Z22" s="424"/>
      <c r="AA22" s="423"/>
      <c r="AB22" s="423"/>
    </row>
    <row r="23" spans="1:28" x14ac:dyDescent="0.2">
      <c r="A23" s="3"/>
      <c r="B23" s="3"/>
      <c r="C23" s="3"/>
      <c r="D23" s="3"/>
      <c r="E23" s="3"/>
      <c r="F23" s="3"/>
      <c r="G23" s="3"/>
      <c r="H23" s="424"/>
      <c r="I23" s="424"/>
      <c r="J23" s="424"/>
      <c r="K23" s="424"/>
      <c r="L23" s="424"/>
      <c r="M23" s="424"/>
      <c r="N23" s="424"/>
      <c r="O23" s="424"/>
      <c r="P23" s="424"/>
      <c r="Q23" s="424"/>
      <c r="R23" s="424"/>
      <c r="S23" s="424"/>
      <c r="T23" s="424"/>
      <c r="U23" s="424"/>
      <c r="V23" s="424"/>
      <c r="W23" s="424"/>
      <c r="X23" s="424"/>
      <c r="Y23" s="424"/>
      <c r="Z23" s="424"/>
      <c r="AA23" s="423"/>
      <c r="AB23" s="423"/>
    </row>
    <row r="24" spans="1:28" x14ac:dyDescent="0.2">
      <c r="A24" s="3"/>
      <c r="B24" s="2" t="s">
        <v>20</v>
      </c>
      <c r="C24" s="3"/>
      <c r="D24" s="3"/>
      <c r="F24" s="39"/>
      <c r="G24" s="3"/>
      <c r="H24" s="424"/>
      <c r="I24" s="424"/>
      <c r="J24" s="424"/>
      <c r="K24" s="424"/>
      <c r="L24" s="424"/>
      <c r="M24" s="424"/>
      <c r="N24" s="424"/>
      <c r="O24" s="424"/>
      <c r="P24" s="424"/>
      <c r="Q24" s="424"/>
      <c r="R24" s="424"/>
      <c r="S24" s="424"/>
      <c r="T24" s="424"/>
      <c r="U24" s="424"/>
      <c r="V24" s="424"/>
      <c r="W24" s="424"/>
      <c r="X24" s="424"/>
      <c r="Y24" s="424"/>
      <c r="Z24" s="424"/>
      <c r="AA24" s="423"/>
      <c r="AB24" s="423"/>
    </row>
    <row r="25" spans="1:28" x14ac:dyDescent="0.2">
      <c r="A25" s="3"/>
      <c r="B25" s="3"/>
      <c r="C25" s="3"/>
      <c r="D25" s="3"/>
      <c r="E25" s="3"/>
      <c r="F25" s="3"/>
      <c r="G25" s="3"/>
      <c r="H25" s="424"/>
      <c r="I25" s="424"/>
      <c r="J25" s="424"/>
      <c r="K25" s="424"/>
      <c r="L25" s="424"/>
      <c r="M25" s="424"/>
      <c r="N25" s="424"/>
      <c r="O25" s="424"/>
      <c r="P25" s="424"/>
      <c r="Q25" s="424"/>
      <c r="R25" s="424"/>
      <c r="S25" s="424"/>
      <c r="T25" s="424"/>
      <c r="U25" s="424"/>
      <c r="V25" s="424"/>
      <c r="W25" s="424"/>
      <c r="X25" s="424"/>
      <c r="Y25" s="424"/>
      <c r="Z25" s="424"/>
      <c r="AA25" s="423"/>
      <c r="AB25" s="423"/>
    </row>
    <row r="26" spans="1:28" ht="10.5" customHeight="1" x14ac:dyDescent="0.2">
      <c r="A26" s="3"/>
      <c r="B26" s="3"/>
      <c r="C26" s="3"/>
      <c r="D26" s="3"/>
      <c r="E26" s="3"/>
      <c r="F26" s="3"/>
      <c r="G26" s="3"/>
      <c r="H26" s="424"/>
      <c r="I26" s="424"/>
      <c r="J26" s="424"/>
      <c r="K26" s="424"/>
      <c r="L26" s="424"/>
      <c r="M26" s="424"/>
      <c r="N26" s="424"/>
      <c r="O26" s="424"/>
      <c r="P26" s="424"/>
      <c r="Q26" s="424"/>
      <c r="R26" s="424"/>
      <c r="S26" s="424"/>
      <c r="T26" s="424"/>
      <c r="U26" s="424"/>
      <c r="V26" s="424"/>
      <c r="W26" s="424"/>
      <c r="X26" s="424"/>
      <c r="Y26" s="424"/>
      <c r="Z26" s="424"/>
      <c r="AA26" s="423"/>
      <c r="AB26" s="423"/>
    </row>
    <row r="27" spans="1:28" x14ac:dyDescent="0.2">
      <c r="A27" s="3"/>
      <c r="B27" s="3"/>
      <c r="C27" s="3"/>
      <c r="D27" s="3"/>
      <c r="E27" s="3"/>
      <c r="F27" s="3"/>
      <c r="G27" s="3"/>
      <c r="H27" s="424"/>
      <c r="I27" s="424"/>
      <c r="J27" s="424"/>
      <c r="K27" s="424"/>
      <c r="L27" s="424"/>
      <c r="M27" s="424"/>
      <c r="N27" s="424"/>
      <c r="O27" s="424"/>
      <c r="P27" s="424"/>
      <c r="Q27" s="424"/>
      <c r="R27" s="424"/>
      <c r="S27" s="424"/>
      <c r="T27" s="424"/>
      <c r="U27" s="424"/>
      <c r="V27" s="424"/>
      <c r="W27" s="424"/>
      <c r="X27" s="424"/>
      <c r="Y27" s="424"/>
      <c r="Z27" s="424"/>
      <c r="AA27" s="423"/>
      <c r="AB27" s="423"/>
    </row>
    <row r="28" spans="1:28" x14ac:dyDescent="0.2">
      <c r="A28" s="3"/>
      <c r="B28" s="3"/>
      <c r="C28" s="3"/>
      <c r="D28" s="3"/>
      <c r="E28" s="3"/>
      <c r="F28" s="3"/>
      <c r="G28" s="3"/>
      <c r="H28" s="424"/>
      <c r="I28" s="424"/>
      <c r="J28" s="424"/>
      <c r="K28" s="424"/>
      <c r="L28" s="424"/>
      <c r="M28" s="424"/>
      <c r="N28" s="424"/>
      <c r="O28" s="424"/>
      <c r="P28" s="424"/>
      <c r="Q28" s="424"/>
      <c r="R28" s="424"/>
      <c r="S28" s="424"/>
      <c r="T28" s="424"/>
      <c r="U28" s="424"/>
      <c r="V28" s="424"/>
      <c r="W28" s="424"/>
      <c r="X28" s="424"/>
      <c r="Y28" s="424"/>
      <c r="Z28" s="424"/>
      <c r="AA28" s="423"/>
      <c r="AB28" s="423"/>
    </row>
    <row r="29" spans="1:28" x14ac:dyDescent="0.2">
      <c r="A29" s="3"/>
      <c r="B29" s="3"/>
      <c r="C29" s="3"/>
      <c r="D29" s="3"/>
      <c r="E29" s="3"/>
      <c r="F29" s="3"/>
      <c r="G29" s="3"/>
      <c r="H29" s="424"/>
      <c r="I29" s="424"/>
      <c r="J29" s="424"/>
      <c r="K29" s="424"/>
      <c r="L29" s="424"/>
      <c r="M29" s="424"/>
      <c r="N29" s="424"/>
      <c r="O29" s="424"/>
      <c r="P29" s="424"/>
      <c r="Q29" s="424"/>
      <c r="R29" s="424"/>
      <c r="S29" s="424"/>
      <c r="T29" s="424"/>
      <c r="U29" s="424"/>
      <c r="V29" s="424"/>
      <c r="W29" s="424"/>
      <c r="X29" s="424"/>
      <c r="Y29" s="424"/>
      <c r="Z29" s="424"/>
      <c r="AA29" s="423"/>
      <c r="AB29" s="423"/>
    </row>
    <row r="30" spans="1:28" x14ac:dyDescent="0.2">
      <c r="A30" s="3"/>
      <c r="B30" s="3"/>
      <c r="C30" s="3"/>
      <c r="D30" s="3"/>
      <c r="E30" s="3"/>
      <c r="F30" s="3"/>
      <c r="G30" s="3"/>
      <c r="H30" s="424"/>
      <c r="I30" s="424"/>
      <c r="J30" s="424"/>
      <c r="K30" s="424"/>
      <c r="L30" s="424"/>
      <c r="M30" s="424"/>
      <c r="N30" s="424"/>
      <c r="O30" s="424"/>
      <c r="P30" s="424"/>
      <c r="Q30" s="424"/>
      <c r="R30" s="424"/>
      <c r="S30" s="424"/>
      <c r="T30" s="424"/>
      <c r="U30" s="424"/>
      <c r="V30" s="424"/>
      <c r="W30" s="424"/>
      <c r="X30" s="424"/>
      <c r="Y30" s="424"/>
      <c r="Z30" s="424"/>
      <c r="AA30" s="423"/>
      <c r="AB30" s="423"/>
    </row>
    <row r="31" spans="1:28" x14ac:dyDescent="0.2">
      <c r="A31" s="3"/>
      <c r="B31" s="3"/>
      <c r="C31" s="3"/>
      <c r="D31" s="3"/>
      <c r="E31" s="3"/>
      <c r="F31" s="3"/>
      <c r="G31" s="3"/>
      <c r="H31" s="424"/>
      <c r="I31" s="424"/>
      <c r="J31" s="424"/>
      <c r="K31" s="424"/>
      <c r="L31" s="424"/>
      <c r="M31" s="424"/>
      <c r="N31" s="424"/>
      <c r="O31" s="424"/>
      <c r="P31" s="424"/>
      <c r="Q31" s="424"/>
      <c r="R31" s="424"/>
      <c r="S31" s="424"/>
      <c r="T31" s="424"/>
      <c r="U31" s="424"/>
      <c r="V31" s="424"/>
      <c r="W31" s="424"/>
      <c r="X31" s="424"/>
      <c r="Y31" s="424"/>
      <c r="Z31" s="424"/>
      <c r="AA31" s="423"/>
      <c r="AB31" s="423"/>
    </row>
    <row r="32" spans="1:28" x14ac:dyDescent="0.2">
      <c r="A32" s="3"/>
      <c r="B32" s="3"/>
      <c r="C32" s="3"/>
      <c r="D32" s="3"/>
      <c r="E32" s="3"/>
      <c r="F32" s="3"/>
      <c r="G32" s="3"/>
      <c r="H32" s="424"/>
      <c r="I32" s="424"/>
      <c r="J32" s="424"/>
      <c r="K32" s="424"/>
      <c r="L32" s="424"/>
      <c r="M32" s="424"/>
      <c r="N32" s="424"/>
      <c r="O32" s="424"/>
      <c r="P32" s="424"/>
      <c r="Q32" s="424"/>
      <c r="R32" s="424"/>
      <c r="S32" s="424"/>
      <c r="T32" s="424"/>
      <c r="U32" s="424"/>
      <c r="V32" s="424"/>
      <c r="W32" s="424"/>
      <c r="X32" s="424"/>
      <c r="Y32" s="424"/>
      <c r="Z32" s="424"/>
      <c r="AA32" s="423"/>
      <c r="AB32" s="423"/>
    </row>
    <row r="33" spans="1:28" x14ac:dyDescent="0.2">
      <c r="A33" s="3"/>
      <c r="B33" s="3"/>
      <c r="C33" s="3"/>
      <c r="D33" s="3"/>
      <c r="E33" s="432"/>
      <c r="F33" s="432"/>
      <c r="G33" s="432"/>
      <c r="H33" s="424"/>
      <c r="I33" s="424"/>
      <c r="J33" s="424"/>
      <c r="K33" s="424"/>
      <c r="L33" s="424"/>
      <c r="M33" s="424"/>
      <c r="N33" s="424"/>
      <c r="O33" s="424"/>
      <c r="P33" s="424"/>
      <c r="Q33" s="424"/>
      <c r="R33" s="424"/>
      <c r="S33" s="424"/>
      <c r="T33" s="424"/>
      <c r="U33" s="424"/>
      <c r="V33" s="424"/>
      <c r="W33" s="424"/>
      <c r="X33" s="424"/>
      <c r="Y33" s="424"/>
      <c r="Z33" s="424"/>
      <c r="AA33" s="423"/>
      <c r="AB33" s="423"/>
    </row>
    <row r="34" spans="1:28" x14ac:dyDescent="0.2">
      <c r="A34" s="3"/>
      <c r="B34" s="3"/>
      <c r="C34" s="3"/>
      <c r="D34" s="3"/>
      <c r="E34" s="3"/>
      <c r="F34" s="3"/>
      <c r="G34" s="3"/>
      <c r="H34" s="424"/>
      <c r="I34" s="424"/>
      <c r="J34" s="424"/>
      <c r="K34" s="424"/>
      <c r="L34" s="424"/>
      <c r="M34" s="424"/>
      <c r="N34" s="424"/>
      <c r="O34" s="424"/>
      <c r="P34" s="424"/>
      <c r="Q34" s="424"/>
      <c r="R34" s="424"/>
      <c r="S34" s="424"/>
      <c r="T34" s="424"/>
      <c r="U34" s="424"/>
      <c r="V34" s="424"/>
      <c r="W34" s="424"/>
      <c r="X34" s="424"/>
      <c r="Y34" s="424"/>
      <c r="Z34" s="424"/>
      <c r="AA34" s="423"/>
      <c r="AB34" s="423"/>
    </row>
    <row r="35" spans="1:28" x14ac:dyDescent="0.2">
      <c r="A35" s="3"/>
      <c r="B35" s="3"/>
      <c r="C35" s="3"/>
      <c r="D35" s="3"/>
      <c r="E35" s="3"/>
      <c r="F35" s="3"/>
      <c r="G35" s="3"/>
      <c r="H35" s="424"/>
      <c r="I35" s="424"/>
      <c r="J35" s="424"/>
      <c r="K35" s="424"/>
      <c r="L35" s="424"/>
      <c r="M35" s="424"/>
      <c r="N35" s="424"/>
      <c r="O35" s="424"/>
      <c r="P35" s="424"/>
      <c r="Q35" s="424"/>
      <c r="R35" s="424"/>
      <c r="S35" s="424"/>
      <c r="T35" s="424"/>
      <c r="U35" s="424"/>
      <c r="V35" s="424"/>
      <c r="W35" s="424"/>
      <c r="X35" s="424"/>
      <c r="Y35" s="424"/>
      <c r="Z35" s="424"/>
      <c r="AA35" s="423"/>
      <c r="AB35" s="423"/>
    </row>
    <row r="36" spans="1:28" x14ac:dyDescent="0.2">
      <c r="A36" s="3"/>
      <c r="B36" s="2" t="s">
        <v>21</v>
      </c>
      <c r="C36" s="3"/>
      <c r="D36" s="3"/>
      <c r="E36" s="3"/>
      <c r="F36" s="3"/>
      <c r="G36" s="3"/>
      <c r="H36" s="424"/>
      <c r="I36" s="424"/>
      <c r="J36" s="424"/>
      <c r="K36" s="424"/>
      <c r="L36" s="424"/>
      <c r="M36" s="424"/>
      <c r="N36" s="424"/>
      <c r="O36" s="424"/>
      <c r="P36" s="424"/>
      <c r="Q36" s="424"/>
      <c r="R36" s="424"/>
      <c r="S36" s="424"/>
      <c r="T36" s="424"/>
      <c r="U36" s="424"/>
      <c r="V36" s="424"/>
      <c r="W36" s="424"/>
      <c r="X36" s="424"/>
      <c r="Y36" s="424"/>
      <c r="Z36" s="424"/>
      <c r="AA36" s="423"/>
      <c r="AB36" s="423"/>
    </row>
    <row r="37" spans="1:28" ht="5.25" customHeight="1" x14ac:dyDescent="0.2">
      <c r="A37" s="3"/>
      <c r="B37" s="2"/>
      <c r="C37" s="3"/>
      <c r="D37" s="3"/>
      <c r="E37" s="3"/>
      <c r="F37" s="3"/>
      <c r="G37" s="3"/>
      <c r="H37" s="424"/>
      <c r="I37" s="424"/>
      <c r="J37" s="424"/>
      <c r="K37" s="424"/>
      <c r="L37" s="424"/>
      <c r="M37" s="424"/>
      <c r="N37" s="424"/>
      <c r="O37" s="424"/>
      <c r="P37" s="424"/>
      <c r="Q37" s="424"/>
      <c r="R37" s="424"/>
      <c r="S37" s="424"/>
      <c r="T37" s="424"/>
      <c r="U37" s="424"/>
      <c r="V37" s="424"/>
      <c r="W37" s="424"/>
      <c r="X37" s="424"/>
      <c r="Y37" s="424"/>
      <c r="Z37" s="424"/>
      <c r="AA37" s="423"/>
      <c r="AB37" s="423"/>
    </row>
    <row r="38" spans="1:28" x14ac:dyDescent="0.2">
      <c r="A38" s="3"/>
      <c r="B38" s="2"/>
      <c r="C38" s="2" t="s">
        <v>22</v>
      </c>
      <c r="D38" s="2"/>
      <c r="F38" s="38" t="s">
        <v>23</v>
      </c>
      <c r="G38" s="3"/>
      <c r="H38" s="424"/>
      <c r="I38" s="424"/>
      <c r="J38" s="424"/>
      <c r="K38" s="424"/>
      <c r="L38" s="424"/>
      <c r="M38" s="424"/>
      <c r="N38" s="424"/>
      <c r="O38" s="424"/>
      <c r="P38" s="424"/>
      <c r="Q38" s="424"/>
      <c r="R38" s="424"/>
      <c r="S38" s="424"/>
      <c r="T38" s="424"/>
      <c r="U38" s="424"/>
      <c r="V38" s="424"/>
      <c r="W38" s="424"/>
      <c r="X38" s="424"/>
      <c r="Y38" s="424"/>
      <c r="Z38" s="424"/>
      <c r="AA38" s="423"/>
      <c r="AB38" s="423"/>
    </row>
    <row r="39" spans="1:28" x14ac:dyDescent="0.2">
      <c r="A39" s="3"/>
      <c r="B39" s="3"/>
      <c r="C39" s="3"/>
      <c r="D39" s="3"/>
      <c r="E39" s="3"/>
      <c r="F39" s="3"/>
      <c r="G39" s="3"/>
      <c r="H39" s="424"/>
      <c r="I39" s="424"/>
      <c r="J39" s="424"/>
      <c r="K39" s="424"/>
      <c r="L39" s="424"/>
      <c r="M39" s="424"/>
      <c r="N39" s="424"/>
      <c r="O39" s="424"/>
      <c r="P39" s="424"/>
      <c r="Q39" s="424"/>
      <c r="R39" s="424"/>
      <c r="S39" s="424"/>
      <c r="T39" s="424"/>
      <c r="U39" s="424"/>
      <c r="V39" s="424"/>
      <c r="W39" s="424"/>
      <c r="X39" s="424"/>
      <c r="Y39" s="424"/>
      <c r="Z39" s="424"/>
      <c r="AA39" s="423"/>
      <c r="AB39" s="423"/>
    </row>
    <row r="40" spans="1:28" x14ac:dyDescent="0.2">
      <c r="A40" s="3"/>
      <c r="B40" s="3"/>
      <c r="C40" s="3"/>
      <c r="D40" s="3"/>
      <c r="F40" s="3"/>
      <c r="G40" s="3"/>
      <c r="H40" s="424"/>
      <c r="I40" s="424"/>
      <c r="J40" s="424"/>
      <c r="K40" s="424"/>
      <c r="L40" s="424"/>
      <c r="M40" s="424"/>
      <c r="N40" s="424"/>
      <c r="O40" s="424"/>
      <c r="P40" s="424"/>
      <c r="Q40" s="424"/>
      <c r="R40" s="424"/>
      <c r="S40" s="424"/>
      <c r="T40" s="424"/>
      <c r="U40" s="424"/>
      <c r="V40" s="424"/>
      <c r="W40" s="424"/>
      <c r="X40" s="424"/>
      <c r="Y40" s="424"/>
      <c r="Z40" s="424"/>
      <c r="AA40" s="423"/>
      <c r="AB40" s="423"/>
    </row>
    <row r="41" spans="1:28" x14ac:dyDescent="0.2">
      <c r="A41" s="3"/>
      <c r="B41" s="3"/>
      <c r="C41" s="3"/>
      <c r="D41" s="3"/>
      <c r="F41" s="3"/>
      <c r="G41" s="3"/>
      <c r="H41" s="424"/>
      <c r="I41" s="424"/>
      <c r="J41" s="424"/>
      <c r="K41" s="424"/>
      <c r="L41" s="424"/>
      <c r="M41" s="424"/>
      <c r="N41" s="424"/>
      <c r="O41" s="424"/>
      <c r="P41" s="424"/>
      <c r="Q41" s="424"/>
      <c r="R41" s="424"/>
      <c r="S41" s="424"/>
      <c r="T41" s="424"/>
      <c r="U41" s="424"/>
      <c r="V41" s="424"/>
      <c r="W41" s="424"/>
      <c r="X41" s="424"/>
      <c r="Y41" s="424"/>
      <c r="Z41" s="424"/>
      <c r="AA41" s="423"/>
      <c r="AB41" s="423"/>
    </row>
    <row r="42" spans="1:28" x14ac:dyDescent="0.2">
      <c r="A42" s="3"/>
      <c r="B42" s="3"/>
      <c r="C42" s="3"/>
      <c r="D42" s="3"/>
      <c r="F42" s="3"/>
      <c r="G42" s="3"/>
      <c r="H42" s="424"/>
      <c r="I42" s="424"/>
      <c r="J42" s="424"/>
      <c r="K42" s="424"/>
      <c r="L42" s="424"/>
      <c r="M42" s="424"/>
      <c r="N42" s="424"/>
      <c r="O42" s="424"/>
      <c r="P42" s="424"/>
      <c r="Q42" s="424"/>
      <c r="R42" s="424"/>
      <c r="S42" s="424"/>
      <c r="T42" s="424"/>
      <c r="U42" s="424"/>
      <c r="V42" s="424"/>
      <c r="W42" s="424"/>
      <c r="X42" s="424"/>
      <c r="Y42" s="424"/>
      <c r="Z42" s="424"/>
      <c r="AA42" s="423"/>
      <c r="AB42" s="423"/>
    </row>
    <row r="43" spans="1:28" x14ac:dyDescent="0.2">
      <c r="A43" s="3"/>
      <c r="B43" s="3"/>
      <c r="C43" s="3"/>
      <c r="D43" s="3"/>
      <c r="F43" s="3"/>
      <c r="G43" s="3"/>
      <c r="H43" s="424"/>
      <c r="I43" s="424"/>
      <c r="J43" s="424"/>
      <c r="K43" s="424"/>
      <c r="L43" s="424"/>
      <c r="M43" s="424"/>
      <c r="N43" s="424"/>
      <c r="O43" s="424"/>
      <c r="P43" s="424"/>
      <c r="Q43" s="424"/>
      <c r="R43" s="424"/>
      <c r="S43" s="424"/>
      <c r="T43" s="424"/>
      <c r="U43" s="424"/>
      <c r="V43" s="424"/>
      <c r="W43" s="424"/>
      <c r="X43" s="424"/>
      <c r="Y43" s="424"/>
      <c r="Z43" s="424"/>
      <c r="AA43" s="423"/>
      <c r="AB43" s="423"/>
    </row>
    <row r="44" spans="1:28" x14ac:dyDescent="0.2">
      <c r="A44" s="3"/>
      <c r="B44" s="3"/>
      <c r="C44" s="3"/>
      <c r="D44" s="3"/>
      <c r="F44" s="3"/>
      <c r="G44" s="3"/>
      <c r="H44" s="424"/>
      <c r="I44" s="424"/>
      <c r="J44" s="424"/>
      <c r="K44" s="424"/>
      <c r="L44" s="424"/>
      <c r="M44" s="424"/>
      <c r="N44" s="424"/>
      <c r="O44" s="424"/>
      <c r="P44" s="424"/>
      <c r="Q44" s="424"/>
      <c r="R44" s="424"/>
      <c r="S44" s="424"/>
      <c r="T44" s="424"/>
      <c r="U44" s="424"/>
      <c r="V44" s="424"/>
      <c r="W44" s="424"/>
      <c r="X44" s="424"/>
      <c r="Y44" s="424"/>
      <c r="Z44" s="424"/>
      <c r="AA44" s="423"/>
      <c r="AB44" s="423"/>
    </row>
    <row r="45" spans="1:28" x14ac:dyDescent="0.2">
      <c r="A45" s="3"/>
      <c r="B45" s="3"/>
      <c r="C45" s="3"/>
      <c r="D45" s="3"/>
      <c r="F45" s="3"/>
      <c r="G45" s="3"/>
      <c r="H45" s="424"/>
      <c r="I45" s="424"/>
      <c r="J45" s="424"/>
      <c r="K45" s="424"/>
      <c r="L45" s="424"/>
      <c r="M45" s="424"/>
      <c r="N45" s="424"/>
      <c r="O45" s="424"/>
      <c r="P45" s="424"/>
      <c r="Q45" s="424"/>
      <c r="R45" s="424"/>
      <c r="S45" s="424"/>
      <c r="T45" s="424"/>
      <c r="U45" s="424"/>
      <c r="V45" s="424"/>
      <c r="W45" s="424"/>
      <c r="X45" s="424"/>
      <c r="Y45" s="424"/>
      <c r="Z45" s="424"/>
      <c r="AA45" s="423"/>
      <c r="AB45" s="423"/>
    </row>
    <row r="46" spans="1:28" x14ac:dyDescent="0.2">
      <c r="A46" s="3"/>
      <c r="B46" s="3"/>
      <c r="C46" s="3"/>
      <c r="D46" s="3"/>
      <c r="E46" s="3"/>
      <c r="F46" s="3"/>
      <c r="G46" s="3"/>
      <c r="H46" s="424"/>
      <c r="I46" s="424"/>
      <c r="J46" s="424"/>
      <c r="K46" s="424"/>
      <c r="L46" s="424"/>
      <c r="M46" s="424"/>
      <c r="N46" s="424"/>
      <c r="O46" s="424"/>
      <c r="P46" s="424"/>
      <c r="Q46" s="424"/>
      <c r="R46" s="424"/>
      <c r="S46" s="424"/>
      <c r="T46" s="424"/>
      <c r="U46" s="424"/>
      <c r="V46" s="424"/>
      <c r="W46" s="424"/>
      <c r="X46" s="424"/>
      <c r="Y46" s="424"/>
      <c r="Z46" s="424"/>
      <c r="AA46" s="423"/>
      <c r="AB46" s="423"/>
    </row>
    <row r="47" spans="1:28" x14ac:dyDescent="0.2">
      <c r="A47" s="3"/>
      <c r="B47" s="3"/>
      <c r="C47" s="3"/>
      <c r="D47" s="3"/>
      <c r="E47" s="3"/>
      <c r="F47" s="3"/>
      <c r="G47" s="3"/>
      <c r="H47" s="424"/>
      <c r="I47" s="424"/>
      <c r="J47" s="424"/>
      <c r="K47" s="424"/>
      <c r="L47" s="424"/>
      <c r="M47" s="424"/>
      <c r="N47" s="424"/>
      <c r="O47" s="424"/>
      <c r="P47" s="424"/>
      <c r="Q47" s="424"/>
      <c r="R47" s="424"/>
      <c r="S47" s="424"/>
      <c r="T47" s="424"/>
      <c r="U47" s="424"/>
      <c r="V47" s="424"/>
      <c r="W47" s="424"/>
      <c r="X47" s="424"/>
      <c r="Y47" s="424"/>
      <c r="Z47" s="424"/>
      <c r="AA47" s="423"/>
      <c r="AB47" s="423"/>
    </row>
    <row r="48" spans="1:28" x14ac:dyDescent="0.2">
      <c r="A48" s="3"/>
      <c r="B48" s="3"/>
      <c r="C48" s="3"/>
      <c r="D48" s="3"/>
      <c r="E48" s="3"/>
      <c r="F48" s="3"/>
      <c r="G48" s="3"/>
      <c r="H48" s="424"/>
      <c r="I48" s="424"/>
      <c r="J48" s="424"/>
      <c r="K48" s="424"/>
      <c r="L48" s="424"/>
      <c r="M48" s="424"/>
      <c r="N48" s="424"/>
      <c r="O48" s="424"/>
      <c r="P48" s="424"/>
      <c r="Q48" s="424"/>
      <c r="R48" s="424"/>
      <c r="S48" s="424"/>
      <c r="T48" s="424"/>
      <c r="U48" s="424"/>
      <c r="V48" s="424"/>
      <c r="W48" s="424"/>
      <c r="X48" s="424"/>
      <c r="Y48" s="424"/>
      <c r="Z48" s="424"/>
      <c r="AA48" s="423"/>
      <c r="AB48" s="423"/>
    </row>
    <row r="49" spans="1:28" x14ac:dyDescent="0.2">
      <c r="A49" s="3"/>
      <c r="B49" s="3"/>
      <c r="C49" s="3"/>
      <c r="D49" s="3"/>
      <c r="E49" s="3"/>
      <c r="F49" s="3"/>
      <c r="G49" s="3"/>
      <c r="H49" s="424"/>
      <c r="I49" s="424"/>
      <c r="J49" s="424"/>
      <c r="K49" s="424"/>
      <c r="L49" s="424"/>
      <c r="M49" s="424"/>
      <c r="N49" s="424"/>
      <c r="O49" s="424"/>
      <c r="P49" s="424"/>
      <c r="Q49" s="424"/>
      <c r="R49" s="424"/>
      <c r="S49" s="424"/>
      <c r="T49" s="424"/>
      <c r="U49" s="424"/>
      <c r="V49" s="424"/>
      <c r="W49" s="424"/>
      <c r="X49" s="424"/>
      <c r="Y49" s="424"/>
      <c r="Z49" s="424"/>
      <c r="AA49" s="423"/>
      <c r="AB49" s="423"/>
    </row>
    <row r="50" spans="1:28" x14ac:dyDescent="0.2">
      <c r="A50" s="3"/>
      <c r="B50" s="3"/>
      <c r="C50" s="3"/>
      <c r="D50" s="3"/>
      <c r="E50" s="3"/>
      <c r="F50" s="3"/>
      <c r="G50" s="3"/>
      <c r="H50" s="424"/>
      <c r="I50" s="424"/>
      <c r="J50" s="424"/>
      <c r="K50" s="424"/>
      <c r="L50" s="424"/>
      <c r="M50" s="424"/>
      <c r="N50" s="424"/>
      <c r="O50" s="424"/>
      <c r="P50" s="424"/>
      <c r="Q50" s="424"/>
      <c r="R50" s="424"/>
      <c r="S50" s="424"/>
      <c r="T50" s="424"/>
      <c r="U50" s="424"/>
      <c r="V50" s="424"/>
      <c r="W50" s="424"/>
      <c r="X50" s="424"/>
      <c r="Y50" s="424"/>
      <c r="Z50" s="424"/>
      <c r="AA50" s="423"/>
      <c r="AB50" s="423"/>
    </row>
    <row r="51" spans="1:28" x14ac:dyDescent="0.2">
      <c r="A51" s="3"/>
      <c r="B51" s="3"/>
      <c r="C51" s="3"/>
      <c r="D51" s="3"/>
      <c r="E51" s="3"/>
      <c r="F51" s="3"/>
      <c r="G51" s="3"/>
      <c r="H51" s="424"/>
      <c r="I51" s="424"/>
      <c r="J51" s="424"/>
      <c r="K51" s="424"/>
      <c r="L51" s="424"/>
      <c r="M51" s="424"/>
      <c r="N51" s="424"/>
      <c r="O51" s="424"/>
      <c r="P51" s="424"/>
      <c r="Q51" s="424"/>
      <c r="R51" s="424"/>
      <c r="S51" s="424"/>
      <c r="T51" s="424"/>
      <c r="U51" s="424"/>
      <c r="V51" s="424"/>
      <c r="W51" s="424"/>
      <c r="X51" s="424"/>
      <c r="Y51" s="424"/>
      <c r="Z51" s="424"/>
      <c r="AA51" s="423"/>
      <c r="AB51" s="423"/>
    </row>
    <row r="52" spans="1:28" x14ac:dyDescent="0.2">
      <c r="A52" s="3"/>
      <c r="B52" s="3" t="s">
        <v>24</v>
      </c>
      <c r="C52" s="3"/>
      <c r="D52" s="3"/>
      <c r="E52" s="3"/>
      <c r="F52" s="3"/>
      <c r="G52" s="3"/>
      <c r="H52" s="424"/>
      <c r="I52" s="424"/>
      <c r="J52" s="424"/>
      <c r="K52" s="424"/>
      <c r="L52" s="424"/>
      <c r="M52" s="424"/>
      <c r="N52" s="424"/>
      <c r="O52" s="424"/>
      <c r="P52" s="424"/>
      <c r="Q52" s="424"/>
      <c r="R52" s="424"/>
      <c r="S52" s="424"/>
      <c r="T52" s="424"/>
      <c r="U52" s="424"/>
      <c r="V52" s="424"/>
      <c r="W52" s="424"/>
      <c r="X52" s="424"/>
      <c r="Y52" s="424"/>
      <c r="Z52" s="424"/>
      <c r="AA52" s="423"/>
      <c r="AB52" s="423"/>
    </row>
    <row r="53" spans="1:28" x14ac:dyDescent="0.2">
      <c r="A53" s="3"/>
      <c r="B53" s="3"/>
      <c r="C53" s="3"/>
      <c r="D53" s="3"/>
      <c r="E53" s="3"/>
      <c r="F53" s="3"/>
      <c r="G53" s="3"/>
      <c r="H53" s="424"/>
      <c r="I53" s="424"/>
      <c r="J53" s="424"/>
      <c r="K53" s="424"/>
      <c r="L53" s="424"/>
      <c r="M53" s="424"/>
      <c r="N53" s="424"/>
      <c r="O53" s="424"/>
      <c r="P53" s="424"/>
      <c r="Q53" s="424"/>
      <c r="R53" s="424"/>
      <c r="S53" s="424"/>
      <c r="T53" s="424"/>
      <c r="U53" s="424"/>
      <c r="V53" s="424"/>
      <c r="W53" s="424"/>
      <c r="X53" s="424"/>
      <c r="Y53" s="424"/>
      <c r="Z53" s="424"/>
      <c r="AA53" s="423"/>
      <c r="AB53" s="423"/>
    </row>
    <row r="54" spans="1:28" x14ac:dyDescent="0.2">
      <c r="A54" s="3"/>
      <c r="B54" s="3"/>
      <c r="C54" s="3"/>
      <c r="D54" s="3"/>
      <c r="E54" s="3"/>
      <c r="F54" s="3"/>
      <c r="G54" s="3"/>
      <c r="H54" s="424"/>
      <c r="I54" s="424"/>
      <c r="J54" s="424"/>
      <c r="K54" s="424"/>
      <c r="L54" s="424"/>
      <c r="M54" s="424"/>
      <c r="N54" s="424"/>
      <c r="O54" s="424"/>
      <c r="P54" s="424"/>
      <c r="Q54" s="424"/>
      <c r="R54" s="424"/>
      <c r="S54" s="424"/>
      <c r="T54" s="424"/>
      <c r="U54" s="424"/>
      <c r="V54" s="424"/>
      <c r="W54" s="424"/>
      <c r="X54" s="424"/>
      <c r="Y54" s="424"/>
      <c r="Z54" s="424"/>
      <c r="AA54" s="423"/>
      <c r="AB54" s="423"/>
    </row>
    <row r="55" spans="1:28" x14ac:dyDescent="0.2">
      <c r="A55" s="3"/>
      <c r="B55" s="2" t="s">
        <v>25</v>
      </c>
      <c r="C55" s="3"/>
      <c r="D55" s="3"/>
      <c r="E55" s="3"/>
      <c r="F55" s="3"/>
      <c r="G55" s="3"/>
      <c r="H55" s="424"/>
      <c r="I55" s="424"/>
      <c r="J55" s="424"/>
      <c r="K55" s="424"/>
      <c r="L55" s="424"/>
      <c r="M55" s="424"/>
      <c r="N55" s="424"/>
      <c r="O55" s="424"/>
      <c r="P55" s="424"/>
      <c r="Q55" s="424"/>
      <c r="R55" s="424"/>
      <c r="S55" s="424"/>
      <c r="T55" s="424"/>
      <c r="U55" s="424"/>
      <c r="V55" s="424"/>
      <c r="W55" s="424"/>
      <c r="X55" s="424"/>
      <c r="Y55" s="424"/>
      <c r="Z55" s="424"/>
      <c r="AA55" s="423"/>
      <c r="AB55" s="423"/>
    </row>
    <row r="56" spans="1:28" x14ac:dyDescent="0.2">
      <c r="A56" s="3"/>
      <c r="B56" s="431" t="s">
        <v>26</v>
      </c>
      <c r="C56" s="429"/>
      <c r="D56" s="429"/>
      <c r="E56" s="429"/>
      <c r="F56" s="429"/>
      <c r="G56" s="429"/>
      <c r="H56" s="429"/>
      <c r="I56" s="424"/>
      <c r="J56" s="424"/>
      <c r="K56" s="424"/>
      <c r="L56" s="3"/>
      <c r="M56" s="424"/>
      <c r="N56" s="424"/>
      <c r="O56" s="424"/>
      <c r="P56" s="424"/>
      <c r="Q56" s="424"/>
      <c r="R56" s="424"/>
      <c r="S56" s="424"/>
      <c r="T56" s="424"/>
      <c r="U56" s="424"/>
      <c r="V56" s="424"/>
      <c r="W56" s="424"/>
      <c r="X56" s="424"/>
      <c r="Y56" s="424"/>
      <c r="Z56" s="424"/>
      <c r="AA56" s="423"/>
      <c r="AB56" s="423"/>
    </row>
    <row r="57" spans="1:28" x14ac:dyDescent="0.2">
      <c r="A57" s="3"/>
      <c r="B57" s="430" t="s">
        <v>27</v>
      </c>
      <c r="C57" s="429"/>
      <c r="D57" s="429"/>
      <c r="E57" s="429"/>
      <c r="F57" s="429"/>
      <c r="G57" s="429"/>
      <c r="H57" s="429"/>
      <c r="I57" s="424"/>
      <c r="J57" s="424"/>
      <c r="K57" s="424"/>
      <c r="L57" s="3"/>
      <c r="M57" s="424"/>
      <c r="N57" s="424"/>
      <c r="O57" s="424"/>
      <c r="P57" s="424"/>
      <c r="Q57" s="424"/>
      <c r="R57" s="424"/>
      <c r="S57" s="424"/>
      <c r="T57" s="424"/>
      <c r="U57" s="424"/>
      <c r="V57" s="424"/>
      <c r="W57" s="424"/>
      <c r="X57" s="424"/>
      <c r="Y57" s="424"/>
      <c r="Z57" s="424"/>
      <c r="AA57" s="423"/>
      <c r="AB57" s="423"/>
    </row>
    <row r="58" spans="1:28" ht="12.75" thickBot="1" x14ac:dyDescent="0.25">
      <c r="A58" s="3"/>
      <c r="B58" s="430" t="s">
        <v>28</v>
      </c>
      <c r="C58" s="429"/>
      <c r="D58" s="429"/>
      <c r="E58" s="429"/>
      <c r="F58" s="429"/>
      <c r="G58" s="429"/>
      <c r="H58" s="429"/>
      <c r="I58" s="424"/>
      <c r="J58" s="424"/>
      <c r="K58" s="424"/>
      <c r="L58" s="3"/>
      <c r="M58" s="424"/>
      <c r="N58" s="424"/>
      <c r="O58" s="424"/>
      <c r="P58" s="424"/>
      <c r="Q58" s="424"/>
      <c r="R58" s="424"/>
      <c r="S58" s="424"/>
      <c r="T58" s="424"/>
      <c r="U58" s="424"/>
      <c r="V58" s="424"/>
      <c r="W58" s="424"/>
      <c r="X58" s="424"/>
      <c r="Y58" s="424"/>
      <c r="Z58" s="424"/>
      <c r="AA58" s="423"/>
      <c r="AB58" s="423"/>
    </row>
    <row r="59" spans="1:28" x14ac:dyDescent="0.2">
      <c r="A59" s="3"/>
      <c r="B59" s="440" t="s">
        <v>29</v>
      </c>
      <c r="C59" s="427"/>
      <c r="D59" s="427"/>
      <c r="E59" s="427"/>
      <c r="F59" s="427"/>
      <c r="G59" s="427"/>
      <c r="H59" s="424"/>
      <c r="I59" s="424"/>
      <c r="J59" s="424"/>
      <c r="K59" s="424"/>
      <c r="L59" s="3"/>
      <c r="M59" s="424"/>
      <c r="N59" s="424"/>
      <c r="O59" s="424"/>
      <c r="P59" s="424"/>
      <c r="Q59" s="424"/>
      <c r="R59" s="424"/>
      <c r="S59" s="424"/>
      <c r="T59" s="424"/>
      <c r="U59" s="424"/>
      <c r="V59" s="424"/>
      <c r="W59" s="424"/>
      <c r="X59" s="424"/>
      <c r="Y59" s="424"/>
      <c r="Z59" s="424"/>
      <c r="AA59" s="423"/>
      <c r="AB59" s="423"/>
    </row>
    <row r="60" spans="1:28" x14ac:dyDescent="0.2">
      <c r="A60" s="3"/>
      <c r="B60" s="3" t="s">
        <v>30</v>
      </c>
      <c r="C60" s="3"/>
      <c r="D60" s="3"/>
      <c r="E60" s="3"/>
      <c r="F60" s="3"/>
      <c r="G60" s="3"/>
      <c r="H60" s="424"/>
      <c r="I60" s="424"/>
      <c r="J60" s="3"/>
      <c r="K60" s="424"/>
      <c r="L60" s="2"/>
      <c r="M60" s="424"/>
      <c r="N60" s="424"/>
      <c r="O60" s="424"/>
      <c r="P60" s="424"/>
      <c r="Q60" s="424"/>
      <c r="R60" s="424"/>
      <c r="S60" s="424"/>
      <c r="T60" s="424"/>
      <c r="U60" s="424"/>
      <c r="V60" s="424"/>
      <c r="W60" s="424"/>
      <c r="X60" s="424"/>
      <c r="Y60" s="424"/>
      <c r="Z60" s="424"/>
      <c r="AA60" s="423"/>
      <c r="AB60" s="423"/>
    </row>
    <row r="61" spans="1:28" x14ac:dyDescent="0.2">
      <c r="A61" s="3"/>
      <c r="B61" s="3" t="s">
        <v>31</v>
      </c>
      <c r="C61" s="3"/>
      <c r="D61" s="3"/>
      <c r="E61" s="3"/>
      <c r="F61" s="3"/>
      <c r="G61" s="3"/>
      <c r="H61" s="424"/>
      <c r="I61" s="3"/>
      <c r="J61" s="3"/>
      <c r="K61" s="424"/>
      <c r="L61" s="2"/>
      <c r="M61" s="424"/>
      <c r="N61" s="424"/>
      <c r="O61" s="424"/>
      <c r="P61" s="424"/>
      <c r="Q61" s="424"/>
      <c r="R61" s="424"/>
      <c r="S61" s="424"/>
      <c r="T61" s="424"/>
      <c r="U61" s="424"/>
      <c r="V61" s="424"/>
      <c r="W61" s="424"/>
      <c r="X61" s="424"/>
      <c r="Y61" s="424"/>
      <c r="Z61" s="424"/>
      <c r="AA61" s="423"/>
      <c r="AB61" s="423"/>
    </row>
    <row r="62" spans="1:28" x14ac:dyDescent="0.2">
      <c r="A62" s="3"/>
      <c r="B62" s="3" t="s">
        <v>32</v>
      </c>
      <c r="C62" s="3"/>
      <c r="D62" s="3"/>
      <c r="E62" s="3"/>
      <c r="F62" s="3"/>
      <c r="G62" s="3"/>
      <c r="H62" s="424"/>
      <c r="I62" s="3"/>
      <c r="J62" s="3"/>
      <c r="K62" s="424"/>
      <c r="L62" s="2"/>
      <c r="M62" s="424"/>
      <c r="N62" s="424"/>
      <c r="O62" s="424"/>
      <c r="P62" s="424"/>
      <c r="Q62" s="424"/>
      <c r="R62" s="424"/>
      <c r="S62" s="424"/>
      <c r="T62" s="424"/>
      <c r="U62" s="424"/>
      <c r="V62" s="424"/>
      <c r="W62" s="424"/>
      <c r="X62" s="424"/>
      <c r="Y62" s="424"/>
      <c r="Z62" s="424"/>
      <c r="AA62" s="423"/>
      <c r="AB62" s="423"/>
    </row>
    <row r="63" spans="1:28" x14ac:dyDescent="0.2">
      <c r="A63" s="3"/>
      <c r="B63" s="3" t="s">
        <v>33</v>
      </c>
      <c r="C63" s="3"/>
      <c r="D63" s="3"/>
      <c r="E63" s="3"/>
      <c r="F63" s="3"/>
      <c r="G63" s="3"/>
      <c r="H63" s="424"/>
      <c r="I63" s="3"/>
      <c r="J63" s="3"/>
      <c r="K63" s="424"/>
      <c r="L63" s="2"/>
      <c r="M63" s="424"/>
      <c r="N63" s="424"/>
      <c r="O63" s="424"/>
      <c r="P63" s="424"/>
      <c r="Q63" s="424"/>
      <c r="R63" s="424"/>
      <c r="S63" s="424"/>
      <c r="T63" s="424"/>
      <c r="U63" s="424"/>
      <c r="V63" s="424"/>
      <c r="W63" s="424"/>
      <c r="X63" s="424"/>
      <c r="Y63" s="424"/>
      <c r="Z63" s="424"/>
      <c r="AA63" s="423"/>
      <c r="AB63" s="423"/>
    </row>
    <row r="64" spans="1:28" x14ac:dyDescent="0.2">
      <c r="A64" s="3"/>
      <c r="B64" s="3" t="s">
        <v>34</v>
      </c>
      <c r="C64" s="3"/>
      <c r="D64" s="3"/>
      <c r="E64" s="3"/>
      <c r="F64" s="3"/>
      <c r="G64" s="3"/>
      <c r="H64" s="424"/>
      <c r="I64" s="3"/>
      <c r="J64" s="3"/>
      <c r="K64" s="424"/>
      <c r="L64" s="2"/>
      <c r="M64" s="424"/>
      <c r="N64" s="424"/>
      <c r="O64" s="424"/>
      <c r="P64" s="424"/>
      <c r="Q64" s="424"/>
      <c r="R64" s="424"/>
      <c r="S64" s="424"/>
      <c r="T64" s="424"/>
      <c r="U64" s="424"/>
      <c r="V64" s="424"/>
      <c r="W64" s="424"/>
      <c r="X64" s="424"/>
      <c r="Y64" s="424"/>
      <c r="Z64" s="424"/>
      <c r="AA64" s="423"/>
      <c r="AB64" s="423"/>
    </row>
    <row r="65" spans="1:28" x14ac:dyDescent="0.2">
      <c r="A65" s="3"/>
      <c r="B65" s="3"/>
      <c r="C65" s="3"/>
      <c r="D65" s="3"/>
      <c r="E65" s="3"/>
      <c r="F65" s="3"/>
      <c r="G65" s="3"/>
      <c r="H65" s="424"/>
      <c r="I65" s="3"/>
      <c r="J65" s="3"/>
      <c r="K65" s="424"/>
      <c r="L65" s="2"/>
      <c r="M65" s="424"/>
      <c r="N65" s="424"/>
      <c r="O65" s="424"/>
      <c r="P65" s="424"/>
      <c r="Q65" s="424"/>
      <c r="R65" s="424"/>
      <c r="S65" s="424"/>
      <c r="T65" s="424"/>
      <c r="U65" s="424"/>
      <c r="V65" s="424"/>
      <c r="W65" s="424"/>
      <c r="X65" s="424"/>
      <c r="Y65" s="424"/>
      <c r="Z65" s="424"/>
      <c r="AA65" s="423"/>
      <c r="AB65" s="423"/>
    </row>
    <row r="66" spans="1:28" x14ac:dyDescent="0.2">
      <c r="A66" s="3"/>
      <c r="B66" s="2" t="s">
        <v>35</v>
      </c>
      <c r="C66" s="3"/>
      <c r="D66" s="3"/>
      <c r="E66" s="3"/>
      <c r="F66" s="3"/>
      <c r="G66" s="3"/>
      <c r="H66" s="424"/>
      <c r="I66" s="3"/>
      <c r="J66" s="3"/>
      <c r="K66" s="424"/>
      <c r="L66" s="2"/>
      <c r="M66" s="424"/>
      <c r="N66" s="424"/>
      <c r="O66" s="424"/>
      <c r="P66" s="424"/>
      <c r="Q66" s="424"/>
      <c r="R66" s="424"/>
      <c r="S66" s="424"/>
      <c r="T66" s="424"/>
      <c r="U66" s="424"/>
      <c r="V66" s="424"/>
      <c r="W66" s="424"/>
      <c r="X66" s="424"/>
      <c r="Y66" s="424"/>
      <c r="Z66" s="424"/>
      <c r="AA66" s="423"/>
      <c r="AB66" s="423"/>
    </row>
    <row r="67" spans="1:28" x14ac:dyDescent="0.2">
      <c r="A67" s="3"/>
      <c r="B67" s="3" t="s">
        <v>36</v>
      </c>
      <c r="C67" s="3"/>
      <c r="D67" s="3"/>
      <c r="E67" s="3"/>
      <c r="F67" s="3"/>
      <c r="G67" s="3"/>
      <c r="H67" s="424"/>
      <c r="I67" s="3"/>
      <c r="J67" s="3"/>
      <c r="K67" s="424"/>
      <c r="L67" s="2"/>
      <c r="M67" s="424"/>
      <c r="N67" s="424"/>
      <c r="O67" s="424"/>
      <c r="P67" s="424"/>
      <c r="Q67" s="424"/>
      <c r="R67" s="424"/>
      <c r="S67" s="424"/>
      <c r="T67" s="424"/>
      <c r="U67" s="424"/>
      <c r="V67" s="424"/>
      <c r="W67" s="424"/>
      <c r="X67" s="424"/>
      <c r="Y67" s="424"/>
      <c r="Z67" s="424"/>
      <c r="AA67" s="423"/>
      <c r="AB67" s="423"/>
    </row>
    <row r="68" spans="1:28" x14ac:dyDescent="0.2">
      <c r="A68" s="3"/>
      <c r="B68" s="3"/>
      <c r="C68" s="3"/>
      <c r="D68" s="3"/>
      <c r="E68" s="3"/>
      <c r="F68" s="3"/>
      <c r="G68" s="3"/>
      <c r="H68" s="424"/>
      <c r="I68" s="3"/>
      <c r="J68" s="3"/>
      <c r="K68" s="424"/>
      <c r="L68" s="2"/>
      <c r="M68" s="424"/>
      <c r="N68" s="424"/>
      <c r="O68" s="424"/>
      <c r="P68" s="424"/>
      <c r="Q68" s="424"/>
      <c r="R68" s="424"/>
      <c r="S68" s="424"/>
      <c r="T68" s="424"/>
      <c r="U68" s="424"/>
      <c r="V68" s="424"/>
      <c r="W68" s="424"/>
      <c r="X68" s="424"/>
      <c r="Y68" s="424"/>
      <c r="Z68" s="424"/>
      <c r="AA68" s="423"/>
      <c r="AB68" s="423"/>
    </row>
    <row r="69" spans="1:28" x14ac:dyDescent="0.2">
      <c r="A69" s="3"/>
      <c r="B69" s="2" t="s">
        <v>37</v>
      </c>
      <c r="C69" s="3"/>
      <c r="D69" s="3"/>
      <c r="E69" s="3"/>
      <c r="F69" s="3"/>
      <c r="G69" s="3"/>
      <c r="H69" s="424"/>
      <c r="I69" s="3"/>
      <c r="J69" s="3"/>
      <c r="K69" s="424"/>
      <c r="L69" s="2"/>
      <c r="M69" s="424"/>
      <c r="N69" s="424"/>
      <c r="O69" s="424"/>
      <c r="P69" s="424"/>
      <c r="Q69" s="424"/>
      <c r="R69" s="424"/>
      <c r="S69" s="424"/>
      <c r="T69" s="424"/>
      <c r="U69" s="424"/>
      <c r="V69" s="424"/>
      <c r="W69" s="424"/>
      <c r="X69" s="424"/>
      <c r="Y69" s="424"/>
      <c r="Z69" s="424"/>
      <c r="AA69" s="423"/>
      <c r="AB69" s="423"/>
    </row>
    <row r="70" spans="1:28" x14ac:dyDescent="0.2">
      <c r="A70" s="3"/>
      <c r="B70" s="3" t="s">
        <v>36</v>
      </c>
      <c r="C70" s="3"/>
      <c r="D70" s="3"/>
      <c r="E70" s="3"/>
      <c r="F70" s="3"/>
      <c r="G70" s="3"/>
      <c r="H70" s="424"/>
      <c r="I70" s="3"/>
      <c r="J70" s="3"/>
      <c r="K70" s="424"/>
      <c r="L70" s="2"/>
      <c r="M70" s="424"/>
      <c r="N70" s="424"/>
      <c r="O70" s="424"/>
      <c r="P70" s="424"/>
      <c r="Q70" s="424"/>
      <c r="R70" s="424"/>
      <c r="S70" s="424"/>
      <c r="T70" s="424"/>
      <c r="U70" s="424"/>
      <c r="V70" s="424"/>
      <c r="W70" s="424"/>
      <c r="X70" s="424"/>
      <c r="Y70" s="424"/>
      <c r="Z70" s="424"/>
      <c r="AA70" s="423"/>
      <c r="AB70" s="423"/>
    </row>
    <row r="71" spans="1:28" x14ac:dyDescent="0.2">
      <c r="A71" s="3"/>
      <c r="B71" s="3" t="s">
        <v>38</v>
      </c>
      <c r="C71" s="3"/>
      <c r="D71" s="3"/>
      <c r="E71" s="3"/>
      <c r="F71" s="3"/>
      <c r="G71" s="3"/>
      <c r="H71" s="424"/>
      <c r="I71" s="3"/>
      <c r="J71" s="3"/>
      <c r="K71" s="424"/>
      <c r="L71" s="2"/>
      <c r="M71" s="424"/>
      <c r="N71" s="424"/>
      <c r="O71" s="424"/>
      <c r="P71" s="424"/>
      <c r="Q71" s="424"/>
      <c r="R71" s="424"/>
      <c r="S71" s="424"/>
      <c r="T71" s="424"/>
      <c r="U71" s="424"/>
      <c r="V71" s="424"/>
      <c r="W71" s="424"/>
      <c r="X71" s="424"/>
      <c r="Y71" s="424"/>
      <c r="Z71" s="424"/>
      <c r="AA71" s="423"/>
      <c r="AB71" s="423"/>
    </row>
    <row r="72" spans="1:28" x14ac:dyDescent="0.2">
      <c r="A72" s="3"/>
      <c r="B72" s="3"/>
      <c r="C72" s="3"/>
      <c r="D72" s="3"/>
      <c r="E72" s="3"/>
      <c r="F72" s="3"/>
      <c r="G72" s="3"/>
      <c r="H72" s="424"/>
      <c r="I72" s="3"/>
      <c r="J72" s="3"/>
      <c r="K72" s="424"/>
      <c r="L72" s="2"/>
      <c r="M72" s="424"/>
      <c r="N72" s="424"/>
      <c r="O72" s="424"/>
      <c r="P72" s="424"/>
      <c r="Q72" s="424"/>
      <c r="R72" s="424"/>
      <c r="S72" s="424"/>
      <c r="T72" s="424"/>
      <c r="U72" s="424"/>
      <c r="V72" s="424"/>
      <c r="W72" s="424"/>
      <c r="X72" s="424"/>
      <c r="Y72" s="424"/>
      <c r="Z72" s="424"/>
      <c r="AA72" s="423"/>
      <c r="AB72" s="423"/>
    </row>
    <row r="73" spans="1:28" x14ac:dyDescent="0.2">
      <c r="A73" s="3"/>
      <c r="B73" s="2" t="s">
        <v>39</v>
      </c>
      <c r="C73" s="3"/>
      <c r="D73" s="3"/>
      <c r="E73" s="3"/>
      <c r="F73" s="3"/>
      <c r="G73" s="3"/>
      <c r="H73" s="424"/>
      <c r="I73" s="3"/>
      <c r="J73" s="3"/>
      <c r="K73" s="424"/>
      <c r="L73" s="2"/>
      <c r="M73" s="424"/>
      <c r="N73" s="424"/>
      <c r="O73" s="424"/>
      <c r="P73" s="424"/>
      <c r="Q73" s="424"/>
      <c r="R73" s="424"/>
      <c r="S73" s="424"/>
      <c r="T73" s="424"/>
      <c r="U73" s="424"/>
      <c r="V73" s="424"/>
      <c r="W73" s="424"/>
      <c r="X73" s="424"/>
      <c r="Y73" s="424"/>
      <c r="Z73" s="424"/>
      <c r="AA73" s="423"/>
      <c r="AB73" s="423"/>
    </row>
    <row r="74" spans="1:28" x14ac:dyDescent="0.2">
      <c r="A74" s="3"/>
      <c r="B74" s="3" t="s">
        <v>40</v>
      </c>
      <c r="C74" s="3"/>
      <c r="D74" s="3"/>
      <c r="E74" s="3"/>
      <c r="F74" s="3"/>
      <c r="G74" s="3"/>
      <c r="H74" s="424"/>
      <c r="I74" s="3"/>
      <c r="J74" s="3"/>
      <c r="K74" s="424"/>
      <c r="L74" s="2"/>
      <c r="M74" s="424"/>
      <c r="N74" s="424"/>
      <c r="O74" s="424"/>
      <c r="P74" s="424"/>
      <c r="Q74" s="424"/>
      <c r="R74" s="424"/>
      <c r="S74" s="424"/>
      <c r="T74" s="424"/>
      <c r="U74" s="424"/>
      <c r="V74" s="424"/>
      <c r="W74" s="424"/>
      <c r="X74" s="424"/>
      <c r="Y74" s="424"/>
      <c r="Z74" s="424"/>
      <c r="AA74" s="423"/>
      <c r="AB74" s="423"/>
    </row>
    <row r="75" spans="1:28" x14ac:dyDescent="0.2">
      <c r="A75" s="3"/>
      <c r="B75" s="3"/>
      <c r="C75" s="3"/>
      <c r="D75" s="3"/>
      <c r="E75" s="3"/>
      <c r="F75" s="3"/>
      <c r="G75" s="3"/>
      <c r="H75" s="424"/>
      <c r="I75" s="3"/>
      <c r="J75" s="3"/>
      <c r="K75" s="424"/>
      <c r="L75" s="2"/>
      <c r="M75" s="424"/>
      <c r="N75" s="424"/>
      <c r="O75" s="424"/>
      <c r="P75" s="424"/>
      <c r="Q75" s="424"/>
      <c r="R75" s="424"/>
      <c r="S75" s="424"/>
      <c r="T75" s="424"/>
      <c r="U75" s="424"/>
      <c r="V75" s="424"/>
      <c r="W75" s="424"/>
      <c r="X75" s="424"/>
      <c r="Y75" s="424"/>
      <c r="Z75" s="424"/>
      <c r="AA75" s="423"/>
      <c r="AB75" s="423"/>
    </row>
    <row r="76" spans="1:28" x14ac:dyDescent="0.2">
      <c r="A76" s="3"/>
      <c r="B76" s="3"/>
      <c r="C76" s="3"/>
      <c r="D76" s="3"/>
      <c r="E76" s="3"/>
      <c r="F76" s="3"/>
      <c r="G76" s="3"/>
      <c r="H76" s="424"/>
      <c r="I76" s="3"/>
      <c r="J76" s="3"/>
      <c r="K76" s="424"/>
      <c r="L76" s="2"/>
      <c r="M76" s="424"/>
      <c r="N76" s="424"/>
      <c r="O76" s="424"/>
      <c r="P76" s="424"/>
      <c r="Q76" s="424"/>
      <c r="R76" s="424"/>
      <c r="S76" s="424"/>
      <c r="T76" s="424"/>
      <c r="U76" s="424"/>
      <c r="V76" s="424"/>
      <c r="W76" s="424"/>
      <c r="X76" s="424"/>
      <c r="Y76" s="424"/>
      <c r="Z76" s="424"/>
      <c r="AA76" s="423"/>
      <c r="AB76" s="423"/>
    </row>
    <row r="77" spans="1:28" x14ac:dyDescent="0.2">
      <c r="A77" s="3"/>
      <c r="B77" s="3"/>
      <c r="C77" s="3"/>
      <c r="D77" s="3"/>
      <c r="E77" s="3"/>
      <c r="F77" s="3"/>
      <c r="G77" s="3"/>
      <c r="H77" s="424"/>
      <c r="I77" s="3"/>
      <c r="J77" s="3"/>
      <c r="K77" s="424"/>
      <c r="L77" s="2"/>
      <c r="M77" s="424"/>
      <c r="N77" s="424"/>
      <c r="O77" s="424"/>
      <c r="P77" s="424"/>
      <c r="Q77" s="424"/>
      <c r="R77" s="424"/>
      <c r="S77" s="424"/>
      <c r="T77" s="424"/>
      <c r="U77" s="424"/>
      <c r="V77" s="424"/>
      <c r="W77" s="424"/>
      <c r="X77" s="424"/>
      <c r="Y77" s="424"/>
      <c r="Z77" s="424"/>
      <c r="AA77" s="423"/>
      <c r="AB77" s="423"/>
    </row>
    <row r="78" spans="1:28" x14ac:dyDescent="0.2">
      <c r="A78" s="3"/>
      <c r="B78" s="3"/>
      <c r="C78" s="3"/>
      <c r="D78" s="3"/>
      <c r="E78" s="3"/>
      <c r="F78" s="3"/>
      <c r="G78" s="3"/>
      <c r="H78" s="424"/>
      <c r="I78" s="3"/>
      <c r="J78" s="3"/>
      <c r="K78" s="424"/>
      <c r="L78" s="2"/>
      <c r="M78" s="424"/>
      <c r="N78" s="424"/>
      <c r="O78" s="424"/>
      <c r="P78" s="424"/>
      <c r="Q78" s="424"/>
      <c r="R78" s="424"/>
      <c r="S78" s="424"/>
      <c r="T78" s="424"/>
      <c r="U78" s="424"/>
      <c r="V78" s="424"/>
      <c r="W78" s="424"/>
      <c r="X78" s="424"/>
      <c r="Y78" s="424"/>
      <c r="Z78" s="424"/>
      <c r="AA78" s="423"/>
      <c r="AB78" s="423"/>
    </row>
    <row r="79" spans="1:28" x14ac:dyDescent="0.2">
      <c r="A79" s="3"/>
      <c r="B79" s="3"/>
      <c r="C79" s="3"/>
      <c r="D79" s="3"/>
      <c r="E79" s="3"/>
      <c r="F79" s="3"/>
      <c r="G79" s="3"/>
      <c r="H79" s="424"/>
      <c r="I79" s="3"/>
      <c r="J79" s="3"/>
      <c r="K79" s="424"/>
      <c r="L79" s="2"/>
      <c r="M79" s="424"/>
      <c r="N79" s="424"/>
      <c r="O79" s="424"/>
      <c r="P79" s="424"/>
      <c r="Q79" s="424"/>
      <c r="R79" s="424"/>
      <c r="S79" s="424"/>
      <c r="T79" s="424"/>
      <c r="U79" s="424"/>
      <c r="V79" s="424"/>
      <c r="W79" s="424"/>
      <c r="X79" s="424"/>
      <c r="Y79" s="424"/>
      <c r="Z79" s="424"/>
      <c r="AA79" s="423"/>
      <c r="AB79" s="423"/>
    </row>
    <row r="80" spans="1:28" x14ac:dyDescent="0.2">
      <c r="A80" s="3"/>
      <c r="B80" s="3"/>
      <c r="C80" s="3"/>
      <c r="D80" s="3"/>
      <c r="E80" s="3"/>
      <c r="F80" s="3"/>
      <c r="G80" s="3"/>
      <c r="H80" s="424"/>
      <c r="I80" s="3"/>
      <c r="J80" s="3"/>
      <c r="K80" s="424"/>
      <c r="L80" s="2"/>
      <c r="M80" s="424"/>
      <c r="N80" s="424"/>
      <c r="O80" s="424"/>
      <c r="P80" s="424"/>
      <c r="Q80" s="424"/>
      <c r="R80" s="424"/>
      <c r="S80" s="424"/>
      <c r="T80" s="424"/>
      <c r="U80" s="424"/>
      <c r="V80" s="424"/>
      <c r="W80" s="424"/>
      <c r="X80" s="424"/>
      <c r="Y80" s="424"/>
      <c r="Z80" s="424"/>
      <c r="AA80" s="423"/>
      <c r="AB80" s="423"/>
    </row>
    <row r="81" spans="1:28" x14ac:dyDescent="0.2">
      <c r="A81" s="3"/>
      <c r="B81" s="3"/>
      <c r="C81" s="3"/>
      <c r="D81" s="3"/>
      <c r="E81" s="3"/>
      <c r="F81" s="3"/>
      <c r="G81" s="3"/>
      <c r="H81" s="424"/>
      <c r="I81" s="3"/>
      <c r="J81" s="3"/>
      <c r="K81" s="424"/>
      <c r="L81" s="2"/>
      <c r="M81" s="424"/>
      <c r="N81" s="424"/>
      <c r="O81" s="424"/>
      <c r="P81" s="424"/>
      <c r="Q81" s="424"/>
      <c r="R81" s="424"/>
      <c r="S81" s="424"/>
      <c r="T81" s="424"/>
      <c r="U81" s="424"/>
      <c r="V81" s="424"/>
      <c r="W81" s="424"/>
      <c r="X81" s="424"/>
      <c r="Y81" s="424"/>
      <c r="Z81" s="424"/>
      <c r="AA81" s="423"/>
      <c r="AB81" s="423"/>
    </row>
    <row r="82" spans="1:28" x14ac:dyDescent="0.2">
      <c r="A82" s="3"/>
      <c r="B82" s="3"/>
      <c r="C82" s="3"/>
      <c r="D82" s="3"/>
      <c r="E82" s="3"/>
      <c r="F82" s="3"/>
      <c r="G82" s="3"/>
      <c r="H82" s="424"/>
      <c r="I82" s="3"/>
      <c r="J82" s="3"/>
      <c r="K82" s="424"/>
      <c r="L82" s="2"/>
      <c r="M82" s="424"/>
      <c r="N82" s="424"/>
      <c r="O82" s="424"/>
      <c r="P82" s="424"/>
      <c r="Q82" s="424"/>
      <c r="R82" s="424"/>
      <c r="S82" s="424"/>
      <c r="T82" s="424"/>
      <c r="U82" s="424"/>
      <c r="V82" s="424"/>
      <c r="W82" s="424"/>
      <c r="X82" s="424"/>
      <c r="Y82" s="424"/>
      <c r="Z82" s="424"/>
      <c r="AA82" s="423"/>
      <c r="AB82" s="423"/>
    </row>
    <row r="83" spans="1:28" x14ac:dyDescent="0.2">
      <c r="A83" s="3"/>
      <c r="B83" s="3"/>
      <c r="C83" s="3"/>
      <c r="D83" s="3"/>
      <c r="E83" s="3"/>
      <c r="F83" s="3"/>
      <c r="G83" s="3"/>
      <c r="H83" s="424"/>
      <c r="I83" s="3"/>
      <c r="J83" s="3"/>
      <c r="K83" s="424"/>
      <c r="L83" s="2"/>
      <c r="M83" s="424"/>
      <c r="N83" s="424"/>
      <c r="O83" s="424"/>
      <c r="P83" s="424"/>
      <c r="Q83" s="424"/>
      <c r="R83" s="424"/>
      <c r="S83" s="424"/>
      <c r="T83" s="424"/>
      <c r="U83" s="424"/>
      <c r="V83" s="424"/>
      <c r="W83" s="424"/>
      <c r="X83" s="424"/>
      <c r="Y83" s="424"/>
      <c r="Z83" s="424"/>
      <c r="AA83" s="423"/>
      <c r="AB83" s="423"/>
    </row>
    <row r="84" spans="1:28" x14ac:dyDescent="0.2">
      <c r="A84" s="3"/>
      <c r="B84" s="3"/>
      <c r="C84" s="3"/>
      <c r="D84" s="3"/>
      <c r="E84" s="3"/>
      <c r="F84" s="3"/>
      <c r="G84" s="3"/>
      <c r="H84" s="424"/>
      <c r="I84" s="3"/>
      <c r="J84" s="3"/>
      <c r="K84" s="424"/>
      <c r="L84" s="2"/>
      <c r="M84" s="424"/>
      <c r="N84" s="424"/>
      <c r="O84" s="424"/>
      <c r="P84" s="424"/>
      <c r="Q84" s="424"/>
      <c r="R84" s="424"/>
      <c r="S84" s="424"/>
      <c r="T84" s="424"/>
      <c r="U84" s="424"/>
      <c r="V84" s="424"/>
      <c r="W84" s="424"/>
      <c r="X84" s="424"/>
      <c r="Y84" s="424"/>
      <c r="Z84" s="424"/>
      <c r="AA84" s="423"/>
      <c r="AB84" s="423"/>
    </row>
    <row r="85" spans="1:28" x14ac:dyDescent="0.2">
      <c r="A85" s="3"/>
      <c r="B85" s="3"/>
      <c r="C85" s="3"/>
      <c r="D85" s="3"/>
      <c r="E85" s="3"/>
      <c r="F85" s="3"/>
      <c r="G85" s="3"/>
      <c r="H85" s="424"/>
      <c r="I85" s="3"/>
      <c r="J85" s="3"/>
      <c r="K85" s="424"/>
      <c r="L85" s="2"/>
      <c r="M85" s="424"/>
      <c r="N85" s="424"/>
      <c r="O85" s="424"/>
      <c r="P85" s="424"/>
      <c r="Q85" s="424"/>
      <c r="R85" s="424"/>
      <c r="S85" s="424"/>
      <c r="T85" s="424"/>
      <c r="U85" s="424"/>
      <c r="V85" s="424"/>
      <c r="W85" s="424"/>
      <c r="X85" s="424"/>
      <c r="Y85" s="424"/>
      <c r="Z85" s="424"/>
      <c r="AA85" s="423"/>
      <c r="AB85" s="423"/>
    </row>
    <row r="86" spans="1:28" x14ac:dyDescent="0.2">
      <c r="A86" s="3"/>
      <c r="B86" s="3"/>
      <c r="C86" s="3"/>
      <c r="D86" s="3"/>
      <c r="E86" s="3"/>
      <c r="F86" s="3"/>
      <c r="G86" s="3"/>
      <c r="H86" s="424"/>
      <c r="I86" s="3"/>
      <c r="J86" s="3"/>
      <c r="K86" s="424"/>
      <c r="L86" s="2"/>
      <c r="M86" s="424"/>
      <c r="N86" s="424"/>
      <c r="O86" s="424"/>
      <c r="P86" s="424"/>
      <c r="Q86" s="424"/>
      <c r="R86" s="424"/>
      <c r="S86" s="424"/>
      <c r="T86" s="424"/>
      <c r="U86" s="424"/>
      <c r="V86" s="424"/>
      <c r="W86" s="424"/>
      <c r="X86" s="424"/>
      <c r="Y86" s="424"/>
      <c r="Z86" s="424"/>
      <c r="AA86" s="423"/>
      <c r="AB86" s="423"/>
    </row>
    <row r="87" spans="1:28" x14ac:dyDescent="0.2">
      <c r="A87" s="3"/>
      <c r="B87" s="3"/>
      <c r="C87" s="3"/>
      <c r="D87" s="3"/>
      <c r="E87" s="3"/>
      <c r="F87" s="3"/>
      <c r="G87" s="3"/>
      <c r="H87" s="424"/>
      <c r="I87" s="3"/>
      <c r="J87" s="3"/>
      <c r="K87" s="424"/>
      <c r="L87" s="2"/>
      <c r="M87" s="424"/>
      <c r="N87" s="424"/>
      <c r="O87" s="424"/>
      <c r="P87" s="424"/>
      <c r="Q87" s="424"/>
      <c r="R87" s="424"/>
      <c r="S87" s="424"/>
      <c r="T87" s="424"/>
      <c r="U87" s="424"/>
      <c r="V87" s="424"/>
      <c r="W87" s="424"/>
      <c r="X87" s="424"/>
      <c r="Y87" s="424"/>
      <c r="Z87" s="424"/>
      <c r="AA87" s="423"/>
      <c r="AB87" s="423"/>
    </row>
    <row r="88" spans="1:28" x14ac:dyDescent="0.2">
      <c r="A88" s="3"/>
      <c r="B88" s="3"/>
      <c r="C88" s="3"/>
      <c r="D88" s="3"/>
      <c r="E88" s="3"/>
      <c r="F88" s="3"/>
      <c r="G88" s="3"/>
      <c r="H88" s="424"/>
      <c r="I88" s="3"/>
      <c r="J88" s="3"/>
      <c r="K88" s="424"/>
      <c r="L88" s="2"/>
      <c r="M88" s="424"/>
      <c r="N88" s="424"/>
      <c r="O88" s="424"/>
      <c r="P88" s="424"/>
      <c r="Q88" s="424"/>
      <c r="R88" s="424"/>
      <c r="S88" s="424"/>
      <c r="T88" s="424"/>
      <c r="U88" s="424"/>
      <c r="V88" s="424"/>
      <c r="W88" s="424"/>
      <c r="X88" s="424"/>
      <c r="Y88" s="424"/>
      <c r="Z88" s="424"/>
      <c r="AA88" s="423"/>
      <c r="AB88" s="423"/>
    </row>
    <row r="89" spans="1:28" x14ac:dyDescent="0.2">
      <c r="A89" s="3"/>
      <c r="B89" s="3"/>
      <c r="C89" s="3"/>
      <c r="D89" s="3"/>
      <c r="E89" s="3"/>
      <c r="F89" s="3"/>
      <c r="G89" s="3"/>
      <c r="H89" s="424"/>
      <c r="I89" s="3"/>
      <c r="J89" s="3"/>
      <c r="K89" s="424"/>
      <c r="L89" s="2"/>
      <c r="M89" s="424"/>
      <c r="N89" s="424"/>
      <c r="O89" s="424"/>
      <c r="P89" s="424"/>
      <c r="Q89" s="424"/>
      <c r="R89" s="424"/>
      <c r="S89" s="424"/>
      <c r="T89" s="424"/>
      <c r="U89" s="424"/>
      <c r="V89" s="424"/>
      <c r="W89" s="424"/>
      <c r="X89" s="424"/>
      <c r="Y89" s="424"/>
      <c r="Z89" s="424"/>
      <c r="AA89" s="423"/>
      <c r="AB89" s="423"/>
    </row>
    <row r="90" spans="1:28" x14ac:dyDescent="0.2">
      <c r="A90" s="3"/>
      <c r="B90" s="3"/>
      <c r="C90" s="3"/>
      <c r="D90" s="3"/>
      <c r="E90" s="3"/>
      <c r="F90" s="3"/>
      <c r="G90" s="3"/>
      <c r="H90" s="424"/>
      <c r="I90" s="3"/>
      <c r="J90" s="3"/>
      <c r="K90" s="424"/>
      <c r="L90" s="2"/>
      <c r="M90" s="424"/>
      <c r="N90" s="424"/>
      <c r="O90" s="424"/>
      <c r="P90" s="424"/>
      <c r="Q90" s="424"/>
      <c r="R90" s="424"/>
      <c r="S90" s="424"/>
      <c r="T90" s="424"/>
      <c r="U90" s="424"/>
      <c r="V90" s="424"/>
      <c r="W90" s="424"/>
      <c r="X90" s="424"/>
      <c r="Y90" s="424"/>
      <c r="Z90" s="424"/>
      <c r="AA90" s="423"/>
      <c r="AB90" s="423"/>
    </row>
    <row r="91" spans="1:28" x14ac:dyDescent="0.2">
      <c r="A91" s="3"/>
      <c r="B91" s="3"/>
      <c r="C91" s="3"/>
      <c r="D91" s="3"/>
      <c r="E91" s="3"/>
      <c r="F91" s="3"/>
      <c r="G91" s="3"/>
      <c r="H91" s="424"/>
      <c r="I91" s="3"/>
      <c r="J91" s="3"/>
      <c r="K91" s="424"/>
      <c r="L91" s="2"/>
      <c r="M91" s="424"/>
      <c r="N91" s="424"/>
      <c r="O91" s="424"/>
      <c r="P91" s="424"/>
      <c r="Q91" s="424"/>
      <c r="R91" s="424"/>
      <c r="S91" s="424"/>
      <c r="T91" s="424"/>
      <c r="U91" s="424"/>
      <c r="V91" s="424"/>
      <c r="W91" s="424"/>
      <c r="X91" s="424"/>
      <c r="Y91" s="424"/>
      <c r="Z91" s="424"/>
      <c r="AA91" s="423"/>
      <c r="AB91" s="423"/>
    </row>
    <row r="92" spans="1:28" ht="12.75" thickBot="1" x14ac:dyDescent="0.25">
      <c r="A92" s="3"/>
      <c r="B92" s="426"/>
      <c r="C92" s="426"/>
      <c r="D92" s="426"/>
      <c r="E92" s="426"/>
      <c r="F92" s="426"/>
      <c r="G92" s="426"/>
      <c r="H92" s="424"/>
      <c r="I92" s="3"/>
      <c r="J92" s="3"/>
      <c r="K92" s="424"/>
      <c r="L92" s="2"/>
      <c r="M92" s="424"/>
      <c r="N92" s="424"/>
      <c r="O92" s="424"/>
      <c r="P92" s="424"/>
      <c r="Q92" s="424"/>
      <c r="R92" s="424"/>
      <c r="S92" s="424"/>
      <c r="T92" s="424"/>
      <c r="U92" s="424"/>
      <c r="V92" s="424"/>
      <c r="W92" s="424"/>
      <c r="X92" s="424"/>
      <c r="Y92" s="424"/>
      <c r="Z92" s="424"/>
      <c r="AA92" s="423"/>
      <c r="AB92" s="423"/>
    </row>
    <row r="93" spans="1:28" x14ac:dyDescent="0.2">
      <c r="A93" s="3"/>
      <c r="B93" s="3"/>
      <c r="C93" s="3"/>
      <c r="D93" s="3"/>
      <c r="E93" s="3"/>
      <c r="F93" s="3"/>
      <c r="G93" s="3"/>
      <c r="H93" s="424"/>
      <c r="I93" s="3"/>
      <c r="J93" s="3"/>
      <c r="K93" s="424"/>
      <c r="L93" s="2"/>
      <c r="M93" s="424"/>
      <c r="N93" s="424"/>
      <c r="O93" s="424"/>
      <c r="P93" s="424"/>
      <c r="Q93" s="424"/>
      <c r="R93" s="424"/>
      <c r="S93" s="424"/>
      <c r="T93" s="424"/>
      <c r="U93" s="424"/>
      <c r="V93" s="424"/>
      <c r="W93" s="424"/>
      <c r="X93" s="424"/>
      <c r="Y93" s="424"/>
      <c r="Z93" s="424"/>
      <c r="AA93" s="423"/>
      <c r="AB93" s="423"/>
    </row>
    <row r="94" spans="1:28" ht="15.75" x14ac:dyDescent="0.25">
      <c r="A94" s="3"/>
      <c r="B94" s="422" t="s">
        <v>41</v>
      </c>
      <c r="C94" s="18"/>
      <c r="D94" s="18"/>
      <c r="E94" s="18"/>
      <c r="F94" s="18"/>
      <c r="G94" s="18"/>
      <c r="H94" s="424"/>
      <c r="I94" s="3"/>
      <c r="J94" s="3"/>
      <c r="K94" s="424"/>
      <c r="L94" s="2"/>
      <c r="M94" s="424"/>
      <c r="N94" s="424"/>
      <c r="O94" s="424"/>
      <c r="P94" s="424"/>
      <c r="Q94" s="424"/>
      <c r="R94" s="424"/>
      <c r="S94" s="424"/>
      <c r="T94" s="424"/>
      <c r="U94" s="424"/>
      <c r="V94" s="424"/>
      <c r="W94" s="424"/>
      <c r="X94" s="424"/>
      <c r="Y94" s="424"/>
      <c r="Z94" s="424"/>
      <c r="AA94" s="423"/>
      <c r="AB94" s="423"/>
    </row>
    <row r="95" spans="1:28" x14ac:dyDescent="0.2">
      <c r="A95" s="3"/>
      <c r="B95" s="2"/>
      <c r="C95" s="2"/>
      <c r="D95" s="2"/>
      <c r="E95" s="2"/>
      <c r="F95" s="2"/>
      <c r="G95" s="2"/>
      <c r="H95" s="424"/>
      <c r="I95" s="3"/>
      <c r="J95" s="3"/>
      <c r="K95" s="424"/>
      <c r="L95" s="2"/>
      <c r="M95" s="424"/>
      <c r="N95" s="424"/>
      <c r="O95" s="424"/>
      <c r="P95" s="424"/>
      <c r="Q95" s="424"/>
      <c r="R95" s="424"/>
      <c r="S95" s="424"/>
      <c r="T95" s="424"/>
      <c r="U95" s="424"/>
      <c r="V95" s="424"/>
      <c r="W95" s="424"/>
      <c r="X95" s="424"/>
      <c r="Y95" s="424"/>
      <c r="Z95" s="424"/>
      <c r="AA95" s="423"/>
      <c r="AB95" s="423"/>
    </row>
    <row r="96" spans="1:28" x14ac:dyDescent="0.2">
      <c r="A96" s="3"/>
      <c r="B96" s="2" t="s">
        <v>42</v>
      </c>
      <c r="C96" s="3"/>
      <c r="D96" s="3"/>
      <c r="E96" s="3"/>
      <c r="F96" s="3"/>
      <c r="G96" s="3"/>
      <c r="H96" s="424"/>
      <c r="I96" s="3"/>
      <c r="J96" s="3"/>
      <c r="K96" s="424"/>
      <c r="L96" s="2"/>
      <c r="M96" s="424"/>
      <c r="N96" s="424"/>
      <c r="O96" s="424"/>
      <c r="P96" s="424"/>
      <c r="Q96" s="424"/>
      <c r="R96" s="424"/>
      <c r="S96" s="424"/>
      <c r="T96" s="424"/>
      <c r="U96" s="424"/>
      <c r="V96" s="424"/>
      <c r="W96" s="424"/>
      <c r="X96" s="424"/>
      <c r="Y96" s="424"/>
      <c r="Z96" s="424"/>
      <c r="AA96" s="423"/>
      <c r="AB96" s="423"/>
    </row>
    <row r="97" spans="1:28" x14ac:dyDescent="0.2">
      <c r="A97" s="3"/>
      <c r="B97" s="2"/>
      <c r="C97" s="3"/>
      <c r="D97" s="3"/>
      <c r="E97" s="3"/>
      <c r="F97" s="3"/>
      <c r="G97" s="3"/>
      <c r="H97" s="424"/>
      <c r="I97" s="3"/>
      <c r="J97" s="3"/>
      <c r="K97" s="424"/>
      <c r="L97" s="2"/>
      <c r="M97" s="424"/>
      <c r="N97" s="424"/>
      <c r="O97" s="424"/>
      <c r="P97" s="424"/>
      <c r="Q97" s="424"/>
      <c r="R97" s="424"/>
      <c r="S97" s="424"/>
      <c r="T97" s="424"/>
      <c r="U97" s="424"/>
      <c r="V97" s="424"/>
      <c r="W97" s="424"/>
      <c r="X97" s="424"/>
      <c r="Y97" s="424"/>
      <c r="Z97" s="424"/>
      <c r="AA97" s="423"/>
      <c r="AB97" s="423"/>
    </row>
    <row r="98" spans="1:28" x14ac:dyDescent="0.2">
      <c r="A98" s="3"/>
      <c r="B98" s="3"/>
      <c r="C98" s="15" t="s">
        <v>43</v>
      </c>
      <c r="D98" s="3"/>
      <c r="E98" s="3"/>
      <c r="F98" s="3"/>
      <c r="G98" s="3"/>
      <c r="H98" s="424"/>
      <c r="I98" s="3"/>
      <c r="J98" s="3"/>
      <c r="K98" s="424"/>
      <c r="L98" s="2"/>
      <c r="M98" s="424"/>
      <c r="N98" s="424"/>
      <c r="O98" s="424"/>
      <c r="P98" s="424"/>
      <c r="Q98" s="424"/>
      <c r="R98" s="424"/>
      <c r="S98" s="424"/>
      <c r="T98" s="424"/>
      <c r="U98" s="424"/>
      <c r="V98" s="424"/>
      <c r="W98" s="424"/>
      <c r="X98" s="424"/>
      <c r="Y98" s="424"/>
      <c r="Z98" s="424"/>
      <c r="AA98" s="423"/>
      <c r="AB98" s="423"/>
    </row>
    <row r="99" spans="1:28" x14ac:dyDescent="0.2">
      <c r="A99" s="3"/>
      <c r="B99" s="3"/>
      <c r="C99" s="3"/>
      <c r="D99" s="3"/>
      <c r="E99" s="3"/>
      <c r="F99" s="3"/>
      <c r="G99" s="3"/>
      <c r="H99" s="424"/>
      <c r="I99" s="3"/>
      <c r="J99" s="3"/>
      <c r="K99" s="424"/>
      <c r="L99" s="2"/>
      <c r="M99" s="424"/>
      <c r="N99" s="424"/>
      <c r="O99" s="424"/>
      <c r="P99" s="424"/>
      <c r="Q99" s="424"/>
      <c r="R99" s="424"/>
      <c r="S99" s="424"/>
      <c r="T99" s="424"/>
      <c r="U99" s="424"/>
      <c r="V99" s="424"/>
      <c r="W99" s="424"/>
      <c r="X99" s="424"/>
      <c r="Y99" s="424"/>
      <c r="Z99" s="424"/>
      <c r="AA99" s="423"/>
      <c r="AB99" s="423"/>
    </row>
    <row r="100" spans="1:28" x14ac:dyDescent="0.2">
      <c r="A100" s="3"/>
      <c r="B100" s="3"/>
      <c r="C100" s="425" t="s">
        <v>44</v>
      </c>
      <c r="D100" s="3" t="s">
        <v>45</v>
      </c>
      <c r="E100" s="3"/>
      <c r="F100" s="3"/>
      <c r="G100" s="3"/>
      <c r="H100" s="424"/>
      <c r="I100" s="3"/>
      <c r="J100" s="3" t="s">
        <v>46</v>
      </c>
      <c r="K100" s="424"/>
      <c r="L100" s="2"/>
      <c r="M100" s="424"/>
      <c r="N100" s="424"/>
      <c r="O100" s="424"/>
      <c r="P100" s="424"/>
      <c r="Q100" s="424"/>
      <c r="R100" s="424"/>
      <c r="S100" s="424"/>
      <c r="T100" s="424"/>
      <c r="U100" s="424"/>
      <c r="V100" s="424"/>
      <c r="W100" s="424"/>
      <c r="X100" s="424"/>
      <c r="Y100" s="424"/>
      <c r="Z100" s="424"/>
      <c r="AA100" s="423"/>
      <c r="AB100" s="423"/>
    </row>
    <row r="101" spans="1:28" x14ac:dyDescent="0.2">
      <c r="A101" s="3"/>
      <c r="B101" s="3"/>
      <c r="C101" s="425" t="s">
        <v>44</v>
      </c>
      <c r="D101" s="3" t="s">
        <v>47</v>
      </c>
      <c r="E101" s="3"/>
      <c r="F101" s="3"/>
      <c r="G101" s="3"/>
      <c r="H101" s="424"/>
      <c r="I101" s="3"/>
      <c r="J101" s="106" t="s">
        <v>44</v>
      </c>
      <c r="K101" s="424"/>
      <c r="L101" s="2"/>
      <c r="M101" s="424"/>
      <c r="N101" s="424"/>
      <c r="O101" s="424"/>
      <c r="P101" s="424"/>
      <c r="Q101" s="424"/>
      <c r="R101" s="424"/>
      <c r="S101" s="424"/>
      <c r="T101" s="424"/>
      <c r="U101" s="424"/>
      <c r="V101" s="424"/>
      <c r="W101" s="424"/>
      <c r="X101" s="424"/>
      <c r="Y101" s="424"/>
      <c r="Z101" s="424"/>
      <c r="AA101" s="423"/>
      <c r="AB101" s="423"/>
    </row>
    <row r="102" spans="1:28" x14ac:dyDescent="0.2">
      <c r="A102" s="3"/>
      <c r="B102" s="3"/>
      <c r="C102" s="3"/>
      <c r="D102" s="3" t="s">
        <v>48</v>
      </c>
      <c r="E102" s="3"/>
      <c r="F102" s="3"/>
      <c r="G102" s="3"/>
      <c r="H102" s="424"/>
      <c r="I102" s="3"/>
      <c r="J102" s="107" t="s">
        <v>49</v>
      </c>
      <c r="K102" s="424"/>
      <c r="L102" s="2"/>
      <c r="M102" s="424"/>
      <c r="N102" s="424"/>
      <c r="O102" s="424"/>
      <c r="P102" s="424"/>
      <c r="Q102" s="424"/>
      <c r="R102" s="424"/>
      <c r="S102" s="424"/>
      <c r="T102" s="424"/>
      <c r="U102" s="424"/>
      <c r="V102" s="424"/>
      <c r="W102" s="424"/>
      <c r="X102" s="424"/>
      <c r="Y102" s="424"/>
      <c r="Z102" s="424"/>
      <c r="AA102" s="423"/>
      <c r="AB102" s="423"/>
    </row>
    <row r="103" spans="1:28" x14ac:dyDescent="0.2">
      <c r="A103" s="3"/>
      <c r="B103" s="3"/>
      <c r="C103" s="3"/>
      <c r="D103" s="3" t="s">
        <v>50</v>
      </c>
      <c r="E103" s="3"/>
      <c r="F103" s="3"/>
      <c r="G103" s="3"/>
      <c r="H103" s="424"/>
      <c r="I103" s="3"/>
      <c r="J103" s="57" t="s">
        <v>51</v>
      </c>
      <c r="K103" s="424"/>
      <c r="L103" s="2"/>
      <c r="M103" s="424"/>
      <c r="N103" s="424"/>
      <c r="O103" s="424"/>
      <c r="P103" s="424"/>
      <c r="Q103" s="424"/>
      <c r="R103" s="424"/>
      <c r="S103" s="424"/>
      <c r="T103" s="424"/>
      <c r="U103" s="424"/>
      <c r="V103" s="424"/>
      <c r="W103" s="424"/>
      <c r="X103" s="424"/>
      <c r="Y103" s="424"/>
      <c r="Z103" s="424"/>
      <c r="AA103" s="423"/>
      <c r="AB103" s="423"/>
    </row>
    <row r="104" spans="1:28" x14ac:dyDescent="0.2">
      <c r="A104" s="3"/>
      <c r="B104" s="3"/>
      <c r="C104" s="3"/>
      <c r="D104" s="3" t="s">
        <v>52</v>
      </c>
      <c r="E104" s="3"/>
      <c r="F104" s="3"/>
      <c r="G104" s="3"/>
      <c r="H104" s="424"/>
      <c r="I104" s="3"/>
      <c r="J104" s="3"/>
      <c r="K104" s="424"/>
      <c r="L104" s="2"/>
      <c r="M104" s="424"/>
      <c r="N104" s="424"/>
      <c r="O104" s="424"/>
      <c r="P104" s="424"/>
      <c r="Q104" s="424"/>
      <c r="R104" s="424"/>
      <c r="S104" s="424"/>
      <c r="T104" s="424"/>
      <c r="U104" s="424"/>
      <c r="V104" s="424"/>
      <c r="W104" s="424"/>
      <c r="X104" s="424"/>
      <c r="Y104" s="424"/>
      <c r="Z104" s="424"/>
      <c r="AA104" s="423"/>
      <c r="AB104" s="423"/>
    </row>
    <row r="105" spans="1:28" x14ac:dyDescent="0.2">
      <c r="A105" s="3"/>
      <c r="B105" s="3"/>
      <c r="C105" s="425" t="s">
        <v>44</v>
      </c>
      <c r="D105" s="3" t="s">
        <v>53</v>
      </c>
      <c r="E105" s="3"/>
      <c r="F105" s="3"/>
      <c r="G105" s="3"/>
      <c r="H105" s="424"/>
      <c r="I105" s="3"/>
      <c r="J105" s="106" t="s">
        <v>54</v>
      </c>
      <c r="K105" s="424"/>
      <c r="L105" s="2"/>
      <c r="M105" s="424"/>
      <c r="N105" s="424"/>
      <c r="O105" s="424"/>
      <c r="P105" s="424"/>
      <c r="Q105" s="424"/>
      <c r="R105" s="424"/>
      <c r="S105" s="424"/>
      <c r="T105" s="424"/>
      <c r="U105" s="424"/>
      <c r="V105" s="424"/>
      <c r="W105" s="424"/>
      <c r="X105" s="424"/>
      <c r="Y105" s="424"/>
      <c r="Z105" s="424"/>
      <c r="AA105" s="423"/>
      <c r="AB105" s="423"/>
    </row>
    <row r="106" spans="1:28" x14ac:dyDescent="0.2">
      <c r="A106" s="3"/>
      <c r="B106" s="3"/>
      <c r="C106" s="425" t="s">
        <v>49</v>
      </c>
      <c r="D106" s="3" t="s">
        <v>55</v>
      </c>
      <c r="E106" s="3"/>
      <c r="F106" s="3"/>
      <c r="G106" s="3"/>
      <c r="H106" s="424"/>
      <c r="I106" s="3"/>
      <c r="J106" s="107" t="s">
        <v>56</v>
      </c>
      <c r="K106" s="424"/>
      <c r="L106" s="2"/>
      <c r="M106" s="424"/>
      <c r="N106" s="424"/>
      <c r="O106" s="424"/>
      <c r="P106" s="424"/>
      <c r="Q106" s="424"/>
      <c r="R106" s="424"/>
      <c r="S106" s="424"/>
      <c r="T106" s="424"/>
      <c r="U106" s="424"/>
      <c r="V106" s="424"/>
      <c r="W106" s="424"/>
      <c r="X106" s="424"/>
      <c r="Y106" s="424"/>
      <c r="Z106" s="424"/>
      <c r="AA106" s="423"/>
      <c r="AB106" s="423"/>
    </row>
    <row r="107" spans="1:28" x14ac:dyDescent="0.2">
      <c r="A107" s="3"/>
      <c r="B107" s="3"/>
      <c r="C107" s="425" t="s">
        <v>49</v>
      </c>
      <c r="D107" s="3" t="s">
        <v>57</v>
      </c>
      <c r="E107" s="3"/>
      <c r="F107" s="3"/>
      <c r="G107" s="3"/>
      <c r="H107" s="424"/>
      <c r="I107" s="424"/>
      <c r="J107" s="107" t="s">
        <v>10</v>
      </c>
      <c r="K107" s="424"/>
      <c r="L107" s="424"/>
      <c r="M107" s="424"/>
      <c r="N107" s="424"/>
      <c r="O107" s="424"/>
      <c r="P107" s="424"/>
      <c r="Q107" s="424"/>
      <c r="R107" s="424"/>
      <c r="S107" s="424"/>
      <c r="T107" s="424"/>
      <c r="U107" s="424"/>
      <c r="V107" s="424"/>
      <c r="W107" s="424"/>
      <c r="X107" s="424"/>
      <c r="Y107" s="424"/>
      <c r="Z107" s="424"/>
      <c r="AA107" s="423"/>
      <c r="AB107" s="423"/>
    </row>
    <row r="108" spans="1:28" x14ac:dyDescent="0.2">
      <c r="A108" s="3"/>
      <c r="B108" s="3"/>
      <c r="C108" s="3"/>
      <c r="D108" s="3"/>
      <c r="E108" s="3"/>
      <c r="F108" s="3"/>
      <c r="G108" s="3"/>
      <c r="H108" s="424"/>
      <c r="I108" s="424"/>
      <c r="J108" s="57" t="s">
        <v>58</v>
      </c>
      <c r="K108" s="424"/>
      <c r="L108" s="424"/>
      <c r="M108" s="424"/>
      <c r="N108" s="424"/>
      <c r="O108" s="424"/>
      <c r="P108" s="424"/>
      <c r="Q108" s="424"/>
      <c r="R108" s="424"/>
      <c r="S108" s="424"/>
      <c r="T108" s="424"/>
      <c r="U108" s="424"/>
      <c r="V108" s="424"/>
      <c r="W108" s="424"/>
      <c r="X108" s="424"/>
      <c r="Y108" s="424"/>
      <c r="Z108" s="424"/>
      <c r="AA108" s="423"/>
      <c r="AB108" s="423"/>
    </row>
    <row r="109" spans="1:28" x14ac:dyDescent="0.2">
      <c r="A109" s="3"/>
      <c r="B109" s="3"/>
      <c r="C109" s="425" t="s">
        <v>49</v>
      </c>
      <c r="D109" s="3" t="s">
        <v>59</v>
      </c>
      <c r="F109" s="3"/>
      <c r="G109" s="3"/>
      <c r="H109" s="424"/>
      <c r="I109" s="424"/>
      <c r="J109" s="424"/>
      <c r="K109" s="424"/>
      <c r="L109" s="424"/>
      <c r="M109" s="424"/>
      <c r="N109" s="424"/>
      <c r="O109" s="424"/>
      <c r="P109" s="424"/>
      <c r="Q109" s="424"/>
      <c r="R109" s="424"/>
      <c r="S109" s="424"/>
      <c r="T109" s="424"/>
      <c r="U109" s="424"/>
      <c r="V109" s="424"/>
      <c r="W109" s="424"/>
      <c r="X109" s="424"/>
      <c r="Y109" s="424"/>
      <c r="Z109" s="424"/>
      <c r="AA109" s="423"/>
      <c r="AB109" s="423"/>
    </row>
    <row r="110" spans="1:28" x14ac:dyDescent="0.2">
      <c r="A110" s="3"/>
      <c r="B110" s="3"/>
      <c r="C110" s="3"/>
      <c r="D110" s="3"/>
      <c r="E110" s="3"/>
      <c r="F110" s="3"/>
      <c r="G110" s="3"/>
      <c r="H110" s="424"/>
      <c r="I110" s="424"/>
      <c r="J110" s="424"/>
      <c r="K110" s="424"/>
      <c r="L110" s="424"/>
      <c r="M110" s="424"/>
      <c r="N110" s="424"/>
      <c r="O110" s="424"/>
      <c r="P110" s="424"/>
      <c r="Q110" s="424"/>
      <c r="R110" s="424"/>
      <c r="S110" s="424"/>
      <c r="T110" s="424"/>
      <c r="U110" s="424"/>
      <c r="V110" s="424"/>
      <c r="W110" s="424"/>
      <c r="X110" s="424"/>
      <c r="Y110" s="424"/>
      <c r="Z110" s="424"/>
      <c r="AA110" s="423"/>
      <c r="AB110" s="423"/>
    </row>
    <row r="111" spans="1:28" x14ac:dyDescent="0.2">
      <c r="A111" s="3"/>
      <c r="B111" s="3"/>
      <c r="C111" s="3"/>
      <c r="D111" s="3"/>
      <c r="E111" s="3"/>
      <c r="F111" s="3"/>
      <c r="G111" s="3"/>
      <c r="H111" s="424"/>
      <c r="I111" s="424"/>
      <c r="J111" s="424"/>
      <c r="K111" s="424"/>
      <c r="L111" s="424"/>
      <c r="M111" s="424"/>
      <c r="N111" s="424"/>
      <c r="O111" s="424"/>
      <c r="P111" s="424"/>
      <c r="Q111" s="424"/>
      <c r="R111" s="424"/>
      <c r="S111" s="424"/>
      <c r="T111" s="424"/>
      <c r="U111" s="424"/>
      <c r="V111" s="424"/>
      <c r="W111" s="424"/>
      <c r="X111" s="424"/>
      <c r="Y111" s="424"/>
      <c r="Z111" s="424"/>
      <c r="AA111" s="423"/>
      <c r="AB111" s="423"/>
    </row>
    <row r="112" spans="1:28" x14ac:dyDescent="0.2">
      <c r="A112" s="3"/>
      <c r="B112" s="2" t="s">
        <v>60</v>
      </c>
      <c r="C112" s="3"/>
      <c r="D112" s="3"/>
      <c r="E112" s="3"/>
      <c r="F112" s="3"/>
      <c r="G112" s="3"/>
      <c r="H112" s="424"/>
      <c r="I112" s="424"/>
      <c r="J112" s="424"/>
      <c r="K112" s="424"/>
      <c r="L112" s="424"/>
      <c r="M112" s="424"/>
      <c r="N112" s="424"/>
      <c r="O112" s="424"/>
      <c r="P112" s="424"/>
      <c r="Q112" s="424"/>
      <c r="R112" s="424"/>
      <c r="S112" s="424"/>
      <c r="T112" s="424"/>
      <c r="U112" s="424"/>
      <c r="V112" s="424"/>
      <c r="W112" s="424"/>
      <c r="X112" s="424"/>
      <c r="Y112" s="424"/>
      <c r="Z112" s="424"/>
      <c r="AA112" s="423"/>
      <c r="AB112" s="423"/>
    </row>
    <row r="113" spans="1:28" x14ac:dyDescent="0.2">
      <c r="A113" s="3"/>
      <c r="B113" s="3"/>
      <c r="C113" s="3"/>
      <c r="D113" s="3"/>
      <c r="E113" s="3"/>
      <c r="F113" s="3"/>
      <c r="G113" s="3"/>
      <c r="H113" s="424"/>
      <c r="I113" s="424"/>
      <c r="J113" s="424"/>
      <c r="K113" s="424"/>
      <c r="L113" s="424"/>
      <c r="M113" s="424"/>
      <c r="N113" s="424"/>
      <c r="O113" s="424"/>
      <c r="P113" s="424"/>
      <c r="Q113" s="424"/>
      <c r="R113" s="424"/>
      <c r="S113" s="424"/>
      <c r="T113" s="424"/>
      <c r="U113" s="424"/>
      <c r="V113" s="424"/>
      <c r="W113" s="424"/>
      <c r="X113" s="424"/>
      <c r="Y113" s="424"/>
      <c r="Z113" s="424"/>
      <c r="AA113" s="423"/>
      <c r="AB113" s="423"/>
    </row>
    <row r="114" spans="1:28" x14ac:dyDescent="0.2">
      <c r="A114" s="3"/>
      <c r="B114" s="3"/>
      <c r="C114" s="425" t="s">
        <v>49</v>
      </c>
      <c r="D114" s="3" t="s">
        <v>61</v>
      </c>
      <c r="E114" s="3"/>
      <c r="F114" s="3"/>
      <c r="G114" s="3"/>
      <c r="H114" s="424"/>
      <c r="I114" s="424"/>
      <c r="J114" s="424"/>
      <c r="K114" s="424"/>
      <c r="L114" s="424"/>
      <c r="M114" s="424"/>
      <c r="N114" s="424"/>
      <c r="O114" s="424"/>
      <c r="P114" s="424"/>
      <c r="Q114" s="424"/>
      <c r="R114" s="424"/>
      <c r="S114" s="424"/>
      <c r="T114" s="424"/>
      <c r="U114" s="424"/>
      <c r="V114" s="424"/>
      <c r="W114" s="424"/>
      <c r="X114" s="424"/>
      <c r="Y114" s="424"/>
      <c r="Z114" s="424"/>
      <c r="AA114" s="423"/>
      <c r="AB114" s="423"/>
    </row>
    <row r="115" spans="1:28" x14ac:dyDescent="0.2">
      <c r="A115" s="3"/>
      <c r="B115" s="3"/>
      <c r="C115" s="425" t="s">
        <v>49</v>
      </c>
      <c r="D115" s="3" t="s">
        <v>62</v>
      </c>
      <c r="E115" s="3"/>
      <c r="F115" s="3"/>
      <c r="G115" s="3"/>
      <c r="H115" s="424"/>
      <c r="I115" s="424"/>
      <c r="J115" s="424"/>
      <c r="K115" s="424"/>
      <c r="L115" s="424"/>
      <c r="M115" s="424"/>
      <c r="N115" s="424"/>
      <c r="O115" s="424"/>
      <c r="P115" s="424"/>
      <c r="Q115" s="424"/>
      <c r="R115" s="424"/>
      <c r="S115" s="424"/>
      <c r="T115" s="424"/>
      <c r="U115" s="424"/>
      <c r="V115" s="424"/>
      <c r="W115" s="424"/>
      <c r="X115" s="424"/>
      <c r="Y115" s="424"/>
      <c r="Z115" s="424"/>
      <c r="AA115" s="423"/>
      <c r="AB115" s="423"/>
    </row>
    <row r="116" spans="1:28" x14ac:dyDescent="0.2">
      <c r="A116" s="3"/>
      <c r="B116" s="3"/>
      <c r="C116" s="425" t="s">
        <v>49</v>
      </c>
      <c r="D116" s="3" t="s">
        <v>63</v>
      </c>
      <c r="E116" s="3"/>
      <c r="F116" s="3"/>
      <c r="G116" s="3"/>
      <c r="H116" s="424"/>
      <c r="I116" s="424"/>
      <c r="J116" s="424"/>
      <c r="K116" s="424"/>
      <c r="L116" s="424"/>
      <c r="M116" s="424"/>
      <c r="N116" s="424"/>
      <c r="O116" s="424"/>
      <c r="P116" s="424"/>
      <c r="Q116" s="424"/>
      <c r="R116" s="424"/>
      <c r="S116" s="424"/>
      <c r="T116" s="424"/>
      <c r="U116" s="424"/>
      <c r="V116" s="424"/>
      <c r="W116" s="424"/>
      <c r="X116" s="424"/>
      <c r="Y116" s="424"/>
      <c r="Z116" s="424"/>
      <c r="AA116" s="423"/>
      <c r="AB116" s="423"/>
    </row>
    <row r="117" spans="1:28" x14ac:dyDescent="0.2">
      <c r="A117" s="3"/>
      <c r="B117" s="3"/>
      <c r="C117" s="425" t="s">
        <v>49</v>
      </c>
      <c r="D117" s="3" t="s">
        <v>64</v>
      </c>
      <c r="E117" s="3"/>
      <c r="F117" s="3"/>
      <c r="G117" s="3"/>
      <c r="H117" s="424"/>
      <c r="I117" s="424"/>
      <c r="J117" s="424"/>
      <c r="K117" s="424"/>
      <c r="L117" s="424"/>
      <c r="M117" s="424"/>
      <c r="N117" s="424"/>
      <c r="O117" s="424"/>
      <c r="P117" s="424"/>
      <c r="Q117" s="424"/>
      <c r="R117" s="424"/>
      <c r="S117" s="424"/>
      <c r="T117" s="424"/>
      <c r="U117" s="424"/>
      <c r="V117" s="424"/>
      <c r="W117" s="424"/>
      <c r="X117" s="424"/>
      <c r="Y117" s="424"/>
      <c r="Z117" s="424"/>
      <c r="AA117" s="423"/>
      <c r="AB117" s="423"/>
    </row>
    <row r="118" spans="1:28" x14ac:dyDescent="0.2">
      <c r="A118" s="3"/>
      <c r="B118" s="3"/>
      <c r="C118" s="425" t="s">
        <v>49</v>
      </c>
      <c r="D118" s="3" t="s">
        <v>65</v>
      </c>
      <c r="E118" s="3"/>
      <c r="F118" s="3"/>
      <c r="G118" s="3"/>
      <c r="H118" s="424"/>
      <c r="I118" s="424"/>
      <c r="J118" s="424"/>
      <c r="K118" s="424"/>
      <c r="L118" s="424"/>
      <c r="M118" s="424"/>
      <c r="N118" s="424"/>
      <c r="O118" s="424"/>
      <c r="P118" s="424"/>
      <c r="Q118" s="424"/>
      <c r="R118" s="424"/>
      <c r="S118" s="424"/>
      <c r="T118" s="424"/>
      <c r="U118" s="424"/>
      <c r="V118" s="424"/>
      <c r="W118" s="424"/>
      <c r="X118" s="424"/>
      <c r="Y118" s="424"/>
      <c r="Z118" s="424"/>
      <c r="AA118" s="423"/>
      <c r="AB118" s="423"/>
    </row>
    <row r="119" spans="1:28" x14ac:dyDescent="0.2">
      <c r="A119" s="3"/>
      <c r="B119" s="3"/>
      <c r="C119" s="3"/>
      <c r="D119" s="3"/>
      <c r="E119" s="3"/>
      <c r="F119" s="3"/>
      <c r="G119" s="3"/>
      <c r="H119" s="424"/>
      <c r="I119" s="424"/>
      <c r="J119" s="424"/>
      <c r="K119" s="424"/>
      <c r="L119" s="424"/>
      <c r="M119" s="424"/>
      <c r="N119" s="424"/>
      <c r="O119" s="424"/>
      <c r="P119" s="424"/>
      <c r="Q119" s="424"/>
      <c r="R119" s="424"/>
      <c r="S119" s="424"/>
      <c r="T119" s="424"/>
      <c r="U119" s="424"/>
      <c r="V119" s="424"/>
      <c r="W119" s="424"/>
      <c r="X119" s="424"/>
      <c r="Y119" s="424"/>
      <c r="Z119" s="424"/>
      <c r="AA119" s="423"/>
      <c r="AB119" s="423"/>
    </row>
    <row r="120" spans="1:28" x14ac:dyDescent="0.2">
      <c r="A120" s="3"/>
      <c r="H120" s="424"/>
      <c r="I120" s="424"/>
      <c r="J120" s="424"/>
      <c r="K120" s="424"/>
      <c r="L120" s="424"/>
      <c r="M120" s="424"/>
      <c r="N120" s="424"/>
      <c r="O120" s="424"/>
      <c r="P120" s="424"/>
      <c r="Q120" s="424"/>
      <c r="R120" s="424"/>
      <c r="S120" s="424"/>
      <c r="T120" s="424"/>
      <c r="U120" s="424"/>
      <c r="V120" s="424"/>
      <c r="W120" s="424"/>
      <c r="X120" s="424"/>
      <c r="Y120" s="424"/>
      <c r="Z120" s="424"/>
      <c r="AA120" s="423"/>
      <c r="AB120" s="423"/>
    </row>
    <row r="121" spans="1:28" ht="15.75" x14ac:dyDescent="0.25">
      <c r="A121" s="3"/>
      <c r="B121" s="422" t="s">
        <v>66</v>
      </c>
      <c r="C121" s="18"/>
      <c r="D121" s="18"/>
      <c r="E121" s="18"/>
      <c r="F121" s="18"/>
      <c r="G121" s="18"/>
      <c r="H121" s="3"/>
      <c r="I121" s="3"/>
      <c r="J121" s="3"/>
      <c r="K121" s="3"/>
      <c r="L121" s="3"/>
      <c r="M121" s="3"/>
      <c r="N121" s="3"/>
      <c r="O121" s="3"/>
      <c r="P121" s="3"/>
      <c r="Q121" s="3"/>
      <c r="R121" s="3"/>
      <c r="S121" s="3"/>
      <c r="T121" s="3"/>
      <c r="U121" s="3"/>
      <c r="V121" s="3"/>
      <c r="W121" s="3"/>
      <c r="X121" s="3"/>
      <c r="Y121" s="3"/>
      <c r="Z121" s="3"/>
    </row>
    <row r="122" spans="1:28" x14ac:dyDescent="0.2">
      <c r="A122" s="3"/>
      <c r="B122" s="2"/>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8" x14ac:dyDescent="0.2">
      <c r="A123" s="3"/>
      <c r="B123" s="3" t="s">
        <v>67</v>
      </c>
      <c r="C123" s="3"/>
      <c r="D123" s="3"/>
      <c r="E123" s="3"/>
      <c r="G123" s="3"/>
      <c r="H123" s="3"/>
      <c r="I123" s="3"/>
      <c r="J123" s="3"/>
      <c r="K123" s="3"/>
      <c r="L123" s="3"/>
      <c r="M123" s="3"/>
      <c r="N123" s="3"/>
      <c r="O123" s="3"/>
      <c r="P123" s="3"/>
      <c r="Q123" s="3"/>
      <c r="R123" s="3"/>
      <c r="S123" s="3"/>
      <c r="T123" s="3"/>
      <c r="U123" s="3"/>
      <c r="V123" s="3"/>
      <c r="W123" s="3"/>
      <c r="X123" s="3"/>
      <c r="Y123" s="3"/>
      <c r="Z123" s="3"/>
    </row>
    <row r="124" spans="1:28" x14ac:dyDescent="0.2">
      <c r="A124" s="3"/>
      <c r="B124" s="3" t="s">
        <v>68</v>
      </c>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8"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8"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8" ht="15.75" x14ac:dyDescent="0.25">
      <c r="A127" s="3"/>
      <c r="B127" s="4"/>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8" ht="18.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75" customHeight="1" x14ac:dyDescent="0.2">
      <c r="A129" s="3"/>
      <c r="B129" s="3"/>
      <c r="C129" s="3"/>
      <c r="D129" s="3"/>
      <c r="E129" s="421"/>
      <c r="F129" s="2"/>
      <c r="G129" s="3"/>
      <c r="H129" s="3"/>
      <c r="I129" s="3"/>
      <c r="J129" s="3"/>
      <c r="K129" s="3"/>
      <c r="L129" s="3"/>
      <c r="M129" s="3"/>
      <c r="N129" s="3"/>
      <c r="O129" s="3"/>
      <c r="P129" s="3"/>
      <c r="Q129" s="3"/>
      <c r="R129" s="3"/>
      <c r="S129" s="3"/>
      <c r="T129" s="3"/>
      <c r="U129" s="3"/>
      <c r="V129" s="3"/>
      <c r="W129" s="3"/>
      <c r="X129" s="3"/>
      <c r="Y129" s="3"/>
      <c r="Z129" s="3"/>
    </row>
    <row r="130" spans="1:26" ht="18.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sheetData>
  <dataValidations count="5">
    <dataValidation type="list" allowBlank="1" showInputMessage="1" showErrorMessage="1" sqref="E10">
      <formula1>$J$105:$J$108</formula1>
    </dataValidation>
    <dataValidation type="list" allowBlank="1" showInputMessage="1" showErrorMessage="1" sqref="C100:C101 C114:C118 C105">
      <formula1>$J$101:$J$103</formula1>
    </dataValidation>
    <dataValidation type="list" allowBlank="1" showInputMessage="1" showErrorMessage="1" sqref="C109 C106:C107">
      <formula1>No</formula1>
    </dataValidation>
    <dataValidation type="list" allowBlank="1" showInputMessage="1" showErrorMessage="1" sqref="E130">
      <formula1>$J$61:$J$106</formula1>
    </dataValidation>
    <dataValidation type="list" allowBlank="1" showInputMessage="1" showErrorMessage="1" sqref="C110:C111 C119 C113 C108">
      <formula1>$J$64:$J$93</formula1>
    </dataValidation>
  </dataValidations>
  <pageMargins left="0.7" right="0.7" top="0.75" bottom="0.75" header="0.3" footer="0.3"/>
  <pageSetup scale="75" fitToHeight="2" orientation="portrait" r:id="rId1"/>
  <headerFooter>
    <oddHeader>&amp;C&amp;"Calibri"&amp;10&amp;KFF0000 UNOFFICIAL&amp;1#_x000D_</oddHeader>
    <oddFooter>&amp;C_x000D_&amp;1#&amp;"Calibri"&amp;10&amp;KFF0000 UNOFFICIAL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3713" r:id="rId4" name="Check Box 1">
              <controlPr defaultSize="0" autoFill="0" autoLine="0" autoPict="0">
                <anchor moveWithCells="1">
                  <from>
                    <xdr:col>1</xdr:col>
                    <xdr:colOff>209550</xdr:colOff>
                    <xdr:row>38</xdr:row>
                    <xdr:rowOff>76200</xdr:rowOff>
                  </from>
                  <to>
                    <xdr:col>3</xdr:col>
                    <xdr:colOff>1390650</xdr:colOff>
                    <xdr:row>40</xdr:row>
                    <xdr:rowOff>95250</xdr:rowOff>
                  </to>
                </anchor>
              </controlPr>
            </control>
          </mc:Choice>
        </mc:AlternateContent>
        <mc:AlternateContent xmlns:mc="http://schemas.openxmlformats.org/markup-compatibility/2006">
          <mc:Choice Requires="x14">
            <control shapeId="883714" r:id="rId5" name="Check Box 2">
              <controlPr defaultSize="0" autoFill="0" autoLine="0" autoPict="0">
                <anchor moveWithCells="1">
                  <from>
                    <xdr:col>1</xdr:col>
                    <xdr:colOff>209550</xdr:colOff>
                    <xdr:row>44</xdr:row>
                    <xdr:rowOff>133350</xdr:rowOff>
                  </from>
                  <to>
                    <xdr:col>3</xdr:col>
                    <xdr:colOff>1390650</xdr:colOff>
                    <xdr:row>47</xdr:row>
                    <xdr:rowOff>19050</xdr:rowOff>
                  </to>
                </anchor>
              </controlPr>
            </control>
          </mc:Choice>
        </mc:AlternateContent>
        <mc:AlternateContent xmlns:mc="http://schemas.openxmlformats.org/markup-compatibility/2006">
          <mc:Choice Requires="x14">
            <control shapeId="883715" r:id="rId6" name="Check Box 3">
              <controlPr defaultSize="0" autoFill="0" autoLine="0" autoPict="0">
                <anchor moveWithCells="1">
                  <from>
                    <xdr:col>4</xdr:col>
                    <xdr:colOff>1847850</xdr:colOff>
                    <xdr:row>38</xdr:row>
                    <xdr:rowOff>114300</xdr:rowOff>
                  </from>
                  <to>
                    <xdr:col>5</xdr:col>
                    <xdr:colOff>1123950</xdr:colOff>
                    <xdr:row>40</xdr:row>
                    <xdr:rowOff>133350</xdr:rowOff>
                  </to>
                </anchor>
              </controlPr>
            </control>
          </mc:Choice>
        </mc:AlternateContent>
        <mc:AlternateContent xmlns:mc="http://schemas.openxmlformats.org/markup-compatibility/2006">
          <mc:Choice Requires="x14">
            <control shapeId="883716" r:id="rId7" name="Check Box 4">
              <controlPr defaultSize="0" autoFill="0" autoLine="0" autoPict="0">
                <anchor moveWithCells="1">
                  <from>
                    <xdr:col>4</xdr:col>
                    <xdr:colOff>1885950</xdr:colOff>
                    <xdr:row>44</xdr:row>
                    <xdr:rowOff>133350</xdr:rowOff>
                  </from>
                  <to>
                    <xdr:col>5</xdr:col>
                    <xdr:colOff>1200150</xdr:colOff>
                    <xdr:row>47</xdr:row>
                    <xdr:rowOff>19050</xdr:rowOff>
                  </to>
                </anchor>
              </controlPr>
            </control>
          </mc:Choice>
        </mc:AlternateContent>
        <mc:AlternateContent xmlns:mc="http://schemas.openxmlformats.org/markup-compatibility/2006">
          <mc:Choice Requires="x14">
            <control shapeId="883717" r:id="rId8" name="Check Box 5">
              <controlPr defaultSize="0" autoFill="0" autoLine="0" autoPict="0">
                <anchor moveWithCells="1">
                  <from>
                    <xdr:col>2</xdr:col>
                    <xdr:colOff>0</xdr:colOff>
                    <xdr:row>24</xdr:row>
                    <xdr:rowOff>0</xdr:rowOff>
                  </from>
                  <to>
                    <xdr:col>4</xdr:col>
                    <xdr:colOff>133350</xdr:colOff>
                    <xdr:row>26</xdr:row>
                    <xdr:rowOff>38100</xdr:rowOff>
                  </to>
                </anchor>
              </controlPr>
            </control>
          </mc:Choice>
        </mc:AlternateContent>
        <mc:AlternateContent xmlns:mc="http://schemas.openxmlformats.org/markup-compatibility/2006">
          <mc:Choice Requires="x14">
            <control shapeId="883718" r:id="rId9" name="Check Box 6">
              <controlPr defaultSize="0" autoFill="0" autoLine="0" autoPict="0">
                <anchor moveWithCells="1">
                  <from>
                    <xdr:col>2</xdr:col>
                    <xdr:colOff>0</xdr:colOff>
                    <xdr:row>28</xdr:row>
                    <xdr:rowOff>0</xdr:rowOff>
                  </from>
                  <to>
                    <xdr:col>4</xdr:col>
                    <xdr:colOff>76200</xdr:colOff>
                    <xdr:row>30</xdr:row>
                    <xdr:rowOff>19050</xdr:rowOff>
                  </to>
                </anchor>
              </controlPr>
            </control>
          </mc:Choice>
        </mc:AlternateContent>
        <mc:AlternateContent xmlns:mc="http://schemas.openxmlformats.org/markup-compatibility/2006">
          <mc:Choice Requires="x14">
            <control shapeId="883719" r:id="rId10" name="Check Box 7">
              <controlPr defaultSize="0" autoFill="0" autoLine="0" autoPict="0">
                <anchor moveWithCells="1">
                  <from>
                    <xdr:col>2</xdr:col>
                    <xdr:colOff>0</xdr:colOff>
                    <xdr:row>30</xdr:row>
                    <xdr:rowOff>0</xdr:rowOff>
                  </from>
                  <to>
                    <xdr:col>4</xdr:col>
                    <xdr:colOff>76200</xdr:colOff>
                    <xdr:row>32</xdr:row>
                    <xdr:rowOff>19050</xdr:rowOff>
                  </to>
                </anchor>
              </controlPr>
            </control>
          </mc:Choice>
        </mc:AlternateContent>
        <mc:AlternateContent xmlns:mc="http://schemas.openxmlformats.org/markup-compatibility/2006">
          <mc:Choice Requires="x14">
            <control shapeId="883720" r:id="rId11" name="Check Box 8">
              <controlPr defaultSize="0" autoFill="0" autoLine="0" autoPict="0">
                <anchor moveWithCells="1">
                  <from>
                    <xdr:col>2</xdr:col>
                    <xdr:colOff>0</xdr:colOff>
                    <xdr:row>26</xdr:row>
                    <xdr:rowOff>19050</xdr:rowOff>
                  </from>
                  <to>
                    <xdr:col>4</xdr:col>
                    <xdr:colOff>152400</xdr:colOff>
                    <xdr:row>28</xdr:row>
                    <xdr:rowOff>38100</xdr:rowOff>
                  </to>
                </anchor>
              </controlPr>
            </control>
          </mc:Choice>
        </mc:AlternateContent>
        <mc:AlternateContent xmlns:mc="http://schemas.openxmlformats.org/markup-compatibility/2006">
          <mc:Choice Requires="x14">
            <control shapeId="883721" r:id="rId12" name="Check Box 9">
              <controlPr defaultSize="0" autoFill="0" autoLine="0" autoPict="0">
                <anchor moveWithCells="1">
                  <from>
                    <xdr:col>2</xdr:col>
                    <xdr:colOff>0</xdr:colOff>
                    <xdr:row>32</xdr:row>
                    <xdr:rowOff>0</xdr:rowOff>
                  </from>
                  <to>
                    <xdr:col>3</xdr:col>
                    <xdr:colOff>1028700</xdr:colOff>
                    <xdr:row>34</xdr:row>
                    <xdr:rowOff>19050</xdr:rowOff>
                  </to>
                </anchor>
              </controlPr>
            </control>
          </mc:Choice>
        </mc:AlternateContent>
        <mc:AlternateContent xmlns:mc="http://schemas.openxmlformats.org/markup-compatibility/2006">
          <mc:Choice Requires="x14">
            <control shapeId="883722" r:id="rId13" name="Check Box 10">
              <controlPr defaultSize="0" autoFill="0" autoLine="0" autoPict="0">
                <anchor moveWithCells="1">
                  <from>
                    <xdr:col>2</xdr:col>
                    <xdr:colOff>304800</xdr:colOff>
                    <xdr:row>40</xdr:row>
                    <xdr:rowOff>57150</xdr:rowOff>
                  </from>
                  <to>
                    <xdr:col>4</xdr:col>
                    <xdr:colOff>876300</xdr:colOff>
                    <xdr:row>42</xdr:row>
                    <xdr:rowOff>38100</xdr:rowOff>
                  </to>
                </anchor>
              </controlPr>
            </control>
          </mc:Choice>
        </mc:AlternateContent>
        <mc:AlternateContent xmlns:mc="http://schemas.openxmlformats.org/markup-compatibility/2006">
          <mc:Choice Requires="x14">
            <control shapeId="883723" r:id="rId14" name="Check Box 11">
              <controlPr defaultSize="0" autoFill="0" autoLine="0" autoPict="0">
                <anchor moveWithCells="1">
                  <from>
                    <xdr:col>2</xdr:col>
                    <xdr:colOff>304800</xdr:colOff>
                    <xdr:row>42</xdr:row>
                    <xdr:rowOff>19050</xdr:rowOff>
                  </from>
                  <to>
                    <xdr:col>4</xdr:col>
                    <xdr:colOff>742950</xdr:colOff>
                    <xdr:row>44</xdr:row>
                    <xdr:rowOff>76200</xdr:rowOff>
                  </to>
                </anchor>
              </controlPr>
            </control>
          </mc:Choice>
        </mc:AlternateContent>
        <mc:AlternateContent xmlns:mc="http://schemas.openxmlformats.org/markup-compatibility/2006">
          <mc:Choice Requires="x14">
            <control shapeId="883724" r:id="rId15" name="Check Box 12">
              <controlPr defaultSize="0" autoFill="0" autoLine="0" autoPict="0">
                <anchor moveWithCells="1">
                  <from>
                    <xdr:col>5</xdr:col>
                    <xdr:colOff>304800</xdr:colOff>
                    <xdr:row>42</xdr:row>
                    <xdr:rowOff>19050</xdr:rowOff>
                  </from>
                  <to>
                    <xdr:col>6</xdr:col>
                    <xdr:colOff>647700</xdr:colOff>
                    <xdr:row>44</xdr:row>
                    <xdr:rowOff>19050</xdr:rowOff>
                  </to>
                </anchor>
              </controlPr>
            </control>
          </mc:Choice>
        </mc:AlternateContent>
        <mc:AlternateContent xmlns:mc="http://schemas.openxmlformats.org/markup-compatibility/2006">
          <mc:Choice Requires="x14">
            <control shapeId="883725" r:id="rId16" name="Check Box 13">
              <controlPr defaultSize="0" autoFill="0" autoLine="0" autoPict="0">
                <anchor moveWithCells="1">
                  <from>
                    <xdr:col>5</xdr:col>
                    <xdr:colOff>304800</xdr:colOff>
                    <xdr:row>40</xdr:row>
                    <xdr:rowOff>57150</xdr:rowOff>
                  </from>
                  <to>
                    <xdr:col>5</xdr:col>
                    <xdr:colOff>2514600</xdr:colOff>
                    <xdr:row>41</xdr:row>
                    <xdr:rowOff>133350</xdr:rowOff>
                  </to>
                </anchor>
              </controlPr>
            </control>
          </mc:Choice>
        </mc:AlternateContent>
        <mc:AlternateContent xmlns:mc="http://schemas.openxmlformats.org/markup-compatibility/2006">
          <mc:Choice Requires="x14">
            <control shapeId="883726" r:id="rId17" name="Check Box 14">
              <controlPr defaultSize="0" autoFill="0" autoLine="0" autoPict="0">
                <anchor moveWithCells="1">
                  <from>
                    <xdr:col>2</xdr:col>
                    <xdr:colOff>304800</xdr:colOff>
                    <xdr:row>46</xdr:row>
                    <xdr:rowOff>76200</xdr:rowOff>
                  </from>
                  <to>
                    <xdr:col>4</xdr:col>
                    <xdr:colOff>723900</xdr:colOff>
                    <xdr:row>48</xdr:row>
                    <xdr:rowOff>95250</xdr:rowOff>
                  </to>
                </anchor>
              </controlPr>
            </control>
          </mc:Choice>
        </mc:AlternateContent>
        <mc:AlternateContent xmlns:mc="http://schemas.openxmlformats.org/markup-compatibility/2006">
          <mc:Choice Requires="x14">
            <control shapeId="883727" r:id="rId18" name="Check Box 15">
              <controlPr defaultSize="0" autoFill="0" autoLine="0" autoPict="0">
                <anchor moveWithCells="1">
                  <from>
                    <xdr:col>2</xdr:col>
                    <xdr:colOff>304800</xdr:colOff>
                    <xdr:row>48</xdr:row>
                    <xdr:rowOff>38100</xdr:rowOff>
                  </from>
                  <to>
                    <xdr:col>4</xdr:col>
                    <xdr:colOff>1104900</xdr:colOff>
                    <xdr:row>51</xdr:row>
                    <xdr:rowOff>95250</xdr:rowOff>
                  </to>
                </anchor>
              </controlPr>
            </control>
          </mc:Choice>
        </mc:AlternateContent>
        <mc:AlternateContent xmlns:mc="http://schemas.openxmlformats.org/markup-compatibility/2006">
          <mc:Choice Requires="x14">
            <control shapeId="883728" r:id="rId19" name="Check Box 16">
              <controlPr defaultSize="0" autoFill="0" autoLine="0" autoPict="0">
                <anchor moveWithCells="1">
                  <from>
                    <xdr:col>5</xdr:col>
                    <xdr:colOff>304800</xdr:colOff>
                    <xdr:row>46</xdr:row>
                    <xdr:rowOff>38100</xdr:rowOff>
                  </from>
                  <to>
                    <xdr:col>5</xdr:col>
                    <xdr:colOff>2800350</xdr:colOff>
                    <xdr:row>48</xdr:row>
                    <xdr:rowOff>95250</xdr:rowOff>
                  </to>
                </anchor>
              </controlPr>
            </control>
          </mc:Choice>
        </mc:AlternateContent>
        <mc:AlternateContent xmlns:mc="http://schemas.openxmlformats.org/markup-compatibility/2006">
          <mc:Choice Requires="x14">
            <control shapeId="883729" r:id="rId20" name="Check Box 17">
              <controlPr defaultSize="0" autoFill="0" autoLine="0" autoPict="0">
                <anchor moveWithCells="1">
                  <from>
                    <xdr:col>5</xdr:col>
                    <xdr:colOff>285750</xdr:colOff>
                    <xdr:row>48</xdr:row>
                    <xdr:rowOff>38100</xdr:rowOff>
                  </from>
                  <to>
                    <xdr:col>6</xdr:col>
                    <xdr:colOff>838200</xdr:colOff>
                    <xdr:row>50</xdr:row>
                    <xdr:rowOff>95250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M1048570"/>
  <sheetViews>
    <sheetView showGridLines="0" topLeftCell="A91" zoomScaleNormal="100" workbookViewId="0">
      <selection activeCell="Q98" sqref="Q98"/>
    </sheetView>
  </sheetViews>
  <sheetFormatPr defaultRowHeight="12" outlineLevelRow="1" outlineLevelCol="1" x14ac:dyDescent="0.2"/>
  <cols>
    <col min="1" max="1" width="2.7109375" style="840" customWidth="1"/>
    <col min="2" max="2" width="50" customWidth="1"/>
    <col min="3" max="3" width="3" customWidth="1"/>
    <col min="4" max="4" width="12.42578125" customWidth="1"/>
    <col min="5" max="8" width="2.7109375" hidden="1" customWidth="1" outlineLevel="1"/>
    <col min="9" max="9" width="9.28515625" customWidth="1" collapsed="1"/>
    <col min="10" max="10" width="12.5703125" customWidth="1"/>
    <col min="11" max="11" width="13.85546875" customWidth="1"/>
    <col min="12" max="12" width="11.7109375" customWidth="1"/>
    <col min="13" max="13" width="13.42578125" customWidth="1"/>
    <col min="14" max="14" width="14.140625" customWidth="1"/>
    <col min="15" max="15" width="13.140625" customWidth="1"/>
    <col min="16" max="16" width="12.85546875" customWidth="1"/>
    <col min="17" max="17" width="13.85546875" customWidth="1"/>
    <col min="18" max="18" width="13.28515625" customWidth="1"/>
    <col min="19" max="19" width="9.42578125" customWidth="1"/>
    <col min="20" max="20" width="9.140625" customWidth="1"/>
    <col min="33" max="39" width="9"/>
  </cols>
  <sheetData>
    <row r="1" spans="1:39" ht="12.75" thickBot="1" x14ac:dyDescent="0.25">
      <c r="A1" s="841">
        <v>6</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39" s="58" customFormat="1" ht="15.75" x14ac:dyDescent="0.25">
      <c r="A2" s="841"/>
      <c r="B2" s="1549" t="str">
        <f>'WS1-Application'!B2</f>
        <v>APPLICATION FOR SPECIAL VARIATION - WILLOUGHBY CITY COUNCIL</v>
      </c>
      <c r="C2" s="1550"/>
      <c r="D2" s="1550"/>
      <c r="E2" s="1550"/>
      <c r="F2" s="1550"/>
      <c r="G2" s="1550"/>
      <c r="H2" s="1550"/>
      <c r="I2" s="1550"/>
      <c r="J2" s="1550"/>
      <c r="K2" s="1550"/>
      <c r="L2" s="1550"/>
      <c r="M2" s="1550"/>
      <c r="N2" s="1550"/>
      <c r="O2" s="1550"/>
      <c r="P2" s="1550"/>
      <c r="Q2" s="1550"/>
      <c r="R2" s="1550"/>
      <c r="S2" s="1550"/>
      <c r="T2" s="1551"/>
      <c r="U2" s="3"/>
      <c r="V2" s="3"/>
      <c r="W2" s="3"/>
      <c r="X2" s="3"/>
      <c r="Y2" s="3"/>
      <c r="Z2" s="3"/>
      <c r="AA2" s="49"/>
      <c r="AB2" s="49"/>
      <c r="AC2" s="49"/>
      <c r="AD2" s="49"/>
      <c r="AE2" s="49"/>
      <c r="AF2" s="49"/>
      <c r="AG2" s="49"/>
      <c r="AH2" s="49"/>
      <c r="AI2" s="49"/>
      <c r="AJ2" s="49"/>
      <c r="AK2" s="49"/>
      <c r="AL2" s="49"/>
      <c r="AM2" s="49"/>
    </row>
    <row r="3" spans="1:39" s="58" customFormat="1" ht="15.75" x14ac:dyDescent="0.2">
      <c r="A3" s="841"/>
      <c r="B3" s="1561"/>
      <c r="C3" s="1562"/>
      <c r="D3" s="1562"/>
      <c r="E3" s="1562"/>
      <c r="F3" s="1562"/>
      <c r="G3" s="1562"/>
      <c r="H3" s="1562"/>
      <c r="I3" s="1562"/>
      <c r="J3" s="1562"/>
      <c r="K3" s="1573"/>
      <c r="L3" s="1572"/>
      <c r="M3" s="1542"/>
      <c r="N3" s="1542"/>
      <c r="O3" s="1542"/>
      <c r="P3" s="1542"/>
      <c r="Q3" s="1542"/>
      <c r="R3" s="1542"/>
      <c r="S3" s="1542"/>
      <c r="T3" s="1528"/>
      <c r="U3" s="3"/>
      <c r="V3" s="3"/>
      <c r="W3" s="3"/>
      <c r="X3" s="3"/>
      <c r="Y3" s="3"/>
      <c r="Z3" s="3"/>
      <c r="AA3" s="49"/>
      <c r="AB3" s="49"/>
      <c r="AC3" s="49"/>
      <c r="AD3" s="49"/>
      <c r="AE3" s="49"/>
      <c r="AF3" s="49"/>
      <c r="AG3" s="49"/>
      <c r="AH3" s="49"/>
      <c r="AI3" s="49"/>
      <c r="AJ3" s="49"/>
      <c r="AK3" s="49"/>
      <c r="AL3" s="49"/>
      <c r="AM3" s="49"/>
    </row>
    <row r="4" spans="1:39" s="58" customFormat="1" ht="16.5" customHeight="1" thickBot="1" x14ac:dyDescent="0.3">
      <c r="A4" s="841"/>
      <c r="B4" s="1553" t="str">
        <f>"WORKSHEET "&amp;A1&amp;": PERMISSIBLE GENERAL INCOME SUMMARY FOR "&amp;'WS0 - Input data'!D45</f>
        <v>WORKSHEET 6: PERMISSIBLE GENERAL INCOME SUMMARY FOR 2024-25</v>
      </c>
      <c r="C4" s="1554"/>
      <c r="D4" s="1554"/>
      <c r="E4" s="1554"/>
      <c r="F4" s="1554"/>
      <c r="G4" s="1554"/>
      <c r="H4" s="1554"/>
      <c r="I4" s="1554"/>
      <c r="J4" s="1554"/>
      <c r="K4" s="1554"/>
      <c r="L4" s="1554"/>
      <c r="M4" s="1554"/>
      <c r="N4" s="1554"/>
      <c r="O4" s="1554"/>
      <c r="P4" s="1554"/>
      <c r="Q4" s="1554"/>
      <c r="R4" s="1554"/>
      <c r="S4" s="1554"/>
      <c r="T4" s="1560"/>
      <c r="U4" s="3"/>
      <c r="V4" s="3"/>
      <c r="W4" s="3"/>
      <c r="X4" s="3"/>
      <c r="Y4" s="3"/>
      <c r="Z4" s="3"/>
      <c r="AA4" s="49"/>
      <c r="AB4" s="49"/>
      <c r="AC4" s="49"/>
      <c r="AD4" s="49"/>
      <c r="AE4" s="49"/>
      <c r="AF4" s="49"/>
      <c r="AG4" s="49"/>
      <c r="AH4" s="49"/>
      <c r="AI4" s="49"/>
      <c r="AJ4" s="49"/>
      <c r="AK4" s="49"/>
      <c r="AL4" s="49"/>
      <c r="AM4" s="49"/>
    </row>
    <row r="5" spans="1:39" s="58" customFormat="1" ht="12" customHeight="1" x14ac:dyDescent="0.2">
      <c r="A5" s="841"/>
      <c r="B5" s="1"/>
      <c r="C5" s="1"/>
      <c r="D5" s="1"/>
      <c r="E5" s="1"/>
      <c r="F5" s="1"/>
      <c r="G5" s="1"/>
      <c r="H5" s="1"/>
      <c r="I5" s="1"/>
      <c r="J5" s="1"/>
      <c r="K5" s="1"/>
      <c r="L5" s="1"/>
      <c r="M5" s="3"/>
      <c r="N5" s="3"/>
      <c r="O5" s="3"/>
      <c r="P5" s="3"/>
      <c r="Q5" s="3"/>
      <c r="R5" s="3"/>
      <c r="S5" s="3"/>
      <c r="T5" s="3"/>
      <c r="U5" s="3"/>
      <c r="V5" s="3"/>
      <c r="W5" s="3"/>
      <c r="X5" s="3"/>
      <c r="Y5" s="3"/>
      <c r="Z5" s="3"/>
      <c r="AA5" s="49"/>
      <c r="AB5" s="49"/>
      <c r="AC5" s="49"/>
      <c r="AD5" s="49"/>
      <c r="AE5" s="49"/>
      <c r="AF5" s="49"/>
      <c r="AG5" s="49"/>
      <c r="AH5" s="49"/>
      <c r="AI5" s="49"/>
      <c r="AJ5" s="49"/>
      <c r="AK5" s="49"/>
      <c r="AL5" s="49"/>
      <c r="AM5" s="49"/>
    </row>
    <row r="6" spans="1:39" s="58" customFormat="1" ht="12" customHeight="1" x14ac:dyDescent="0.2">
      <c r="A6" s="841"/>
      <c r="B6" s="1"/>
      <c r="C6" s="1"/>
      <c r="D6" s="1"/>
      <c r="E6" s="1"/>
      <c r="F6" s="1"/>
      <c r="G6" s="1"/>
      <c r="H6" s="1"/>
      <c r="I6" s="1"/>
      <c r="J6" s="1"/>
      <c r="K6" s="1"/>
      <c r="L6" s="1"/>
      <c r="M6" s="3"/>
      <c r="N6" s="3"/>
      <c r="O6" s="3"/>
      <c r="P6" s="3"/>
      <c r="Q6" s="3"/>
      <c r="R6" s="3"/>
      <c r="S6" s="3"/>
      <c r="T6" s="3"/>
      <c r="U6" s="3"/>
      <c r="V6" s="3"/>
      <c r="W6" s="3"/>
      <c r="X6" s="3"/>
      <c r="Y6" s="3"/>
      <c r="Z6" s="3"/>
      <c r="AA6" s="49"/>
      <c r="AB6" s="49"/>
      <c r="AC6" s="49"/>
      <c r="AD6" s="49"/>
      <c r="AE6" s="49"/>
      <c r="AF6" s="49"/>
      <c r="AG6" s="49"/>
      <c r="AH6" s="49"/>
      <c r="AI6" s="49"/>
      <c r="AJ6" s="49"/>
      <c r="AK6" s="49"/>
      <c r="AL6" s="49"/>
      <c r="AM6" s="49"/>
    </row>
    <row r="7" spans="1:39" s="58" customFormat="1" ht="15.75" x14ac:dyDescent="0.25">
      <c r="A7" s="841"/>
      <c r="B7" s="461" t="s">
        <v>496</v>
      </c>
      <c r="C7" s="37"/>
      <c r="E7" s="22"/>
      <c r="F7" s="37"/>
      <c r="J7" s="37"/>
      <c r="K7" s="37"/>
      <c r="L7" s="1"/>
      <c r="M7" s="3"/>
      <c r="N7" s="3"/>
      <c r="O7" s="3"/>
      <c r="P7" s="3"/>
      <c r="Q7" s="3"/>
      <c r="R7" s="3"/>
      <c r="S7" s="3"/>
      <c r="T7" s="3"/>
      <c r="U7" s="3"/>
      <c r="V7" s="3"/>
      <c r="W7" s="3"/>
      <c r="X7" s="3"/>
      <c r="Y7" s="3"/>
      <c r="Z7" s="3"/>
      <c r="AA7" s="49"/>
      <c r="AB7" s="49"/>
      <c r="AC7" s="49"/>
      <c r="AD7" s="49"/>
      <c r="AE7" s="49"/>
      <c r="AF7" s="49"/>
      <c r="AG7" s="49"/>
      <c r="AH7" s="49"/>
      <c r="AI7" s="49"/>
      <c r="AJ7" s="49"/>
      <c r="AK7" s="49"/>
      <c r="AL7" s="49"/>
      <c r="AM7" s="49"/>
    </row>
    <row r="8" spans="1:39" s="58" customFormat="1" ht="15.75" x14ac:dyDescent="0.25">
      <c r="A8" s="841"/>
      <c r="B8" s="674" t="s">
        <v>977</v>
      </c>
      <c r="C8" s="943"/>
      <c r="D8" s="944"/>
      <c r="E8" s="945"/>
      <c r="F8" s="943"/>
      <c r="G8" s="944"/>
      <c r="H8" s="944"/>
      <c r="I8" s="944"/>
      <c r="J8" s="943"/>
      <c r="K8" s="943"/>
      <c r="L8" s="666"/>
      <c r="M8" s="141"/>
      <c r="N8" s="141"/>
      <c r="O8" s="141"/>
      <c r="P8" s="141"/>
      <c r="Q8" s="141"/>
      <c r="R8" s="141"/>
      <c r="S8" s="141"/>
      <c r="T8" s="667"/>
      <c r="U8" s="3"/>
      <c r="V8" s="3"/>
      <c r="W8" s="3"/>
      <c r="X8" s="3"/>
      <c r="Y8" s="3"/>
      <c r="Z8" s="3"/>
      <c r="AA8" s="49"/>
      <c r="AB8" s="49"/>
      <c r="AC8" s="49"/>
      <c r="AD8" s="49"/>
      <c r="AE8" s="49"/>
      <c r="AF8" s="49"/>
      <c r="AG8" s="49"/>
      <c r="AH8" s="49"/>
      <c r="AI8" s="49"/>
      <c r="AJ8" s="49"/>
      <c r="AK8" s="49"/>
      <c r="AL8" s="49"/>
      <c r="AM8" s="49"/>
    </row>
    <row r="9" spans="1:39" s="58" customFormat="1" ht="2.25" customHeight="1" x14ac:dyDescent="0.25">
      <c r="A9" s="841"/>
      <c r="B9" s="668"/>
      <c r="C9" s="37"/>
      <c r="E9" s="22"/>
      <c r="F9" s="37"/>
      <c r="J9" s="37"/>
      <c r="K9" s="37"/>
      <c r="L9" s="1"/>
      <c r="M9" s="3"/>
      <c r="N9" s="3"/>
      <c r="O9" s="3"/>
      <c r="P9" s="3"/>
      <c r="Q9" s="3"/>
      <c r="R9" s="3"/>
      <c r="S9" s="3"/>
      <c r="T9" s="568"/>
      <c r="U9" s="3"/>
      <c r="V9" s="3"/>
      <c r="W9" s="3"/>
      <c r="X9" s="3"/>
      <c r="Y9" s="3"/>
      <c r="Z9" s="3"/>
      <c r="AA9" s="49"/>
      <c r="AB9" s="49"/>
      <c r="AC9" s="49"/>
      <c r="AD9" s="49"/>
      <c r="AE9" s="49"/>
      <c r="AF9" s="49"/>
      <c r="AG9" s="49"/>
      <c r="AH9" s="49"/>
      <c r="AI9" s="49"/>
      <c r="AJ9" s="49"/>
      <c r="AK9" s="49"/>
      <c r="AL9" s="49"/>
      <c r="AM9" s="49"/>
    </row>
    <row r="10" spans="1:39" s="58" customFormat="1" ht="15" x14ac:dyDescent="0.2">
      <c r="A10" s="841"/>
      <c r="B10" s="581" t="s">
        <v>615</v>
      </c>
      <c r="C10" s="579"/>
      <c r="E10" s="77"/>
      <c r="F10" s="579"/>
      <c r="J10" s="579"/>
      <c r="K10" s="579"/>
      <c r="L10" s="1"/>
      <c r="M10" s="3"/>
      <c r="N10" s="3"/>
      <c r="O10" s="3"/>
      <c r="P10" s="3"/>
      <c r="Q10" s="3"/>
      <c r="R10" s="3"/>
      <c r="S10" s="3"/>
      <c r="T10" s="568"/>
      <c r="U10" s="3"/>
      <c r="V10" s="3"/>
      <c r="W10" s="3"/>
      <c r="X10" s="3"/>
      <c r="Y10" s="3"/>
      <c r="Z10" s="3"/>
      <c r="AA10" s="49"/>
      <c r="AB10" s="49"/>
      <c r="AC10" s="49"/>
      <c r="AD10" s="49"/>
      <c r="AE10" s="49"/>
      <c r="AF10" s="49"/>
      <c r="AG10" s="49"/>
      <c r="AH10" s="49"/>
      <c r="AI10" s="49"/>
      <c r="AJ10" s="49"/>
      <c r="AK10" s="49"/>
      <c r="AL10" s="49"/>
      <c r="AM10" s="49"/>
    </row>
    <row r="11" spans="1:39" s="58" customFormat="1" ht="15" x14ac:dyDescent="0.2">
      <c r="A11" s="841"/>
      <c r="B11" s="581" t="s">
        <v>616</v>
      </c>
      <c r="C11" s="579"/>
      <c r="E11" s="77"/>
      <c r="F11" s="579"/>
      <c r="J11" s="579"/>
      <c r="K11" s="579"/>
      <c r="L11" s="1"/>
      <c r="M11" s="3"/>
      <c r="N11" s="3"/>
      <c r="O11" s="3"/>
      <c r="P11" s="3"/>
      <c r="Q11" s="3"/>
      <c r="R11" s="3"/>
      <c r="S11" s="3"/>
      <c r="T11" s="568"/>
      <c r="U11" s="3"/>
      <c r="V11" s="3"/>
      <c r="W11" s="3"/>
      <c r="X11" s="3"/>
      <c r="Y11" s="3"/>
      <c r="Z11" s="3"/>
      <c r="AA11" s="49"/>
      <c r="AB11" s="49"/>
      <c r="AC11" s="49"/>
      <c r="AD11" s="49"/>
      <c r="AE11" s="49"/>
      <c r="AF11" s="49"/>
      <c r="AG11" s="49"/>
      <c r="AH11" s="49"/>
      <c r="AI11" s="49"/>
      <c r="AJ11" s="49"/>
      <c r="AK11" s="49"/>
      <c r="AL11" s="49"/>
      <c r="AM11" s="49"/>
    </row>
    <row r="12" spans="1:39" s="58" customFormat="1" ht="15" x14ac:dyDescent="0.2">
      <c r="A12" s="841"/>
      <c r="B12" s="581" t="s">
        <v>617</v>
      </c>
      <c r="C12" s="579"/>
      <c r="E12" s="77"/>
      <c r="F12" s="579"/>
      <c r="J12" s="579"/>
      <c r="K12" s="579"/>
      <c r="L12" s="1"/>
      <c r="M12" s="3"/>
      <c r="N12" s="3"/>
      <c r="O12" s="3"/>
      <c r="P12" s="3"/>
      <c r="Q12" s="3"/>
      <c r="R12" s="3"/>
      <c r="S12" s="3"/>
      <c r="T12" s="568"/>
      <c r="U12" s="3"/>
      <c r="V12" s="3"/>
      <c r="W12" s="3"/>
      <c r="X12" s="3"/>
      <c r="Y12" s="3"/>
      <c r="Z12" s="3"/>
      <c r="AA12" s="49"/>
      <c r="AB12" s="49"/>
      <c r="AC12" s="49"/>
      <c r="AD12" s="49"/>
      <c r="AE12" s="49"/>
      <c r="AF12" s="49"/>
      <c r="AG12" s="49"/>
      <c r="AH12" s="49"/>
      <c r="AI12" s="49"/>
      <c r="AJ12" s="49"/>
      <c r="AK12" s="49"/>
      <c r="AL12" s="49"/>
      <c r="AM12" s="49"/>
    </row>
    <row r="13" spans="1:39" s="58" customFormat="1" ht="12" customHeight="1" x14ac:dyDescent="0.2">
      <c r="A13" s="841"/>
      <c r="B13" s="946"/>
      <c r="C13" s="580"/>
      <c r="D13" s="947"/>
      <c r="E13" s="947"/>
      <c r="F13" s="580"/>
      <c r="G13" s="948"/>
      <c r="H13" s="948"/>
      <c r="I13" s="948"/>
      <c r="J13" s="580"/>
      <c r="K13" s="580"/>
      <c r="L13" s="580"/>
      <c r="M13" s="948"/>
      <c r="N13" s="948"/>
      <c r="O13" s="948"/>
      <c r="P13" s="948"/>
      <c r="Q13" s="948"/>
      <c r="R13" s="948"/>
      <c r="S13" s="948"/>
      <c r="T13" s="949"/>
      <c r="U13" s="3"/>
      <c r="V13" s="3"/>
      <c r="W13" s="3"/>
      <c r="X13" s="3"/>
      <c r="Y13" s="3"/>
      <c r="Z13" s="3"/>
      <c r="AA13" s="49"/>
      <c r="AB13" s="49"/>
      <c r="AC13" s="49"/>
      <c r="AD13" s="49"/>
      <c r="AE13" s="49"/>
      <c r="AF13" s="49"/>
      <c r="AG13" s="49"/>
      <c r="AH13" s="49"/>
      <c r="AI13" s="49"/>
      <c r="AJ13" s="49"/>
      <c r="AK13" s="49"/>
      <c r="AL13" s="49"/>
      <c r="AM13" s="49"/>
    </row>
    <row r="14" spans="1:39" s="58" customFormat="1" ht="12" customHeight="1" x14ac:dyDescent="0.2">
      <c r="A14" s="841"/>
      <c r="B14" s="49"/>
      <c r="C14" s="1"/>
      <c r="D14" s="77"/>
      <c r="E14" s="77"/>
      <c r="F14" s="1"/>
      <c r="J14" s="1"/>
      <c r="K14" s="1"/>
      <c r="L14" s="1"/>
      <c r="N14" s="3"/>
      <c r="O14" s="3"/>
      <c r="P14" s="3"/>
      <c r="Q14" s="3"/>
      <c r="R14" s="3"/>
      <c r="S14" s="3"/>
      <c r="T14" s="3"/>
      <c r="U14" s="3"/>
      <c r="V14" s="3"/>
      <c r="W14" s="3"/>
      <c r="X14" s="3"/>
      <c r="Y14" s="3"/>
      <c r="Z14" s="3"/>
      <c r="AA14" s="49"/>
      <c r="AB14" s="49"/>
      <c r="AC14" s="49"/>
      <c r="AD14" s="49"/>
      <c r="AE14" s="49"/>
      <c r="AF14" s="49"/>
      <c r="AG14" s="49"/>
      <c r="AH14" s="49"/>
      <c r="AI14" s="49"/>
      <c r="AJ14" s="49"/>
      <c r="AK14" s="49"/>
      <c r="AL14" s="49"/>
      <c r="AM14" s="49"/>
    </row>
    <row r="15" spans="1:39" s="58" customFormat="1" ht="12" customHeight="1" x14ac:dyDescent="0.2">
      <c r="A15" s="841"/>
      <c r="B15" s="49"/>
      <c r="C15" s="1"/>
      <c r="D15" s="77"/>
      <c r="E15" s="77"/>
      <c r="F15" s="1"/>
      <c r="J15" s="1"/>
      <c r="K15" s="1"/>
      <c r="L15" s="1"/>
      <c r="N15" s="3"/>
      <c r="O15" s="3"/>
      <c r="P15" s="3"/>
      <c r="Q15" s="3"/>
      <c r="R15" s="3"/>
      <c r="S15" s="3"/>
      <c r="T15" s="3"/>
      <c r="U15" s="3"/>
      <c r="V15" s="3"/>
      <c r="W15" s="3"/>
      <c r="X15" s="3"/>
      <c r="Y15" s="3"/>
      <c r="Z15" s="3"/>
      <c r="AA15" s="49"/>
      <c r="AB15" s="49"/>
      <c r="AC15" s="49"/>
      <c r="AD15" s="49"/>
      <c r="AE15" s="49"/>
      <c r="AF15" s="49"/>
      <c r="AG15" s="49"/>
      <c r="AH15" s="49"/>
      <c r="AI15" s="49"/>
      <c r="AJ15" s="49"/>
      <c r="AK15" s="49"/>
      <c r="AL15" s="49"/>
      <c r="AM15" s="49"/>
    </row>
    <row r="16" spans="1:39" s="58" customFormat="1" ht="12" customHeight="1" x14ac:dyDescent="0.2">
      <c r="A16" s="841"/>
      <c r="B16" s="181" t="s">
        <v>618</v>
      </c>
      <c r="C16" s="1"/>
      <c r="D16" s="1"/>
      <c r="F16" s="63"/>
      <c r="G16" s="1"/>
      <c r="H16" s="1"/>
      <c r="I16" s="1"/>
      <c r="J16" s="1"/>
      <c r="K16" s="1"/>
      <c r="L16" s="1"/>
      <c r="N16" s="3"/>
      <c r="O16" s="3"/>
      <c r="P16" s="3"/>
      <c r="Q16" s="3"/>
      <c r="R16" s="3"/>
      <c r="S16" s="3"/>
      <c r="T16" s="3"/>
      <c r="U16" s="3"/>
      <c r="V16" s="3"/>
      <c r="W16" s="3"/>
      <c r="X16" s="3"/>
      <c r="Y16" s="3"/>
      <c r="Z16" s="3"/>
      <c r="AA16" s="49"/>
      <c r="AB16" s="49"/>
      <c r="AC16" s="49"/>
      <c r="AD16" s="49"/>
      <c r="AE16" s="49"/>
      <c r="AF16" s="49"/>
      <c r="AG16" s="49"/>
      <c r="AH16" s="49"/>
      <c r="AI16" s="49"/>
      <c r="AJ16" s="49"/>
      <c r="AK16" s="49"/>
      <c r="AL16" s="49"/>
      <c r="AM16" s="49"/>
    </row>
    <row r="17" spans="1:39" s="58" customFormat="1" ht="12" customHeight="1" x14ac:dyDescent="0.2">
      <c r="A17" s="841"/>
      <c r="B17" s="950"/>
      <c r="C17" s="666"/>
      <c r="D17" s="666"/>
      <c r="E17" s="666"/>
      <c r="F17" s="666"/>
      <c r="G17" s="666"/>
      <c r="H17" s="141"/>
      <c r="I17" s="951"/>
      <c r="J17" s="666"/>
      <c r="K17" s="666"/>
      <c r="L17" s="666"/>
      <c r="M17" s="944"/>
      <c r="N17" s="944"/>
      <c r="O17" s="944"/>
      <c r="P17" s="944"/>
      <c r="Q17" s="944"/>
      <c r="R17" s="944"/>
      <c r="S17" s="944"/>
      <c r="T17" s="952"/>
      <c r="U17" s="3"/>
      <c r="V17" s="3"/>
      <c r="W17" s="3"/>
      <c r="X17" s="3"/>
      <c r="Y17" s="3"/>
      <c r="Z17" s="3"/>
      <c r="AA17" s="49"/>
      <c r="AB17" s="49"/>
      <c r="AC17" s="49"/>
      <c r="AD17" s="49"/>
      <c r="AE17" s="49"/>
      <c r="AF17" s="49"/>
      <c r="AG17" s="49"/>
      <c r="AH17" s="49"/>
      <c r="AI17" s="49"/>
      <c r="AJ17" s="49"/>
      <c r="AK17" s="49"/>
      <c r="AL17" s="49"/>
      <c r="AM17" s="49"/>
    </row>
    <row r="18" spans="1:39" s="58" customFormat="1" ht="12" customHeight="1" x14ac:dyDescent="0.2">
      <c r="A18" s="841"/>
      <c r="B18" s="953" t="s">
        <v>619</v>
      </c>
      <c r="D18" s="592"/>
      <c r="E18" s="592"/>
      <c r="F18" s="592"/>
      <c r="G18" s="592"/>
      <c r="H18" s="592"/>
      <c r="I18" s="1"/>
      <c r="J18" s="1"/>
      <c r="K18" s="1"/>
      <c r="L18" s="1"/>
      <c r="T18" s="954"/>
      <c r="U18" s="3"/>
      <c r="V18" s="3"/>
      <c r="W18" s="3"/>
      <c r="X18" s="3"/>
      <c r="Y18" s="3"/>
      <c r="Z18" s="3"/>
      <c r="AA18" s="49"/>
      <c r="AB18" s="49"/>
      <c r="AC18" s="49"/>
      <c r="AD18" s="49"/>
      <c r="AE18" s="49"/>
      <c r="AF18" s="49"/>
      <c r="AG18" s="49"/>
      <c r="AH18" s="49"/>
      <c r="AI18" s="49"/>
      <c r="AJ18" s="49"/>
      <c r="AK18" s="49"/>
      <c r="AL18" s="49"/>
      <c r="AM18" s="49"/>
    </row>
    <row r="19" spans="1:39" s="58" customFormat="1" ht="12" customHeight="1" x14ac:dyDescent="0.2">
      <c r="A19" s="841"/>
      <c r="B19" s="299"/>
      <c r="C19" s="1"/>
      <c r="D19" s="1"/>
      <c r="E19" s="1"/>
      <c r="F19" s="1"/>
      <c r="G19" s="1"/>
      <c r="H19" s="1"/>
      <c r="I19" s="1"/>
      <c r="J19" s="1"/>
      <c r="K19" s="1"/>
      <c r="L19" s="1"/>
      <c r="T19" s="954"/>
      <c r="U19" s="3"/>
      <c r="V19" s="3"/>
      <c r="W19" s="3"/>
      <c r="X19" s="3"/>
      <c r="Y19" s="3"/>
      <c r="Z19" s="3"/>
      <c r="AA19" s="49"/>
      <c r="AB19" s="49"/>
      <c r="AC19" s="49"/>
      <c r="AD19" s="49"/>
      <c r="AE19" s="49"/>
      <c r="AF19" s="49"/>
      <c r="AG19" s="49"/>
      <c r="AH19" s="49"/>
      <c r="AI19" s="49"/>
      <c r="AJ19" s="49"/>
      <c r="AK19" s="49"/>
      <c r="AL19" s="49"/>
      <c r="AM19" s="49"/>
    </row>
    <row r="20" spans="1:39" s="58" customFormat="1" ht="12" customHeight="1" x14ac:dyDescent="0.2">
      <c r="A20" s="841"/>
      <c r="B20" s="668" t="str">
        <f>"PERMISSIBLE GENERAL INCOME SUMMARY FOR "&amp;'WS0 - Input data'!K58</f>
        <v>PERMISSIBLE GENERAL INCOME SUMMARY FOR 2024-25</v>
      </c>
      <c r="D20" s="63"/>
      <c r="E20" s="38"/>
      <c r="F20" s="38"/>
      <c r="G20" s="38"/>
      <c r="J20" s="1"/>
      <c r="K20" s="1"/>
      <c r="L20" s="1"/>
      <c r="T20" s="954"/>
      <c r="U20" s="3"/>
      <c r="V20" s="3"/>
      <c r="W20" s="3"/>
      <c r="X20" s="3"/>
      <c r="Y20" s="3"/>
      <c r="Z20" s="3"/>
      <c r="AA20" s="49"/>
      <c r="AB20" s="49"/>
      <c r="AC20" s="49"/>
      <c r="AD20" s="49"/>
      <c r="AE20" s="49"/>
      <c r="AF20" s="49"/>
      <c r="AG20" s="49"/>
      <c r="AH20" s="49"/>
      <c r="AI20" s="49"/>
      <c r="AJ20" s="49"/>
      <c r="AK20" s="49"/>
      <c r="AL20" s="49"/>
      <c r="AM20" s="49"/>
    </row>
    <row r="21" spans="1:39" s="58" customFormat="1" ht="12" customHeight="1" x14ac:dyDescent="0.2">
      <c r="A21" s="841"/>
      <c r="B21" s="668" t="s">
        <v>620</v>
      </c>
      <c r="D21" s="63"/>
      <c r="E21" s="1"/>
      <c r="F21" s="38"/>
      <c r="G21" s="38"/>
      <c r="J21" s="1"/>
      <c r="K21" s="1"/>
      <c r="L21" s="1"/>
      <c r="T21" s="954"/>
      <c r="U21" s="3"/>
      <c r="V21" s="3"/>
      <c r="W21" s="3"/>
      <c r="X21" s="3"/>
      <c r="Y21" s="3"/>
      <c r="Z21" s="3"/>
      <c r="AA21" s="49"/>
      <c r="AB21" s="49"/>
      <c r="AC21" s="49"/>
      <c r="AD21" s="49"/>
      <c r="AE21" s="49"/>
      <c r="AF21" s="49"/>
      <c r="AG21" s="49"/>
      <c r="AH21" s="49"/>
      <c r="AI21" s="49"/>
      <c r="AJ21" s="49"/>
      <c r="AK21" s="49"/>
      <c r="AL21" s="49"/>
      <c r="AM21" s="49"/>
    </row>
    <row r="22" spans="1:39" s="58" customFormat="1" ht="12" customHeight="1" x14ac:dyDescent="0.2">
      <c r="A22" s="841"/>
      <c r="B22" s="955" t="s">
        <v>621</v>
      </c>
      <c r="D22" s="77"/>
      <c r="E22" s="579"/>
      <c r="F22" s="579"/>
      <c r="G22" s="579"/>
      <c r="J22" s="1"/>
      <c r="K22" s="1"/>
      <c r="L22" s="1"/>
      <c r="T22" s="954"/>
      <c r="U22" s="3"/>
      <c r="V22" s="3"/>
      <c r="W22" s="3"/>
      <c r="X22" s="3"/>
      <c r="Y22" s="3"/>
      <c r="Z22" s="3"/>
      <c r="AA22" s="49"/>
      <c r="AB22" s="49"/>
      <c r="AC22" s="49"/>
      <c r="AD22" s="49"/>
      <c r="AE22" s="49"/>
      <c r="AF22" s="49"/>
      <c r="AG22" s="49"/>
      <c r="AH22" s="49"/>
      <c r="AI22" s="49"/>
      <c r="AJ22" s="49"/>
      <c r="AK22" s="49"/>
      <c r="AL22" s="49"/>
      <c r="AM22" s="49"/>
    </row>
    <row r="23" spans="1:39" s="58" customFormat="1" ht="12" customHeight="1" x14ac:dyDescent="0.2">
      <c r="A23" s="841"/>
      <c r="B23" s="581"/>
      <c r="C23" s="1"/>
      <c r="D23" s="1"/>
      <c r="E23" s="1"/>
      <c r="F23" s="1"/>
      <c r="G23" s="123">
        <v>20000000</v>
      </c>
      <c r="J23" s="1"/>
      <c r="K23" s="1"/>
      <c r="L23" s="1"/>
      <c r="T23" s="954"/>
      <c r="U23" s="3"/>
      <c r="V23" s="3"/>
      <c r="W23" s="3"/>
      <c r="X23" s="3"/>
      <c r="Y23" s="3"/>
      <c r="Z23" s="3"/>
      <c r="AA23" s="49"/>
      <c r="AB23" s="49"/>
      <c r="AC23" s="49"/>
      <c r="AD23" s="49"/>
      <c r="AE23" s="49"/>
      <c r="AF23" s="49"/>
      <c r="AG23" s="49"/>
      <c r="AH23" s="49"/>
      <c r="AI23" s="49"/>
      <c r="AJ23" s="49"/>
      <c r="AK23" s="49"/>
      <c r="AL23" s="49"/>
      <c r="AM23" s="49"/>
    </row>
    <row r="24" spans="1:39" s="58" customFormat="1" ht="12" customHeight="1" x14ac:dyDescent="0.2">
      <c r="A24" s="841"/>
      <c r="B24" s="581"/>
      <c r="C24" s="1"/>
      <c r="D24" s="1"/>
      <c r="E24" s="1"/>
      <c r="F24" s="1"/>
      <c r="G24" s="123"/>
      <c r="J24" s="1"/>
      <c r="K24" s="1"/>
      <c r="L24" s="1"/>
      <c r="T24" s="954"/>
      <c r="U24" s="3"/>
      <c r="V24" s="3"/>
      <c r="W24" s="3"/>
      <c r="X24" s="3"/>
      <c r="Y24" s="3"/>
      <c r="Z24" s="3"/>
      <c r="AA24" s="49"/>
      <c r="AB24" s="49"/>
      <c r="AC24" s="49"/>
      <c r="AD24" s="49"/>
      <c r="AE24" s="49"/>
      <c r="AF24" s="49"/>
      <c r="AG24" s="49"/>
      <c r="AH24" s="49"/>
      <c r="AI24" s="49"/>
      <c r="AJ24" s="49"/>
      <c r="AK24" s="49"/>
      <c r="AL24" s="49"/>
      <c r="AM24" s="49"/>
    </row>
    <row r="25" spans="1:39" s="58" customFormat="1" ht="12" customHeight="1" x14ac:dyDescent="0.2">
      <c r="A25" s="841"/>
      <c r="B25" s="581" t="s">
        <v>622</v>
      </c>
      <c r="C25" s="1"/>
      <c r="D25" s="1" t="str">
        <f>'WS0 - Input data'!$C$62</f>
        <v>$ nominal</v>
      </c>
      <c r="E25" s="1"/>
      <c r="I25" s="1"/>
      <c r="J25" s="1"/>
      <c r="K25" s="123">
        <v>20000000</v>
      </c>
      <c r="L25" s="1"/>
      <c r="T25" s="954"/>
      <c r="U25" s="3"/>
      <c r="V25" s="3"/>
      <c r="W25" s="3"/>
      <c r="X25" s="3"/>
      <c r="Y25" s="3"/>
      <c r="Z25" s="3"/>
      <c r="AA25" s="49"/>
      <c r="AB25" s="49"/>
      <c r="AC25" s="49"/>
      <c r="AD25" s="49"/>
      <c r="AE25" s="49"/>
      <c r="AF25" s="49"/>
      <c r="AG25" s="49"/>
      <c r="AH25" s="49"/>
      <c r="AI25" s="49"/>
      <c r="AJ25" s="49"/>
      <c r="AK25" s="49"/>
      <c r="AL25" s="49"/>
      <c r="AM25" s="49"/>
    </row>
    <row r="26" spans="1:39" s="58" customFormat="1" ht="15" x14ac:dyDescent="0.2">
      <c r="A26" s="841"/>
      <c r="B26" s="299" t="s">
        <v>623</v>
      </c>
      <c r="C26" s="3"/>
      <c r="D26" s="3" t="str">
        <f>'WS0 - Input data'!$C$62</f>
        <v>$ nominal</v>
      </c>
      <c r="E26" s="3"/>
      <c r="I26" s="3"/>
      <c r="J26" s="3"/>
      <c r="K26" s="123">
        <v>10000</v>
      </c>
      <c r="L26" s="27"/>
      <c r="M26" s="27"/>
      <c r="N26" s="27"/>
      <c r="O26" s="27"/>
      <c r="P26" s="27"/>
      <c r="Q26" s="27"/>
      <c r="R26" s="27"/>
      <c r="S26" s="27"/>
      <c r="T26" s="956"/>
      <c r="U26" s="3"/>
      <c r="V26" s="3"/>
      <c r="W26" s="3"/>
      <c r="X26" s="3"/>
      <c r="Y26" s="3"/>
      <c r="Z26" s="3"/>
      <c r="AA26" s="49"/>
      <c r="AB26" s="49"/>
      <c r="AC26" s="49"/>
      <c r="AD26" s="49"/>
      <c r="AE26" s="49"/>
      <c r="AF26" s="49"/>
      <c r="AG26" s="49"/>
      <c r="AH26" s="49"/>
      <c r="AI26" s="49"/>
      <c r="AJ26" s="49"/>
      <c r="AK26" s="49"/>
      <c r="AL26" s="49"/>
      <c r="AM26" s="49"/>
    </row>
    <row r="27" spans="1:39" s="58" customFormat="1" ht="12" customHeight="1" x14ac:dyDescent="0.2">
      <c r="A27" s="841"/>
      <c r="B27" s="685"/>
      <c r="C27" s="3"/>
      <c r="D27" s="3"/>
      <c r="E27" s="3"/>
      <c r="I27" s="3"/>
      <c r="J27" s="3"/>
      <c r="K27" s="124"/>
      <c r="L27" s="1"/>
      <c r="T27" s="954"/>
      <c r="U27" s="3"/>
      <c r="V27" s="3"/>
      <c r="W27" s="3"/>
      <c r="X27" s="3"/>
      <c r="Y27" s="3"/>
      <c r="Z27" s="3"/>
      <c r="AA27" s="49"/>
      <c r="AB27" s="49"/>
      <c r="AC27" s="49"/>
      <c r="AD27" s="49"/>
      <c r="AE27" s="49"/>
      <c r="AF27" s="49"/>
      <c r="AG27" s="49"/>
      <c r="AH27" s="49"/>
      <c r="AI27" s="49"/>
      <c r="AJ27" s="49"/>
      <c r="AK27" s="49"/>
      <c r="AL27" s="49"/>
      <c r="AM27" s="49"/>
    </row>
    <row r="28" spans="1:39" s="58" customFormat="1" ht="12" customHeight="1" x14ac:dyDescent="0.2">
      <c r="A28" s="841"/>
      <c r="B28" s="299" t="s">
        <v>624</v>
      </c>
      <c r="C28" s="3"/>
      <c r="D28" s="3" t="str">
        <f>'WS0 - Input data'!$C$62</f>
        <v>$ nominal</v>
      </c>
      <c r="E28" s="3"/>
      <c r="I28" s="16"/>
      <c r="J28" s="39"/>
      <c r="K28" s="957">
        <f>K25-K26</f>
        <v>19990000</v>
      </c>
      <c r="L28" s="1"/>
      <c r="T28" s="954"/>
      <c r="U28" s="3"/>
      <c r="V28" s="3"/>
      <c r="W28" s="3"/>
      <c r="X28" s="3"/>
      <c r="Y28" s="3"/>
      <c r="Z28" s="3"/>
      <c r="AA28" s="49"/>
      <c r="AB28" s="49"/>
      <c r="AC28" s="49"/>
      <c r="AD28" s="49"/>
      <c r="AE28" s="49"/>
      <c r="AF28" s="49"/>
      <c r="AG28" s="49"/>
      <c r="AH28" s="49"/>
      <c r="AI28" s="49"/>
      <c r="AJ28" s="49"/>
      <c r="AK28" s="49"/>
      <c r="AL28" s="49"/>
      <c r="AM28" s="49"/>
    </row>
    <row r="29" spans="1:39" s="58" customFormat="1" ht="12" customHeight="1" x14ac:dyDescent="0.2">
      <c r="A29" s="841"/>
      <c r="B29" s="299"/>
      <c r="C29" s="3"/>
      <c r="D29" s="3"/>
      <c r="E29" s="3"/>
      <c r="I29" s="3"/>
      <c r="J29" s="3"/>
      <c r="K29" s="3"/>
      <c r="L29" s="1"/>
      <c r="T29" s="954"/>
      <c r="U29" s="3"/>
      <c r="V29" s="3"/>
      <c r="W29" s="3"/>
      <c r="X29" s="3"/>
      <c r="Y29" s="3"/>
      <c r="Z29" s="3"/>
      <c r="AA29" s="49"/>
      <c r="AB29" s="49"/>
      <c r="AC29" s="49"/>
      <c r="AD29" s="49"/>
      <c r="AE29" s="49"/>
      <c r="AF29" s="49"/>
      <c r="AG29" s="49"/>
      <c r="AH29" s="49"/>
      <c r="AI29" s="49"/>
      <c r="AJ29" s="49"/>
      <c r="AK29" s="49"/>
      <c r="AL29" s="49"/>
      <c r="AM29" s="49"/>
    </row>
    <row r="30" spans="1:39" s="58" customFormat="1" ht="12" customHeight="1" x14ac:dyDescent="0.2">
      <c r="A30" s="841"/>
      <c r="B30" s="299" t="s">
        <v>626</v>
      </c>
      <c r="C30" s="3"/>
      <c r="D30" s="1495" t="s">
        <v>108</v>
      </c>
      <c r="E30" s="3"/>
      <c r="J30" s="643">
        <v>2.3E-2</v>
      </c>
      <c r="K30" s="85">
        <f>ROUND(K28*J30,9)</f>
        <v>459770</v>
      </c>
      <c r="L30" s="1"/>
      <c r="T30" s="954"/>
      <c r="U30" s="3"/>
      <c r="V30" s="3"/>
      <c r="W30" s="3"/>
      <c r="X30" s="3"/>
      <c r="Y30" s="3"/>
      <c r="Z30" s="3"/>
      <c r="AA30" s="49"/>
      <c r="AB30" s="49"/>
      <c r="AC30" s="49"/>
      <c r="AD30" s="49"/>
      <c r="AE30" s="49"/>
      <c r="AF30" s="49"/>
      <c r="AG30" s="49"/>
      <c r="AH30" s="49"/>
      <c r="AI30" s="49"/>
      <c r="AJ30" s="49"/>
      <c r="AK30" s="49"/>
      <c r="AL30" s="49"/>
      <c r="AM30" s="49"/>
    </row>
    <row r="31" spans="1:39" s="58" customFormat="1" ht="14.65" customHeight="1" x14ac:dyDescent="0.2">
      <c r="A31" s="841"/>
      <c r="B31" s="299" t="s">
        <v>627</v>
      </c>
      <c r="C31" s="3"/>
      <c r="D31" s="1495" t="s">
        <v>108</v>
      </c>
      <c r="E31" s="3"/>
      <c r="J31" s="643">
        <v>3.6999999999999998E-2</v>
      </c>
      <c r="K31" s="85">
        <f>ROUND(K28*J31,9)</f>
        <v>739630</v>
      </c>
      <c r="T31" s="954"/>
      <c r="U31" s="3"/>
      <c r="V31" s="3"/>
      <c r="W31" s="3"/>
      <c r="X31" s="3"/>
      <c r="Y31" s="3"/>
      <c r="Z31" s="3"/>
      <c r="AA31" s="49"/>
      <c r="AB31" s="49"/>
      <c r="AC31" s="49"/>
      <c r="AD31" s="49"/>
      <c r="AE31" s="49"/>
      <c r="AF31" s="49"/>
      <c r="AG31" s="49"/>
      <c r="AH31" s="49"/>
      <c r="AI31" s="49"/>
      <c r="AJ31" s="49"/>
      <c r="AK31" s="49"/>
      <c r="AL31" s="49"/>
      <c r="AM31" s="49"/>
    </row>
    <row r="32" spans="1:39" s="58" customFormat="1" ht="14.65" customHeight="1" x14ac:dyDescent="0.2">
      <c r="A32" s="841"/>
      <c r="B32" s="299" t="s">
        <v>628</v>
      </c>
      <c r="C32" s="3"/>
      <c r="D32" s="1495" t="s">
        <v>108</v>
      </c>
      <c r="E32" s="3"/>
      <c r="J32" s="643">
        <v>6.3825374504374575E-4</v>
      </c>
      <c r="K32" s="85">
        <v>10000</v>
      </c>
      <c r="T32" s="954"/>
      <c r="U32" s="3"/>
      <c r="V32" s="3"/>
      <c r="W32" s="3"/>
      <c r="X32" s="3"/>
      <c r="Y32" s="3"/>
      <c r="Z32" s="3"/>
      <c r="AA32" s="49"/>
      <c r="AB32" s="49"/>
      <c r="AC32" s="49"/>
      <c r="AD32" s="49"/>
      <c r="AE32" s="49"/>
      <c r="AF32" s="49"/>
      <c r="AG32" s="49"/>
      <c r="AH32" s="49"/>
      <c r="AI32" s="49"/>
      <c r="AJ32" s="49"/>
      <c r="AK32" s="49"/>
      <c r="AL32" s="49"/>
      <c r="AM32" s="49"/>
    </row>
    <row r="33" spans="1:39" s="58" customFormat="1" ht="12" customHeight="1" x14ac:dyDescent="0.2">
      <c r="A33" s="841"/>
      <c r="B33" s="685"/>
      <c r="C33" s="3"/>
      <c r="D33" s="1495" t="s">
        <v>108</v>
      </c>
      <c r="E33" s="3"/>
      <c r="I33" s="643"/>
      <c r="J33" s="3"/>
      <c r="K33" s="81"/>
      <c r="L33" s="1"/>
      <c r="T33" s="954"/>
      <c r="U33" s="3"/>
      <c r="V33" s="3"/>
      <c r="W33" s="3"/>
      <c r="X33" s="3"/>
      <c r="Y33" s="3"/>
      <c r="Z33" s="3"/>
      <c r="AA33" s="49"/>
      <c r="AB33" s="49"/>
      <c r="AC33" s="49"/>
      <c r="AD33" s="49"/>
      <c r="AE33" s="49"/>
      <c r="AF33" s="49"/>
      <c r="AG33" s="49"/>
      <c r="AH33" s="49"/>
      <c r="AI33" s="49"/>
      <c r="AJ33" s="49"/>
      <c r="AK33" s="49"/>
      <c r="AL33" s="49"/>
      <c r="AM33" s="49"/>
    </row>
    <row r="34" spans="1:39" s="58" customFormat="1" ht="12" customHeight="1" x14ac:dyDescent="0.2">
      <c r="A34" s="841"/>
      <c r="B34" s="685" t="s">
        <v>629</v>
      </c>
      <c r="D34" s="3"/>
      <c r="E34" s="3"/>
      <c r="J34" s="958">
        <f>SUM(J30:J32)</f>
        <v>6.0638253745043745E-2</v>
      </c>
      <c r="K34" s="957">
        <f>SUM(K30:K32)</f>
        <v>1209400</v>
      </c>
      <c r="L34" s="1"/>
      <c r="T34" s="954"/>
      <c r="U34" s="3"/>
      <c r="V34" s="3"/>
      <c r="W34" s="3"/>
      <c r="X34" s="3"/>
      <c r="Y34" s="3"/>
      <c r="Z34" s="3"/>
      <c r="AA34" s="49"/>
      <c r="AB34" s="49"/>
      <c r="AC34" s="49"/>
      <c r="AD34" s="49"/>
      <c r="AE34" s="49"/>
      <c r="AF34" s="49"/>
      <c r="AG34" s="49"/>
      <c r="AH34" s="49"/>
      <c r="AI34" s="49"/>
      <c r="AJ34" s="49"/>
      <c r="AK34" s="49"/>
      <c r="AL34" s="49"/>
      <c r="AM34" s="49"/>
    </row>
    <row r="35" spans="1:39" s="58" customFormat="1" ht="12" customHeight="1" x14ac:dyDescent="0.2">
      <c r="A35" s="841"/>
      <c r="B35" s="685"/>
      <c r="C35" s="2"/>
      <c r="D35" s="3"/>
      <c r="E35" s="3"/>
      <c r="I35" s="125"/>
      <c r="J35" s="3"/>
      <c r="K35" s="81"/>
      <c r="L35" s="1"/>
      <c r="T35" s="954"/>
      <c r="U35" s="3"/>
      <c r="V35" s="3"/>
      <c r="W35" s="3"/>
      <c r="X35" s="3"/>
      <c r="Y35" s="3"/>
      <c r="Z35" s="3"/>
      <c r="AA35" s="49"/>
      <c r="AB35" s="49"/>
      <c r="AC35" s="49"/>
      <c r="AD35" s="49"/>
      <c r="AE35" s="49"/>
      <c r="AF35" s="49"/>
      <c r="AG35" s="49"/>
      <c r="AH35" s="49"/>
      <c r="AI35" s="49"/>
      <c r="AJ35" s="49"/>
      <c r="AK35" s="49"/>
      <c r="AL35" s="49"/>
      <c r="AM35" s="49"/>
    </row>
    <row r="36" spans="1:39" s="58" customFormat="1" ht="17.649999999999999" customHeight="1" x14ac:dyDescent="0.2">
      <c r="A36" s="841"/>
      <c r="B36" s="959" t="s">
        <v>630</v>
      </c>
      <c r="C36" s="3"/>
      <c r="D36" s="3"/>
      <c r="E36" s="3"/>
      <c r="I36" s="3"/>
      <c r="J36" s="3"/>
      <c r="K36" s="3"/>
      <c r="L36" s="1"/>
      <c r="T36" s="954"/>
      <c r="U36" s="3"/>
      <c r="V36" s="3"/>
      <c r="W36" s="3"/>
      <c r="X36" s="3"/>
      <c r="Y36" s="3"/>
      <c r="Z36" s="3"/>
      <c r="AA36" s="49"/>
      <c r="AB36" s="49"/>
      <c r="AC36" s="49"/>
      <c r="AD36" s="49"/>
      <c r="AE36" s="49"/>
      <c r="AF36" s="49"/>
      <c r="AG36" s="49"/>
      <c r="AH36" s="49"/>
      <c r="AI36" s="49"/>
      <c r="AJ36" s="49"/>
      <c r="AK36" s="49"/>
      <c r="AL36" s="49"/>
      <c r="AM36" s="49"/>
    </row>
    <row r="37" spans="1:39" s="58" customFormat="1" ht="12" customHeight="1" x14ac:dyDescent="0.2">
      <c r="A37" s="841"/>
      <c r="B37" s="299" t="s">
        <v>631</v>
      </c>
      <c r="C37" s="3"/>
      <c r="D37" s="3" t="str">
        <f>'WS0 - Input data'!$C$62</f>
        <v>$ nominal</v>
      </c>
      <c r="E37" s="3"/>
      <c r="I37" s="3"/>
      <c r="J37" s="3"/>
      <c r="K37" s="85">
        <v>-5000</v>
      </c>
      <c r="L37" s="1"/>
      <c r="T37" s="954"/>
      <c r="U37" s="3"/>
      <c r="V37" s="3"/>
      <c r="W37" s="3"/>
      <c r="X37" s="3"/>
      <c r="Y37" s="3"/>
      <c r="Z37" s="3"/>
      <c r="AA37" s="49"/>
      <c r="AB37" s="49"/>
      <c r="AC37" s="49"/>
      <c r="AD37" s="49"/>
      <c r="AE37" s="49"/>
      <c r="AF37" s="49"/>
      <c r="AG37" s="49"/>
      <c r="AH37" s="49"/>
      <c r="AI37" s="49"/>
      <c r="AJ37" s="49"/>
      <c r="AK37" s="49"/>
      <c r="AL37" s="49"/>
      <c r="AM37" s="49"/>
    </row>
    <row r="38" spans="1:39" s="58" customFormat="1" ht="12" customHeight="1" x14ac:dyDescent="0.2">
      <c r="A38" s="841"/>
      <c r="B38" s="299" t="s">
        <v>632</v>
      </c>
      <c r="C38" s="3"/>
      <c r="D38" s="3" t="str">
        <f>'WS0 - Input data'!$C$62</f>
        <v>$ nominal</v>
      </c>
      <c r="E38" s="3"/>
      <c r="I38" s="3"/>
      <c r="J38" s="16"/>
      <c r="K38" s="85">
        <v>-30</v>
      </c>
      <c r="L38" s="1"/>
      <c r="T38" s="954"/>
      <c r="U38" s="3"/>
      <c r="V38" s="3"/>
      <c r="W38" s="3"/>
      <c r="X38" s="3"/>
      <c r="Y38" s="3"/>
      <c r="Z38" s="3"/>
      <c r="AA38" s="49"/>
      <c r="AB38" s="49"/>
      <c r="AC38" s="49"/>
      <c r="AD38" s="49"/>
      <c r="AE38" s="49"/>
      <c r="AF38" s="49"/>
      <c r="AG38" s="49"/>
      <c r="AH38" s="49"/>
      <c r="AI38" s="49"/>
      <c r="AJ38" s="49"/>
      <c r="AK38" s="49"/>
      <c r="AL38" s="49"/>
      <c r="AM38" s="49"/>
    </row>
    <row r="39" spans="1:39" s="58" customFormat="1" ht="12" customHeight="1" x14ac:dyDescent="0.2">
      <c r="A39" s="841"/>
      <c r="B39" s="685"/>
      <c r="C39" s="3"/>
      <c r="D39" s="3"/>
      <c r="E39" s="3"/>
      <c r="I39" s="3"/>
      <c r="J39" s="3"/>
      <c r="K39" s="3"/>
      <c r="L39" s="1"/>
      <c r="T39" s="954"/>
      <c r="U39" s="3"/>
      <c r="V39" s="3"/>
      <c r="W39" s="3"/>
      <c r="X39" s="3"/>
      <c r="Y39" s="3"/>
      <c r="Z39" s="3"/>
      <c r="AA39" s="49"/>
      <c r="AB39" s="49"/>
      <c r="AC39" s="49"/>
      <c r="AD39" s="49"/>
      <c r="AE39" s="49"/>
      <c r="AF39" s="49"/>
      <c r="AG39" s="49"/>
      <c r="AH39" s="49"/>
      <c r="AI39" s="49"/>
      <c r="AJ39" s="49"/>
      <c r="AK39" s="49"/>
      <c r="AL39" s="49"/>
      <c r="AM39" s="49"/>
    </row>
    <row r="40" spans="1:39" s="58" customFormat="1" ht="12" customHeight="1" x14ac:dyDescent="0.2">
      <c r="A40" s="841"/>
      <c r="B40" s="299" t="s">
        <v>633</v>
      </c>
      <c r="C40" s="3"/>
      <c r="D40" s="3" t="str">
        <f>'WS0 - Input data'!$C$62</f>
        <v>$ nominal</v>
      </c>
      <c r="E40" s="3"/>
      <c r="J40" s="3"/>
      <c r="K40" s="85">
        <f>SUM(K37:K38)</f>
        <v>-5030</v>
      </c>
      <c r="L40" s="1"/>
      <c r="T40" s="954"/>
      <c r="U40" s="3"/>
      <c r="V40" s="3"/>
      <c r="W40" s="3"/>
      <c r="X40" s="3"/>
      <c r="Y40" s="3"/>
      <c r="Z40" s="3"/>
      <c r="AA40" s="49"/>
      <c r="AB40" s="49"/>
      <c r="AC40" s="49"/>
      <c r="AD40" s="49"/>
      <c r="AE40" s="49"/>
      <c r="AF40" s="49"/>
      <c r="AG40" s="49"/>
      <c r="AH40" s="49"/>
      <c r="AI40" s="49"/>
      <c r="AJ40" s="49"/>
      <c r="AK40" s="49"/>
      <c r="AL40" s="49"/>
      <c r="AM40" s="49"/>
    </row>
    <row r="41" spans="1:39" s="58" customFormat="1" ht="12" customHeight="1" x14ac:dyDescent="0.2">
      <c r="A41" s="841"/>
      <c r="B41" s="685"/>
      <c r="C41" s="3"/>
      <c r="D41" s="3"/>
      <c r="E41" s="3"/>
      <c r="I41" s="3"/>
      <c r="J41" s="3"/>
      <c r="K41" s="3"/>
      <c r="L41" s="1"/>
      <c r="T41" s="954"/>
      <c r="U41" s="3"/>
      <c r="V41" s="3"/>
      <c r="W41" s="3"/>
      <c r="X41" s="3"/>
      <c r="Y41" s="3"/>
      <c r="Z41" s="3"/>
      <c r="AA41" s="49"/>
      <c r="AB41" s="49"/>
      <c r="AC41" s="49"/>
      <c r="AD41" s="49"/>
      <c r="AE41" s="49"/>
      <c r="AF41" s="49"/>
      <c r="AG41" s="49"/>
      <c r="AH41" s="49"/>
      <c r="AI41" s="49"/>
      <c r="AJ41" s="49"/>
      <c r="AK41" s="49"/>
      <c r="AL41" s="49"/>
      <c r="AM41" s="49"/>
    </row>
    <row r="42" spans="1:39" s="58" customFormat="1" ht="12" customHeight="1" x14ac:dyDescent="0.2">
      <c r="A42" s="841"/>
      <c r="B42" s="685" t="s">
        <v>634</v>
      </c>
      <c r="D42" s="3" t="str">
        <f>'WS0 - Input data'!$C$62</f>
        <v>$ nominal</v>
      </c>
      <c r="E42" s="3"/>
      <c r="I42" s="16"/>
      <c r="J42" s="39"/>
      <c r="K42" s="957">
        <f>K28+K34+K40</f>
        <v>21194370</v>
      </c>
      <c r="L42" s="1"/>
      <c r="T42" s="954"/>
      <c r="U42" s="3"/>
      <c r="V42" s="3"/>
      <c r="W42" s="3"/>
      <c r="X42" s="3"/>
      <c r="Y42" s="3"/>
      <c r="Z42" s="3"/>
      <c r="AA42" s="49"/>
      <c r="AB42" s="49"/>
      <c r="AC42" s="49"/>
      <c r="AD42" s="49"/>
      <c r="AE42" s="49"/>
      <c r="AF42" s="49"/>
      <c r="AG42" s="49"/>
      <c r="AH42" s="49"/>
      <c r="AI42" s="49"/>
      <c r="AJ42" s="49"/>
      <c r="AK42" s="49"/>
      <c r="AL42" s="49"/>
      <c r="AM42" s="49"/>
    </row>
    <row r="43" spans="1:39" s="58" customFormat="1" ht="12" customHeight="1" x14ac:dyDescent="0.2">
      <c r="A43" s="841"/>
      <c r="B43" s="581"/>
      <c r="C43" s="1"/>
      <c r="D43" s="1"/>
      <c r="E43" s="1"/>
      <c r="F43" s="1"/>
      <c r="G43" s="123"/>
      <c r="J43" s="1"/>
      <c r="K43" s="1"/>
      <c r="L43" s="1"/>
      <c r="T43" s="954"/>
      <c r="U43" s="3"/>
      <c r="V43" s="3"/>
      <c r="W43" s="3"/>
      <c r="X43" s="3"/>
      <c r="Y43" s="3"/>
      <c r="Z43" s="3"/>
      <c r="AA43" s="49"/>
      <c r="AB43" s="49"/>
      <c r="AC43" s="49"/>
      <c r="AD43" s="49"/>
      <c r="AE43" s="49"/>
      <c r="AF43" s="49"/>
      <c r="AG43" s="49"/>
      <c r="AH43" s="49"/>
      <c r="AI43" s="49"/>
      <c r="AJ43" s="49"/>
      <c r="AK43" s="49"/>
      <c r="AL43" s="49"/>
      <c r="AM43" s="49"/>
    </row>
    <row r="44" spans="1:39" ht="12" customHeight="1" x14ac:dyDescent="0.2">
      <c r="B44" s="677"/>
      <c r="T44" s="669"/>
    </row>
    <row r="45" spans="1:39" ht="12" customHeight="1" x14ac:dyDescent="0.2">
      <c r="B45" s="677" t="str">
        <f>"(1) If the council has a SV due to expire on 30 June "&amp;'WS0 - Input data'!$K$57&amp;", Notional General Income must be reduced before "&amp;"calculating Permissible General Income in "&amp;'WS0 - Input data'!$K$58&amp;"."</f>
        <v>(1) If the council has a SV due to expire on 30 June 2024, Notional General Income must be reduced before calculating Permissible General Income in 2024-25.</v>
      </c>
      <c r="T45" s="669"/>
    </row>
    <row r="46" spans="1:39" ht="12" customHeight="1" x14ac:dyDescent="0.2">
      <c r="B46" s="581" t="s">
        <v>635</v>
      </c>
      <c r="T46" s="669"/>
    </row>
    <row r="47" spans="1:39" ht="12" customHeight="1" x14ac:dyDescent="0.2">
      <c r="B47" s="581" t="s">
        <v>636</v>
      </c>
      <c r="T47" s="669"/>
    </row>
    <row r="48" spans="1:39" ht="12" customHeight="1" x14ac:dyDescent="0.2">
      <c r="B48" s="960" t="s">
        <v>637</v>
      </c>
      <c r="C48" s="147"/>
      <c r="T48" s="669"/>
    </row>
    <row r="49" spans="1:39" ht="12" customHeight="1" x14ac:dyDescent="0.2">
      <c r="B49" s="581" t="s">
        <v>638</v>
      </c>
      <c r="C49" s="147"/>
      <c r="T49" s="669"/>
    </row>
    <row r="50" spans="1:39" ht="12" customHeight="1" x14ac:dyDescent="0.2">
      <c r="B50" s="607" t="s">
        <v>639</v>
      </c>
      <c r="C50" s="147"/>
      <c r="T50" s="669"/>
    </row>
    <row r="51" spans="1:39" ht="12" customHeight="1" x14ac:dyDescent="0.2">
      <c r="B51" s="607" t="s">
        <v>640</v>
      </c>
      <c r="C51" s="147"/>
      <c r="T51" s="669"/>
    </row>
    <row r="52" spans="1:39" ht="12" customHeight="1" x14ac:dyDescent="0.2">
      <c r="B52" s="679"/>
      <c r="C52" s="571"/>
      <c r="D52" s="571"/>
      <c r="E52" s="571"/>
      <c r="F52" s="571"/>
      <c r="G52" s="571"/>
      <c r="H52" s="571"/>
      <c r="I52" s="571"/>
      <c r="J52" s="571"/>
      <c r="K52" s="571"/>
      <c r="L52" s="571"/>
      <c r="M52" s="571"/>
      <c r="N52" s="571"/>
      <c r="O52" s="571"/>
      <c r="P52" s="571"/>
      <c r="Q52" s="571"/>
      <c r="R52" s="571"/>
      <c r="S52" s="571"/>
      <c r="T52" s="680"/>
    </row>
    <row r="53" spans="1:39" ht="12" customHeight="1" x14ac:dyDescent="0.2"/>
    <row r="54" spans="1:39" ht="12" customHeight="1" x14ac:dyDescent="0.2"/>
    <row r="55" spans="1:39" s="58" customFormat="1" ht="16.5" customHeight="1" x14ac:dyDescent="0.2">
      <c r="A55" s="841">
        <v>1</v>
      </c>
      <c r="B55" s="181" t="str">
        <f>"Table "&amp;A1&amp;"."&amp;A55&amp;": Calculation of first year Permissble General Income ($ nominal)"</f>
        <v>Table 6.1: Calculation of first year Permissble General Income ($ nominal)</v>
      </c>
      <c r="C55" s="1"/>
      <c r="D55" s="16"/>
      <c r="E55" s="77"/>
      <c r="F55" s="1"/>
      <c r="J55" s="1"/>
      <c r="K55" s="1"/>
      <c r="L55" s="1"/>
      <c r="M55" s="961"/>
      <c r="N55" s="3"/>
      <c r="O55" s="3"/>
      <c r="P55" s="3"/>
      <c r="Q55" s="3"/>
      <c r="R55" s="3"/>
      <c r="S55" s="3"/>
      <c r="T55" s="3"/>
      <c r="U55" s="3"/>
      <c r="V55" s="3"/>
      <c r="W55" s="3"/>
      <c r="X55" s="3"/>
      <c r="Y55" s="3"/>
      <c r="Z55" s="3"/>
      <c r="AA55" s="49"/>
      <c r="AB55" s="49"/>
      <c r="AC55" s="49"/>
      <c r="AD55" s="49"/>
      <c r="AE55" s="49"/>
      <c r="AF55" s="49"/>
      <c r="AG55" s="49"/>
      <c r="AH55" s="49"/>
      <c r="AI55" s="49"/>
      <c r="AJ55" s="49"/>
      <c r="AK55" s="49"/>
      <c r="AL55" s="49"/>
      <c r="AM55" s="49"/>
    </row>
    <row r="56" spans="1:39" s="58" customFormat="1" ht="16.5" customHeight="1" x14ac:dyDescent="0.2">
      <c r="A56" s="841"/>
      <c r="B56" s="964"/>
      <c r="C56" s="965"/>
      <c r="D56" s="965" t="s">
        <v>641</v>
      </c>
      <c r="E56" s="966"/>
      <c r="F56" s="965"/>
      <c r="G56" s="967"/>
      <c r="H56" s="967"/>
      <c r="I56" s="967"/>
      <c r="J56" s="965"/>
      <c r="K56" s="968" t="str">
        <f>'WS0 - Input data'!K$58</f>
        <v>2024-25</v>
      </c>
      <c r="L56" s="965"/>
      <c r="M56" s="969" t="s">
        <v>77</v>
      </c>
      <c r="N56" s="859"/>
      <c r="O56" s="859"/>
      <c r="P56" s="859"/>
      <c r="Q56" s="859"/>
      <c r="R56" s="859"/>
      <c r="S56" s="859"/>
      <c r="T56" s="970"/>
      <c r="U56" s="3"/>
      <c r="V56" s="3"/>
      <c r="W56" s="3"/>
      <c r="X56" s="3"/>
      <c r="Y56" s="3"/>
      <c r="Z56" s="3"/>
      <c r="AA56" s="49"/>
      <c r="AB56" s="49"/>
      <c r="AC56" s="49"/>
      <c r="AD56" s="49"/>
      <c r="AE56" s="49"/>
      <c r="AF56" s="49"/>
      <c r="AG56" s="49"/>
      <c r="AH56" s="49"/>
      <c r="AI56" s="49"/>
      <c r="AJ56" s="49"/>
      <c r="AK56" s="49"/>
      <c r="AL56" s="49"/>
      <c r="AM56" s="49"/>
    </row>
    <row r="57" spans="1:39" s="58" customFormat="1" ht="15" x14ac:dyDescent="0.2">
      <c r="A57" s="841"/>
      <c r="B57" s="581" t="s">
        <v>622</v>
      </c>
      <c r="C57" s="1"/>
      <c r="D57" s="1495" t="str">
        <f>'WS0 - Input data'!$C$62</f>
        <v>$ nominal</v>
      </c>
      <c r="F57" s="1"/>
      <c r="G57" s="1"/>
      <c r="H57" s="1"/>
      <c r="I57" s="1"/>
      <c r="J57" s="1"/>
      <c r="K57" s="123">
        <f>'WS3 - Notional General Income'!L163</f>
        <v>54352003.65630883</v>
      </c>
      <c r="L57" s="1"/>
      <c r="M57" s="452">
        <f>IF(K57=0,0,K57-K85)</f>
        <v>0</v>
      </c>
      <c r="O57" s="3"/>
      <c r="P57" s="3"/>
      <c r="Q57" s="3"/>
      <c r="R57" s="3"/>
      <c r="S57" s="3"/>
      <c r="T57" s="568"/>
      <c r="U57" s="3"/>
      <c r="V57" s="3"/>
      <c r="W57" s="3"/>
      <c r="X57" s="3"/>
      <c r="Y57" s="3"/>
      <c r="Z57" s="3"/>
      <c r="AA57" s="49"/>
      <c r="AB57" s="49"/>
      <c r="AC57" s="49"/>
      <c r="AD57" s="49"/>
      <c r="AE57" s="49"/>
      <c r="AF57" s="49"/>
      <c r="AG57" s="49"/>
      <c r="AH57" s="49"/>
      <c r="AI57" s="49"/>
      <c r="AJ57" s="49"/>
      <c r="AK57" s="49"/>
      <c r="AL57" s="49"/>
      <c r="AM57" s="49"/>
    </row>
    <row r="58" spans="1:39" s="58" customFormat="1" ht="19.5" customHeight="1" x14ac:dyDescent="0.2">
      <c r="A58" s="841"/>
      <c r="B58" s="299" t="s">
        <v>642</v>
      </c>
      <c r="C58" s="3"/>
      <c r="D58" s="1495" t="str">
        <f>$D$57</f>
        <v>$ nominal</v>
      </c>
      <c r="E58" s="3"/>
      <c r="F58" s="3"/>
      <c r="G58" s="3"/>
      <c r="H58" s="3"/>
      <c r="I58" s="3"/>
      <c r="J58" s="3"/>
      <c r="K58" s="124">
        <f>'WS2-Proposal'!J91</f>
        <v>0</v>
      </c>
      <c r="L58" s="1"/>
      <c r="M58" s="452">
        <f>IF(K58=0,0,K58-K86)</f>
        <v>0</v>
      </c>
      <c r="N58" s="3"/>
      <c r="O58" s="3"/>
      <c r="P58" s="3"/>
      <c r="Q58" s="3"/>
      <c r="R58" s="3"/>
      <c r="S58" s="3"/>
      <c r="T58" s="568"/>
      <c r="U58" s="3"/>
      <c r="V58" s="3"/>
      <c r="W58" s="3"/>
      <c r="X58" s="3"/>
      <c r="Y58" s="3"/>
      <c r="Z58" s="3"/>
      <c r="AA58" s="49"/>
      <c r="AB58" s="49"/>
      <c r="AC58" s="49"/>
      <c r="AD58" s="49"/>
      <c r="AE58" s="49"/>
      <c r="AF58" s="49"/>
      <c r="AG58" s="49"/>
      <c r="AH58" s="49"/>
      <c r="AI58" s="49"/>
      <c r="AJ58" s="49"/>
      <c r="AK58" s="49"/>
      <c r="AL58" s="49"/>
      <c r="AM58" s="49"/>
    </row>
    <row r="59" spans="1:39" ht="17.25" customHeight="1" x14ac:dyDescent="0.2">
      <c r="A59" s="841"/>
      <c r="B59" s="299" t="s">
        <v>624</v>
      </c>
      <c r="C59" s="3"/>
      <c r="D59" s="1495" t="str">
        <f>$D$57</f>
        <v>$ nominal</v>
      </c>
      <c r="E59" s="3"/>
      <c r="F59" s="3"/>
      <c r="G59" s="3"/>
      <c r="H59" s="3"/>
      <c r="I59" s="16"/>
      <c r="K59" s="957">
        <f>K57-K58</f>
        <v>54352003.65630883</v>
      </c>
      <c r="L59" s="1"/>
      <c r="M59" s="644"/>
      <c r="N59" s="3"/>
      <c r="O59" s="3"/>
      <c r="P59" s="3"/>
      <c r="Q59" s="3"/>
      <c r="R59" s="3"/>
      <c r="S59" s="3"/>
      <c r="T59" s="568"/>
      <c r="U59" s="3"/>
      <c r="V59" s="3"/>
      <c r="W59" s="3"/>
      <c r="X59" s="3"/>
      <c r="Y59" s="3"/>
      <c r="Z59" s="3"/>
      <c r="AA59" s="3"/>
      <c r="AB59" s="3"/>
      <c r="AC59" s="3"/>
      <c r="AD59" s="3"/>
      <c r="AE59" s="3"/>
      <c r="AF59" s="3"/>
      <c r="AG59" s="3"/>
      <c r="AH59" s="3"/>
      <c r="AI59" s="3"/>
      <c r="AJ59" s="3"/>
      <c r="AK59" s="3"/>
      <c r="AL59" s="3"/>
      <c r="AM59" s="3"/>
    </row>
    <row r="60" spans="1:39" x14ac:dyDescent="0.2">
      <c r="A60" s="841"/>
      <c r="B60" s="299"/>
      <c r="C60" s="3"/>
      <c r="D60" s="1495"/>
      <c r="E60" s="3"/>
      <c r="F60" s="3"/>
      <c r="G60" s="3"/>
      <c r="H60" s="3"/>
      <c r="I60" s="3"/>
      <c r="J60" s="3"/>
      <c r="K60" s="3"/>
      <c r="L60" s="1"/>
      <c r="M60" s="3"/>
      <c r="N60" s="3"/>
      <c r="O60" s="3"/>
      <c r="P60" s="3"/>
      <c r="Q60" s="3"/>
      <c r="R60" s="3"/>
      <c r="S60" s="3"/>
      <c r="T60" s="568"/>
      <c r="U60" s="3"/>
      <c r="V60" s="3"/>
      <c r="W60" s="3"/>
      <c r="X60" s="3"/>
      <c r="Y60" s="3"/>
      <c r="Z60" s="3"/>
      <c r="AA60" s="3"/>
      <c r="AB60" s="3"/>
      <c r="AC60" s="3"/>
      <c r="AD60" s="3"/>
      <c r="AE60" s="3"/>
      <c r="AF60" s="3"/>
      <c r="AG60" s="3"/>
      <c r="AH60" s="3"/>
      <c r="AI60" s="3"/>
      <c r="AJ60" s="3"/>
      <c r="AK60" s="3"/>
      <c r="AL60" s="3"/>
      <c r="AM60" s="3"/>
    </row>
    <row r="61" spans="1:39" ht="18.75" customHeight="1" x14ac:dyDescent="0.2">
      <c r="A61" s="841"/>
      <c r="B61" s="299" t="s">
        <v>643</v>
      </c>
      <c r="C61" s="3"/>
      <c r="D61" s="1495" t="s">
        <v>108</v>
      </c>
      <c r="E61" s="3"/>
      <c r="F61" s="3"/>
      <c r="G61" s="3"/>
      <c r="H61" s="3"/>
      <c r="J61" s="643">
        <f>'WS2-Proposal'!K79</f>
        <v>0.05</v>
      </c>
      <c r="K61" s="85">
        <f>K$59*J61</f>
        <v>2717600.1828154419</v>
      </c>
      <c r="L61" s="3"/>
      <c r="M61" s="452">
        <f>IF(K61=0,0,K61-K89)</f>
        <v>0</v>
      </c>
      <c r="N61" s="3"/>
      <c r="O61" s="3"/>
      <c r="P61" s="3"/>
      <c r="Q61" s="3"/>
      <c r="R61" s="3"/>
      <c r="S61" s="3"/>
      <c r="T61" s="568"/>
      <c r="U61" s="3"/>
      <c r="V61" s="3"/>
      <c r="W61" s="3"/>
      <c r="X61" s="3"/>
      <c r="Y61" s="3"/>
      <c r="Z61" s="3"/>
      <c r="AA61" s="3"/>
      <c r="AB61" s="3"/>
      <c r="AC61" s="3"/>
      <c r="AD61" s="3"/>
      <c r="AE61" s="3"/>
      <c r="AF61" s="3"/>
      <c r="AG61" s="3"/>
      <c r="AH61" s="3"/>
      <c r="AI61" s="3"/>
      <c r="AJ61" s="3"/>
      <c r="AK61" s="3"/>
      <c r="AL61" s="3"/>
      <c r="AM61" s="3"/>
    </row>
    <row r="62" spans="1:39" ht="18.75" customHeight="1" x14ac:dyDescent="0.2">
      <c r="A62" s="841"/>
      <c r="B62" s="299" t="str">
        <f>"Plus: "&amp;CHOOSE('WS2-Proposal'!$W$40,"Existing SV above rate peg - first year","na")</f>
        <v>Plus: na</v>
      </c>
      <c r="C62" s="3"/>
      <c r="D62" s="1495" t="s">
        <v>108</v>
      </c>
      <c r="E62" s="3"/>
      <c r="F62" s="3"/>
      <c r="G62" s="3"/>
      <c r="H62" s="3"/>
      <c r="J62" s="643">
        <f>'WS2-Proposal'!K80</f>
        <v>0</v>
      </c>
      <c r="K62" s="85">
        <f>K$59*J62</f>
        <v>0</v>
      </c>
      <c r="L62" s="3"/>
      <c r="M62" s="452"/>
      <c r="N62" s="3"/>
      <c r="O62" s="3"/>
      <c r="P62" s="3"/>
      <c r="Q62" s="3"/>
      <c r="R62" s="3"/>
      <c r="S62" s="3"/>
      <c r="T62" s="568"/>
      <c r="U62" s="3"/>
      <c r="V62" s="3"/>
      <c r="W62" s="3"/>
      <c r="X62" s="3"/>
      <c r="Y62" s="3"/>
      <c r="Z62" s="3"/>
      <c r="AA62" s="3"/>
      <c r="AB62" s="3"/>
      <c r="AC62" s="3"/>
      <c r="AD62" s="3"/>
      <c r="AE62" s="3"/>
      <c r="AF62" s="3"/>
      <c r="AG62" s="3"/>
      <c r="AH62" s="3"/>
      <c r="AI62" s="3"/>
      <c r="AJ62" s="3"/>
      <c r="AK62" s="3"/>
      <c r="AL62" s="3"/>
      <c r="AM62" s="3"/>
    </row>
    <row r="63" spans="1:39" ht="19.5" customHeight="1" x14ac:dyDescent="0.2">
      <c r="A63" s="841"/>
      <c r="B63" s="299" t="str">
        <f>"Plus: "&amp;CHOOSE('WS2-Proposal'!$W$65,"Additional increase that is temporary - first year","Additional increase - first year")</f>
        <v>Plus: Additional increase - first year</v>
      </c>
      <c r="C63" s="3"/>
      <c r="D63" s="1495" t="s">
        <v>108</v>
      </c>
      <c r="E63" s="3"/>
      <c r="F63" s="3"/>
      <c r="G63" s="3"/>
      <c r="H63" s="3"/>
      <c r="J63" s="643">
        <f>'WS2-Proposal'!K81</f>
        <v>0.1</v>
      </c>
      <c r="K63" s="85">
        <f>K$59*J63</f>
        <v>5435200.3656308837</v>
      </c>
      <c r="L63" s="3"/>
      <c r="M63" s="452">
        <f>IF(K63=0,0,K63-K91)</f>
        <v>0</v>
      </c>
      <c r="N63" s="3"/>
      <c r="O63" s="3"/>
      <c r="P63" s="3"/>
      <c r="Q63" s="3"/>
      <c r="R63" s="3"/>
      <c r="S63" s="3"/>
      <c r="T63" s="568"/>
      <c r="U63" s="3"/>
      <c r="V63" s="3"/>
      <c r="W63" s="3"/>
      <c r="X63" s="3"/>
      <c r="Y63" s="3"/>
      <c r="Z63" s="3"/>
      <c r="AA63" s="3"/>
      <c r="AB63" s="3"/>
      <c r="AC63" s="3"/>
      <c r="AD63" s="3"/>
      <c r="AE63" s="3"/>
      <c r="AF63" s="3"/>
      <c r="AG63" s="3"/>
      <c r="AH63" s="3"/>
      <c r="AI63" s="3"/>
      <c r="AJ63" s="3"/>
      <c r="AK63" s="3"/>
      <c r="AL63" s="3"/>
      <c r="AM63" s="3"/>
    </row>
    <row r="64" spans="1:39" ht="19.5" customHeight="1" x14ac:dyDescent="0.2">
      <c r="A64" s="841"/>
      <c r="B64" s="299" t="str">
        <f>"Plus: "&amp;CHOOSE('WS2-Proposal'!$W$65,"Additional increase that is permanent - first year","na")</f>
        <v>Plus: na</v>
      </c>
      <c r="C64" s="3"/>
      <c r="D64" s="1495" t="s">
        <v>108</v>
      </c>
      <c r="E64" s="3"/>
      <c r="F64" s="3"/>
      <c r="G64" s="3"/>
      <c r="H64" s="3"/>
      <c r="J64" s="643">
        <f>'WS2-Proposal'!K82</f>
        <v>0</v>
      </c>
      <c r="K64" s="85">
        <f>K$59*J64</f>
        <v>0</v>
      </c>
      <c r="L64" s="3"/>
      <c r="M64" s="452"/>
      <c r="N64" s="3"/>
      <c r="O64" s="3"/>
      <c r="P64" s="3"/>
      <c r="Q64" s="3"/>
      <c r="R64" s="3"/>
      <c r="S64" s="3"/>
      <c r="T64" s="568"/>
      <c r="U64" s="3"/>
      <c r="V64" s="3"/>
      <c r="W64" s="3"/>
      <c r="X64" s="3"/>
      <c r="Y64" s="3"/>
      <c r="Z64" s="3"/>
      <c r="AA64" s="3"/>
      <c r="AB64" s="3"/>
      <c r="AC64" s="3"/>
      <c r="AD64" s="3"/>
      <c r="AE64" s="3"/>
      <c r="AF64" s="3"/>
      <c r="AG64" s="3"/>
      <c r="AH64" s="3"/>
      <c r="AI64" s="3"/>
      <c r="AJ64" s="3"/>
      <c r="AK64" s="3"/>
      <c r="AL64" s="3"/>
      <c r="AM64" s="3"/>
    </row>
    <row r="65" spans="1:39" ht="19.5" customHeight="1" x14ac:dyDescent="0.2">
      <c r="A65" s="841"/>
      <c r="B65" s="299" t="s">
        <v>644</v>
      </c>
      <c r="C65" s="3"/>
      <c r="D65" s="1495" t="s">
        <v>108</v>
      </c>
      <c r="E65" s="3"/>
      <c r="F65" s="3"/>
      <c r="G65" s="3"/>
      <c r="H65" s="3"/>
      <c r="J65" s="643">
        <f>IF(K59=0,0,K65/K59)</f>
        <v>0</v>
      </c>
      <c r="K65" s="85">
        <f>'WS2-Proposal'!K48</f>
        <v>0</v>
      </c>
      <c r="L65" s="3"/>
      <c r="M65" s="452">
        <f>IF(K65=0,0,K65-K93)</f>
        <v>0</v>
      </c>
      <c r="N65" s="3"/>
      <c r="O65" s="3"/>
      <c r="P65" s="3"/>
      <c r="Q65" s="3"/>
      <c r="R65" s="3"/>
      <c r="S65" s="3"/>
      <c r="T65" s="568"/>
      <c r="U65" s="3"/>
      <c r="V65" s="3"/>
      <c r="W65" s="3"/>
      <c r="X65" s="3"/>
      <c r="Y65" s="3"/>
      <c r="Z65" s="3"/>
      <c r="AA65" s="3"/>
      <c r="AB65" s="3"/>
      <c r="AC65" s="3"/>
      <c r="AD65" s="3"/>
      <c r="AE65" s="3"/>
      <c r="AF65" s="3"/>
      <c r="AG65" s="3"/>
      <c r="AH65" s="3"/>
      <c r="AI65" s="3"/>
      <c r="AJ65" s="3"/>
      <c r="AK65" s="3"/>
      <c r="AL65" s="3"/>
      <c r="AM65" s="3"/>
    </row>
    <row r="66" spans="1:39" ht="6" customHeight="1" x14ac:dyDescent="0.2">
      <c r="A66" s="841"/>
      <c r="B66" s="685"/>
      <c r="C66" s="3"/>
      <c r="D66" s="1495"/>
      <c r="E66" s="3"/>
      <c r="F66" s="3"/>
      <c r="G66" s="3"/>
      <c r="H66" s="3"/>
      <c r="J66" s="643"/>
      <c r="K66" s="81"/>
      <c r="L66" s="3"/>
      <c r="M66" s="3"/>
      <c r="N66" s="3"/>
      <c r="O66" s="3"/>
      <c r="P66" s="3"/>
      <c r="Q66" s="3"/>
      <c r="R66" s="3"/>
      <c r="S66" s="3"/>
      <c r="T66" s="568"/>
      <c r="U66" s="3"/>
      <c r="V66" s="3"/>
      <c r="W66" s="3"/>
      <c r="X66" s="3"/>
      <c r="Y66" s="3"/>
      <c r="Z66" s="3"/>
      <c r="AA66" s="3"/>
      <c r="AB66" s="3"/>
      <c r="AC66" s="3"/>
      <c r="AD66" s="3"/>
      <c r="AE66" s="3"/>
      <c r="AF66" s="3"/>
      <c r="AG66" s="3"/>
      <c r="AH66" s="3"/>
      <c r="AI66" s="3"/>
      <c r="AJ66" s="3"/>
      <c r="AK66" s="3"/>
      <c r="AL66" s="3"/>
      <c r="AM66" s="3"/>
    </row>
    <row r="67" spans="1:39" ht="22.5" customHeight="1" x14ac:dyDescent="0.2">
      <c r="A67" s="841"/>
      <c r="B67" s="685" t="s">
        <v>629</v>
      </c>
      <c r="D67" s="1495" t="s">
        <v>108</v>
      </c>
      <c r="E67" s="2"/>
      <c r="F67" s="2"/>
      <c r="G67" s="2"/>
      <c r="H67" s="3"/>
      <c r="J67" s="958">
        <f>SUM(J61:J65)</f>
        <v>0.15000000000000002</v>
      </c>
      <c r="K67" s="957">
        <f>K59*J67</f>
        <v>8152800.5484463256</v>
      </c>
      <c r="L67" s="3"/>
      <c r="M67" s="452">
        <f>IF(K67=0,0,K67-K94)</f>
        <v>0</v>
      </c>
      <c r="N67" s="3"/>
      <c r="O67" s="3"/>
      <c r="P67" s="3"/>
      <c r="Q67" s="3"/>
      <c r="R67" s="3"/>
      <c r="S67" s="3"/>
      <c r="T67" s="568"/>
      <c r="U67" s="3"/>
      <c r="V67" s="3"/>
      <c r="W67" s="3"/>
      <c r="X67" s="3"/>
      <c r="Y67" s="3"/>
      <c r="Z67" s="3"/>
      <c r="AA67" s="3"/>
      <c r="AB67" s="3"/>
      <c r="AC67" s="3"/>
      <c r="AD67" s="3"/>
      <c r="AE67" s="3"/>
      <c r="AF67" s="3"/>
      <c r="AG67" s="3"/>
      <c r="AH67" s="3"/>
      <c r="AI67" s="3"/>
      <c r="AJ67" s="3"/>
      <c r="AK67" s="3"/>
      <c r="AL67" s="3"/>
      <c r="AM67" s="3"/>
    </row>
    <row r="68" spans="1:39" ht="12" customHeight="1" x14ac:dyDescent="0.2">
      <c r="A68" s="841"/>
      <c r="B68" s="685"/>
      <c r="C68" s="2"/>
      <c r="D68" s="38"/>
      <c r="E68" s="2"/>
      <c r="F68" s="2"/>
      <c r="G68" s="2"/>
      <c r="H68" s="3"/>
      <c r="I68" s="125"/>
      <c r="J68" s="3"/>
      <c r="K68" s="81"/>
      <c r="L68" s="3"/>
      <c r="M68" s="452">
        <f>SUM(K61:K65)-K67</f>
        <v>0</v>
      </c>
      <c r="N68" s="3"/>
      <c r="O68" s="3"/>
      <c r="P68" s="3"/>
      <c r="Q68" s="3"/>
      <c r="R68" s="3"/>
      <c r="S68" s="3"/>
      <c r="T68" s="568"/>
      <c r="U68" s="3"/>
      <c r="V68" s="3"/>
      <c r="W68" s="3"/>
      <c r="X68" s="3"/>
      <c r="Y68" s="3"/>
      <c r="Z68" s="3"/>
      <c r="AA68" s="3"/>
      <c r="AB68" s="3"/>
      <c r="AC68" s="3"/>
      <c r="AD68" s="3"/>
      <c r="AE68" s="3"/>
      <c r="AF68" s="3"/>
      <c r="AG68" s="3"/>
      <c r="AH68" s="3"/>
      <c r="AI68" s="3"/>
      <c r="AJ68" s="3"/>
      <c r="AK68" s="3"/>
      <c r="AL68" s="3"/>
      <c r="AM68" s="3"/>
    </row>
    <row r="69" spans="1:39" ht="15.75" customHeight="1" x14ac:dyDescent="0.2">
      <c r="A69" s="841"/>
      <c r="B69" s="959" t="s">
        <v>645</v>
      </c>
      <c r="C69" s="3"/>
      <c r="D69" s="1495"/>
      <c r="E69" s="3"/>
      <c r="F69" s="3"/>
      <c r="G69" s="3"/>
      <c r="H69" s="3"/>
      <c r="I69" s="3"/>
      <c r="J69" s="3"/>
      <c r="K69" s="3"/>
      <c r="L69" s="3"/>
      <c r="M69" s="452"/>
      <c r="N69" s="3"/>
      <c r="O69" s="3"/>
      <c r="P69" s="3"/>
      <c r="Q69" s="3"/>
      <c r="R69" s="3"/>
      <c r="S69" s="3"/>
      <c r="T69" s="568"/>
      <c r="U69" s="3"/>
      <c r="V69" s="3"/>
      <c r="W69" s="3"/>
      <c r="X69" s="3"/>
      <c r="Y69" s="3"/>
      <c r="Z69" s="3"/>
      <c r="AA69" s="3"/>
      <c r="AB69" s="3"/>
      <c r="AC69" s="3"/>
      <c r="AD69" s="3"/>
      <c r="AE69" s="3"/>
      <c r="AF69" s="3"/>
      <c r="AG69" s="3"/>
      <c r="AH69" s="3"/>
      <c r="AI69" s="3"/>
      <c r="AJ69" s="3"/>
      <c r="AK69" s="3"/>
      <c r="AL69" s="3"/>
      <c r="AM69" s="3"/>
    </row>
    <row r="70" spans="1:39" ht="20.25" customHeight="1" x14ac:dyDescent="0.2">
      <c r="A70" s="841"/>
      <c r="B70" s="299" t="s">
        <v>631</v>
      </c>
      <c r="C70" s="3"/>
      <c r="D70" s="1495" t="str">
        <f>D59</f>
        <v>$ nominal</v>
      </c>
      <c r="E70" s="3"/>
      <c r="F70" s="3"/>
      <c r="G70" s="3"/>
      <c r="H70" s="3"/>
      <c r="I70" s="3"/>
      <c r="J70" s="3"/>
      <c r="K70" s="85">
        <f>'WS2-Proposal'!K49</f>
        <v>1784</v>
      </c>
      <c r="L70" s="3"/>
      <c r="M70" s="452"/>
      <c r="N70" s="3"/>
      <c r="O70" s="3"/>
      <c r="P70" s="3"/>
      <c r="Q70" s="3"/>
      <c r="R70" s="3"/>
      <c r="S70" s="3"/>
      <c r="T70" s="568"/>
      <c r="U70" s="3"/>
      <c r="V70" s="3"/>
      <c r="W70" s="3"/>
      <c r="X70" s="3"/>
      <c r="Y70" s="3"/>
      <c r="Z70" s="3"/>
      <c r="AA70" s="3"/>
      <c r="AB70" s="3"/>
      <c r="AC70" s="3"/>
      <c r="AD70" s="3"/>
      <c r="AE70" s="3"/>
      <c r="AF70" s="3"/>
      <c r="AG70" s="3"/>
      <c r="AH70" s="3"/>
      <c r="AI70" s="3"/>
      <c r="AJ70" s="3"/>
      <c r="AK70" s="3"/>
      <c r="AL70" s="3"/>
      <c r="AM70" s="3"/>
    </row>
    <row r="71" spans="1:39" ht="18.75" customHeight="1" x14ac:dyDescent="0.2">
      <c r="A71" s="841"/>
      <c r="B71" s="299" t="s">
        <v>632</v>
      </c>
      <c r="C71" s="3"/>
      <c r="D71" s="1495" t="str">
        <f>D59</f>
        <v>$ nominal</v>
      </c>
      <c r="E71" s="3"/>
      <c r="F71" s="3"/>
      <c r="G71" s="3"/>
      <c r="H71" s="3"/>
      <c r="I71" s="3"/>
      <c r="J71" s="16"/>
      <c r="K71" s="85">
        <f>-'WS2-Proposal'!K50</f>
        <v>0</v>
      </c>
      <c r="L71" s="1"/>
      <c r="M71" s="452"/>
      <c r="N71" s="3"/>
      <c r="O71" s="3"/>
      <c r="P71" s="3"/>
      <c r="Q71" s="3"/>
      <c r="R71" s="3"/>
      <c r="S71" s="3"/>
      <c r="T71" s="568"/>
      <c r="U71" s="3"/>
      <c r="V71" s="3"/>
      <c r="W71" s="3"/>
      <c r="X71" s="3"/>
      <c r="Y71" s="3"/>
      <c r="Z71" s="3"/>
      <c r="AA71" s="3"/>
      <c r="AB71" s="3"/>
      <c r="AC71" s="3"/>
      <c r="AD71" s="3"/>
      <c r="AE71" s="3"/>
      <c r="AF71" s="3"/>
      <c r="AG71" s="3"/>
      <c r="AH71" s="3"/>
      <c r="AI71" s="3"/>
      <c r="AJ71" s="3"/>
      <c r="AK71" s="3"/>
      <c r="AL71" s="3"/>
      <c r="AM71" s="3"/>
    </row>
    <row r="72" spans="1:39" ht="20.25" customHeight="1" x14ac:dyDescent="0.2">
      <c r="A72" s="841"/>
      <c r="B72" s="299" t="s">
        <v>633</v>
      </c>
      <c r="C72" s="3"/>
      <c r="D72" s="1495" t="str">
        <f>D71</f>
        <v>$ nominal</v>
      </c>
      <c r="E72" s="3"/>
      <c r="F72" s="3"/>
      <c r="G72" s="3"/>
      <c r="H72" s="3"/>
      <c r="J72" s="3"/>
      <c r="K72" s="85">
        <f>K70+K71</f>
        <v>1784</v>
      </c>
      <c r="L72" s="3"/>
      <c r="M72" s="452">
        <f>K72-K97</f>
        <v>0</v>
      </c>
      <c r="N72" s="3"/>
      <c r="O72" s="3"/>
      <c r="P72" s="3"/>
      <c r="Q72" s="3"/>
      <c r="R72" s="3"/>
      <c r="S72" s="3"/>
      <c r="T72" s="568"/>
      <c r="U72" s="3"/>
      <c r="V72" s="3"/>
      <c r="W72" s="3"/>
      <c r="X72" s="3"/>
      <c r="Y72" s="3"/>
      <c r="Z72" s="3"/>
      <c r="AA72" s="3"/>
      <c r="AB72" s="3"/>
      <c r="AC72" s="3"/>
      <c r="AD72" s="3"/>
      <c r="AE72" s="3"/>
      <c r="AF72" s="3"/>
      <c r="AG72" s="3"/>
      <c r="AH72" s="3"/>
      <c r="AI72" s="3"/>
      <c r="AJ72" s="3"/>
      <c r="AK72" s="3"/>
      <c r="AL72" s="3"/>
      <c r="AM72" s="3"/>
    </row>
    <row r="73" spans="1:39" x14ac:dyDescent="0.2">
      <c r="A73" s="841"/>
      <c r="B73" s="685"/>
      <c r="C73" s="3"/>
      <c r="D73" s="1495"/>
      <c r="E73" s="3"/>
      <c r="F73" s="3"/>
      <c r="G73" s="3"/>
      <c r="H73" s="3"/>
      <c r="I73" s="3"/>
      <c r="J73" s="3"/>
      <c r="K73" s="3"/>
      <c r="L73" s="3"/>
      <c r="M73" s="452"/>
      <c r="N73" s="3"/>
      <c r="O73" s="3"/>
      <c r="P73" s="3"/>
      <c r="Q73" s="3"/>
      <c r="R73" s="3"/>
      <c r="S73" s="3"/>
      <c r="T73" s="568"/>
      <c r="U73" s="3"/>
      <c r="V73" s="3"/>
      <c r="W73" s="3"/>
      <c r="X73" s="3"/>
      <c r="Y73" s="3"/>
      <c r="Z73" s="3"/>
      <c r="AA73" s="3"/>
      <c r="AB73" s="3"/>
      <c r="AC73" s="3"/>
      <c r="AD73" s="3"/>
      <c r="AE73" s="3"/>
      <c r="AF73" s="3"/>
      <c r="AG73" s="3"/>
      <c r="AH73" s="3"/>
      <c r="AI73" s="3"/>
      <c r="AJ73" s="3"/>
      <c r="AK73" s="3"/>
      <c r="AL73" s="3"/>
      <c r="AM73" s="3"/>
    </row>
    <row r="74" spans="1:39" ht="15.75" customHeight="1" x14ac:dyDescent="0.2">
      <c r="A74" s="841"/>
      <c r="B74" s="685" t="s">
        <v>634</v>
      </c>
      <c r="D74" s="38" t="str">
        <f>D59</f>
        <v>$ nominal</v>
      </c>
      <c r="F74" s="2"/>
      <c r="G74" s="2"/>
      <c r="H74" s="3"/>
      <c r="I74" s="16"/>
      <c r="K74" s="957">
        <f>K59+K67+K72</f>
        <v>62506588.204755157</v>
      </c>
      <c r="L74" s="3"/>
      <c r="M74" s="452">
        <f>IF(K74=0,0,K74-K98)</f>
        <v>0</v>
      </c>
      <c r="N74" s="3"/>
      <c r="O74" s="3"/>
      <c r="P74" s="3"/>
      <c r="Q74" s="3"/>
      <c r="R74" s="3"/>
      <c r="S74" s="3"/>
      <c r="T74" s="568"/>
      <c r="U74" s="3"/>
      <c r="V74" s="3"/>
      <c r="W74" s="3"/>
      <c r="X74" s="3"/>
      <c r="Y74" s="3"/>
      <c r="Z74" s="3"/>
      <c r="AA74" s="3"/>
      <c r="AB74" s="3"/>
      <c r="AC74" s="3"/>
      <c r="AD74" s="3"/>
      <c r="AE74" s="3"/>
      <c r="AF74" s="3"/>
      <c r="AG74" s="3"/>
      <c r="AH74" s="3"/>
      <c r="AI74" s="3"/>
      <c r="AJ74" s="3"/>
      <c r="AK74" s="3"/>
      <c r="AL74" s="3"/>
      <c r="AM74" s="3"/>
    </row>
    <row r="75" spans="1:39" x14ac:dyDescent="0.2">
      <c r="A75" s="841"/>
      <c r="B75" s="344"/>
      <c r="C75" s="140"/>
      <c r="D75" s="580"/>
      <c r="E75" s="140"/>
      <c r="F75" s="140"/>
      <c r="G75" s="140"/>
      <c r="H75" s="140"/>
      <c r="I75" s="140"/>
      <c r="J75" s="140"/>
      <c r="K75" s="140"/>
      <c r="L75" s="140"/>
      <c r="M75" s="140"/>
      <c r="N75" s="140"/>
      <c r="O75" s="140"/>
      <c r="P75" s="963"/>
      <c r="Q75" s="140"/>
      <c r="R75" s="140"/>
      <c r="S75" s="140"/>
      <c r="T75" s="578"/>
      <c r="U75" s="3"/>
      <c r="V75" s="3"/>
      <c r="W75" s="3"/>
      <c r="X75" s="3"/>
      <c r="Y75" s="3"/>
      <c r="Z75" s="3"/>
      <c r="AA75" s="3"/>
      <c r="AB75" s="3"/>
      <c r="AC75" s="3"/>
      <c r="AD75" s="3"/>
      <c r="AE75" s="3"/>
      <c r="AF75" s="3"/>
      <c r="AG75" s="3"/>
      <c r="AH75" s="3"/>
      <c r="AI75" s="3"/>
      <c r="AJ75" s="3"/>
      <c r="AK75" s="3"/>
      <c r="AL75" s="3"/>
      <c r="AM75" s="3"/>
    </row>
    <row r="76" spans="1:39" ht="12" customHeight="1" x14ac:dyDescent="0.2">
      <c r="A76" s="841"/>
      <c r="B76" s="3"/>
      <c r="C76" s="3"/>
      <c r="D76" s="1495"/>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row>
    <row r="77" spans="1:39" ht="12" customHeight="1" x14ac:dyDescent="0.25">
      <c r="A77" s="841"/>
      <c r="B77" s="4"/>
      <c r="C77" s="49"/>
      <c r="D77" s="55"/>
      <c r="E77" s="49"/>
      <c r="F77" s="49"/>
      <c r="G77" s="49"/>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row>
    <row r="78" spans="1:39" ht="14.25" customHeight="1" x14ac:dyDescent="0.2">
      <c r="A78" s="841">
        <f>A55+1</f>
        <v>2</v>
      </c>
      <c r="B78" s="181" t="str">
        <f>"Table " &amp;A1&amp;"."&amp;A78&amp;": Calculation of PGI with proposed SV, rate peg and renewal of expiring SV ($ nominal)"</f>
        <v>Table 6.2: Calculation of PGI with proposed SV, rate peg and renewal of expiring SV ($ nominal)</v>
      </c>
      <c r="C78" s="49"/>
      <c r="D78" s="55"/>
      <c r="E78" s="49"/>
      <c r="F78" s="49"/>
      <c r="G78" s="49"/>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row>
    <row r="79" spans="1:39" x14ac:dyDescent="0.2">
      <c r="A79" s="841"/>
      <c r="B79" s="950"/>
      <c r="C79" s="141"/>
      <c r="D79" s="666"/>
      <c r="E79" s="141"/>
      <c r="F79" s="141"/>
      <c r="G79" s="141"/>
      <c r="H79" s="141"/>
      <c r="I79" s="141"/>
      <c r="J79" s="962" t="str">
        <f>'WS0 - Input data'!J$55</f>
        <v>Year 0</v>
      </c>
      <c r="K79" s="962" t="str">
        <f>'WS0 - Input data'!K$55</f>
        <v>Year 1</v>
      </c>
      <c r="L79" s="962" t="str">
        <f>'WS0 - Input data'!L$55</f>
        <v>Year 2</v>
      </c>
      <c r="M79" s="962" t="str">
        <f>'WS0 - Input data'!M$55</f>
        <v>Year 3</v>
      </c>
      <c r="N79" s="962" t="str">
        <f>'WS0 - Input data'!N$55</f>
        <v>Year 4</v>
      </c>
      <c r="O79" s="962" t="str">
        <f>'WS0 - Input data'!O$55</f>
        <v>Year 5</v>
      </c>
      <c r="P79" s="962" t="str">
        <f>'WS0 - Input data'!P$55</f>
        <v>Year 6</v>
      </c>
      <c r="Q79" s="971" t="str">
        <f>'WS0 - Input data'!Q$55</f>
        <v>Year 7</v>
      </c>
      <c r="R79" s="1466" t="s">
        <v>646</v>
      </c>
      <c r="S79" s="1466"/>
      <c r="T79" s="1467"/>
      <c r="V79" s="3"/>
      <c r="W79" s="3"/>
      <c r="X79" s="424"/>
      <c r="Y79" s="424"/>
      <c r="Z79" s="424"/>
      <c r="AA79" s="424"/>
      <c r="AB79" s="424"/>
      <c r="AC79" s="424"/>
      <c r="AD79" s="424"/>
      <c r="AE79" s="424"/>
      <c r="AF79" s="424"/>
      <c r="AG79" s="424"/>
      <c r="AH79" s="424"/>
      <c r="AI79" s="424"/>
      <c r="AJ79" s="424"/>
      <c r="AK79" s="424"/>
      <c r="AL79" s="424"/>
      <c r="AM79" s="424"/>
    </row>
    <row r="80" spans="1:39" x14ac:dyDescent="0.2">
      <c r="A80" s="841"/>
      <c r="B80" s="299" t="str">
        <f>'WS0 - Input data'!B$58</f>
        <v>Financial year</v>
      </c>
      <c r="C80" s="3"/>
      <c r="D80" s="1495" t="s">
        <v>641</v>
      </c>
      <c r="E80" s="3"/>
      <c r="F80" s="3"/>
      <c r="G80" s="3"/>
      <c r="I80" s="19"/>
      <c r="J80" s="39" t="str">
        <f>'WS0 - Input data'!J$58</f>
        <v>2023-24</v>
      </c>
      <c r="K80" s="39" t="str">
        <f>'WS0 - Input data'!K$58</f>
        <v>2024-25</v>
      </c>
      <c r="L80" s="39" t="str">
        <f>'WS0 - Input data'!L$58</f>
        <v>2025-26</v>
      </c>
      <c r="M80" s="39" t="str">
        <f>'WS0 - Input data'!M$58</f>
        <v>2026-27</v>
      </c>
      <c r="N80" s="39" t="str">
        <f>'WS0 - Input data'!N$58</f>
        <v>2027-28</v>
      </c>
      <c r="O80" s="39" t="str">
        <f>'WS0 - Input data'!O$58</f>
        <v>2028-29</v>
      </c>
      <c r="P80" s="39" t="str">
        <f>'WS0 - Input data'!P$58</f>
        <v>2029-30</v>
      </c>
      <c r="Q80" s="343" t="str">
        <f>'WS0 - Input data'!Q$58</f>
        <v>2030-31</v>
      </c>
      <c r="R80" s="19" t="str">
        <f>D85</f>
        <v>$ nominal</v>
      </c>
      <c r="S80" s="19" t="s">
        <v>108</v>
      </c>
      <c r="T80" s="568"/>
      <c r="U80" s="3"/>
      <c r="V80" s="3"/>
      <c r="W80" s="3"/>
      <c r="X80" s="424"/>
      <c r="Y80" s="424"/>
      <c r="Z80" s="424"/>
      <c r="AA80" s="424"/>
      <c r="AB80" s="424"/>
      <c r="AC80" s="424"/>
      <c r="AD80" s="424"/>
      <c r="AE80" s="424"/>
      <c r="AF80" s="424"/>
      <c r="AG80" s="424"/>
      <c r="AH80" s="424"/>
      <c r="AI80" s="424"/>
      <c r="AJ80" s="424"/>
      <c r="AK80" s="424"/>
      <c r="AL80" s="424"/>
      <c r="AM80" s="424"/>
    </row>
    <row r="81" spans="1:39" ht="22.5" x14ac:dyDescent="0.2">
      <c r="A81" s="841"/>
      <c r="B81" s="344"/>
      <c r="C81" s="140"/>
      <c r="D81" s="580"/>
      <c r="E81" s="140"/>
      <c r="F81" s="140"/>
      <c r="G81" s="140"/>
      <c r="H81" s="140"/>
      <c r="I81" s="140"/>
      <c r="J81" s="345"/>
      <c r="K81" s="346" t="str">
        <f>IF('WS2-Proposal'!K73=1,"Proposed SV period",IF(AND('WS2-Proposal'!K73=0,'WS2-Proposal'!K76&gt;0),"Existing SV period","no SV"))</f>
        <v>Proposed SV period</v>
      </c>
      <c r="L81" s="346" t="str">
        <f>IF('WS2-Proposal'!L73=1,"Proposed SV period",IF(AND('WS2-Proposal'!L73=0,'WS2-Proposal'!L76&gt;0),"Existing SV period","no SV"))</f>
        <v>no SV</v>
      </c>
      <c r="M81" s="346" t="str">
        <f>IF('WS2-Proposal'!M73=1,"Proposed SV period",IF(AND('WS2-Proposal'!M73=0,'WS2-Proposal'!M76&gt;0),"Existing SV period","no SV"))</f>
        <v>no SV</v>
      </c>
      <c r="N81" s="346" t="str">
        <f>IF('WS2-Proposal'!N73=1,"Proposed SV period",IF(AND('WS2-Proposal'!N73=0,'WS2-Proposal'!N76&gt;0),"Existing SV period","no SV"))</f>
        <v>no SV</v>
      </c>
      <c r="O81" s="346" t="str">
        <f>IF('WS2-Proposal'!O73=1,"Proposed SV period",IF(AND('WS2-Proposal'!O73=0,'WS2-Proposal'!O76&gt;0),"Existing SV period","no SV"))</f>
        <v>no SV</v>
      </c>
      <c r="P81" s="346" t="str">
        <f>IF('WS2-Proposal'!P73=1,"Proposed SV period",IF(AND('WS2-Proposal'!P73=0,'WS2-Proposal'!P76&gt;0),"Existing SV period","no SV"))</f>
        <v>no SV</v>
      </c>
      <c r="Q81" s="346" t="str">
        <f>IF('WS2-Proposal'!Q73=1,"Proposed SV period",IF(AND('WS2-Proposal'!Q73=0,'WS2-Proposal'!Q76&gt;0),"Existing SV period","no SV"))</f>
        <v>no SV</v>
      </c>
      <c r="R81" s="344"/>
      <c r="S81" s="295"/>
      <c r="T81" s="578"/>
      <c r="U81" s="3"/>
      <c r="V81" s="3"/>
      <c r="W81" s="3"/>
      <c r="X81" s="424"/>
      <c r="Y81" s="424"/>
      <c r="Z81" s="424"/>
      <c r="AA81" s="424"/>
      <c r="AB81" s="424"/>
      <c r="AC81" s="424"/>
      <c r="AD81" s="424"/>
      <c r="AE81" s="424"/>
      <c r="AF81" s="424"/>
      <c r="AG81" s="424"/>
      <c r="AH81" s="424"/>
      <c r="AI81" s="424"/>
      <c r="AJ81" s="424"/>
      <c r="AK81" s="424"/>
      <c r="AL81" s="424"/>
      <c r="AM81" s="424"/>
    </row>
    <row r="82" spans="1:39" outlineLevel="1" x14ac:dyDescent="0.2">
      <c r="A82" s="841"/>
      <c r="B82" s="706" t="str">
        <f>'WS2-Proposal'!B74</f>
        <v>0 = beyond temporary SV period</v>
      </c>
      <c r="C82" s="972"/>
      <c r="D82" s="1620"/>
      <c r="E82" s="972"/>
      <c r="F82" s="972"/>
      <c r="G82" s="972"/>
      <c r="H82" s="973"/>
      <c r="J82" s="146">
        <f>'WS2-Proposal'!J74</f>
        <v>1</v>
      </c>
      <c r="K82" s="146">
        <f>'WS2-Proposal'!K74</f>
        <v>1</v>
      </c>
      <c r="L82" s="146">
        <f>'WS2-Proposal'!L74</f>
        <v>1</v>
      </c>
      <c r="M82" s="146">
        <f>'WS2-Proposal'!M74</f>
        <v>1</v>
      </c>
      <c r="N82" s="146">
        <f>'WS2-Proposal'!N74</f>
        <v>1</v>
      </c>
      <c r="O82" s="146">
        <f>'WS2-Proposal'!O74</f>
        <v>1</v>
      </c>
      <c r="P82" s="146">
        <f>'WS2-Proposal'!P74</f>
        <v>1</v>
      </c>
      <c r="Q82" s="146">
        <f>'WS2-Proposal'!Q74</f>
        <v>1</v>
      </c>
      <c r="R82" s="299"/>
      <c r="S82" s="19"/>
      <c r="T82" s="568"/>
      <c r="U82" s="3"/>
      <c r="V82" s="3"/>
      <c r="W82" s="3"/>
      <c r="X82" s="424"/>
      <c r="Y82" s="424"/>
      <c r="Z82" s="424"/>
      <c r="AA82" s="424"/>
      <c r="AB82" s="424"/>
      <c r="AC82" s="424"/>
      <c r="AD82" s="424"/>
      <c r="AE82" s="424"/>
      <c r="AF82" s="424"/>
      <c r="AG82" s="424"/>
      <c r="AH82" s="424"/>
      <c r="AI82" s="424"/>
      <c r="AJ82" s="424"/>
      <c r="AK82" s="424"/>
      <c r="AL82" s="424"/>
      <c r="AM82" s="424"/>
    </row>
    <row r="83" spans="1:39" x14ac:dyDescent="0.2">
      <c r="A83" s="841"/>
      <c r="B83" s="299"/>
      <c r="C83" s="3"/>
      <c r="D83" s="1495"/>
      <c r="E83" s="3"/>
      <c r="F83" s="3"/>
      <c r="G83" s="3"/>
      <c r="H83" s="3"/>
      <c r="J83" s="2"/>
      <c r="K83" s="2"/>
      <c r="L83" s="2"/>
      <c r="M83" s="2"/>
      <c r="N83" s="2"/>
      <c r="O83" s="2"/>
      <c r="P83" s="2"/>
      <c r="Q83" s="39"/>
      <c r="R83" s="299"/>
      <c r="S83" s="39"/>
      <c r="T83" s="568"/>
      <c r="U83" s="3"/>
      <c r="V83" s="3"/>
      <c r="W83" s="3"/>
      <c r="X83" s="424"/>
      <c r="Y83" s="424"/>
      <c r="Z83" s="424"/>
      <c r="AA83" s="424"/>
      <c r="AB83" s="424"/>
      <c r="AC83" s="424"/>
      <c r="AD83" s="424"/>
      <c r="AE83" s="424"/>
      <c r="AF83" s="424"/>
      <c r="AG83" s="424"/>
      <c r="AH83" s="424"/>
      <c r="AI83" s="424"/>
      <c r="AJ83" s="424"/>
      <c r="AK83" s="424"/>
      <c r="AL83" s="424"/>
      <c r="AM83" s="424"/>
    </row>
    <row r="84" spans="1:39" x14ac:dyDescent="0.2">
      <c r="A84" s="841"/>
      <c r="B84" s="959" t="s">
        <v>647</v>
      </c>
      <c r="C84" s="3"/>
      <c r="D84" s="1495"/>
      <c r="E84" s="3"/>
      <c r="F84" s="3"/>
      <c r="G84" s="3"/>
      <c r="H84" s="3"/>
      <c r="J84" s="2"/>
      <c r="K84" s="2"/>
      <c r="L84" s="39"/>
      <c r="M84" s="39"/>
      <c r="N84" s="39"/>
      <c r="O84" s="39"/>
      <c r="P84" s="39"/>
      <c r="Q84" s="39"/>
      <c r="R84" s="299"/>
      <c r="S84" s="3"/>
      <c r="T84" s="568"/>
      <c r="U84" s="3"/>
      <c r="V84" s="3"/>
      <c r="W84" s="3"/>
      <c r="X84" s="424"/>
      <c r="Y84" s="424"/>
      <c r="Z84" s="424"/>
      <c r="AA84" s="424"/>
      <c r="AB84" s="424"/>
      <c r="AC84" s="424"/>
      <c r="AD84" s="424"/>
      <c r="AE84" s="424"/>
      <c r="AF84" s="424"/>
      <c r="AG84" s="424"/>
      <c r="AH84" s="424"/>
      <c r="AI84" s="424"/>
      <c r="AJ84" s="424"/>
      <c r="AK84" s="424"/>
      <c r="AL84" s="424"/>
      <c r="AM84" s="424"/>
    </row>
    <row r="85" spans="1:39" x14ac:dyDescent="0.2">
      <c r="A85" s="841"/>
      <c r="B85" s="299" t="s">
        <v>648</v>
      </c>
      <c r="C85" s="3"/>
      <c r="D85" s="1495" t="str">
        <f>'WS0 - Input data'!$C$62</f>
        <v>$ nominal</v>
      </c>
      <c r="F85" s="3"/>
      <c r="G85" s="3"/>
      <c r="J85" s="85"/>
      <c r="K85" s="151">
        <f t="shared" ref="K85:Q85" si="0">IF(K$82=0,0,J98)</f>
        <v>54352003.65630883</v>
      </c>
      <c r="L85" s="151">
        <f t="shared" si="0"/>
        <v>62506588.204755157</v>
      </c>
      <c r="M85" s="151">
        <f t="shared" si="0"/>
        <v>64381785.850897811</v>
      </c>
      <c r="N85" s="151">
        <f t="shared" si="0"/>
        <v>66313239.426424749</v>
      </c>
      <c r="O85" s="151">
        <f t="shared" si="0"/>
        <v>68302636.609217495</v>
      </c>
      <c r="P85" s="151">
        <f t="shared" si="0"/>
        <v>70351715.70749402</v>
      </c>
      <c r="Q85" s="151">
        <f t="shared" si="0"/>
        <v>72462267.178718835</v>
      </c>
      <c r="R85" s="300"/>
      <c r="S85" s="3"/>
      <c r="T85" s="568"/>
      <c r="U85" s="3"/>
      <c r="V85" s="3"/>
      <c r="W85" s="3"/>
      <c r="X85" s="3"/>
      <c r="Y85" s="3"/>
      <c r="Z85" s="3"/>
      <c r="AA85" s="3"/>
      <c r="AB85" s="3"/>
      <c r="AC85" s="3"/>
      <c r="AD85" s="3"/>
      <c r="AE85" s="3"/>
      <c r="AF85" s="3"/>
      <c r="AG85" s="3"/>
      <c r="AH85" s="424"/>
      <c r="AI85" s="424"/>
      <c r="AJ85" s="424"/>
      <c r="AK85" s="424"/>
      <c r="AL85" s="424"/>
      <c r="AM85" s="424"/>
    </row>
    <row r="86" spans="1:39" x14ac:dyDescent="0.2">
      <c r="A86" s="841"/>
      <c r="B86" s="708" t="s">
        <v>649</v>
      </c>
      <c r="C86" s="3"/>
      <c r="D86" s="1495" t="str">
        <f>D85</f>
        <v>$ nominal</v>
      </c>
      <c r="F86" s="3"/>
      <c r="G86" s="3"/>
      <c r="J86" s="85"/>
      <c r="K86" s="151">
        <f>'WS2-Proposal'!J91</f>
        <v>0</v>
      </c>
      <c r="L86" s="151">
        <f>'WS2-Proposal'!K91</f>
        <v>0</v>
      </c>
      <c r="M86" s="151">
        <f>'WS2-Proposal'!L91</f>
        <v>0</v>
      </c>
      <c r="N86" s="151">
        <f>'WS2-Proposal'!M91</f>
        <v>0</v>
      </c>
      <c r="O86" s="151">
        <f>'WS2-Proposal'!N91</f>
        <v>0</v>
      </c>
      <c r="P86" s="151">
        <f>'WS2-Proposal'!O91</f>
        <v>0</v>
      </c>
      <c r="Q86" s="151">
        <f>IF(Q$82=0,0,'WS2-Proposal'!P91)</f>
        <v>0</v>
      </c>
      <c r="R86" s="300"/>
      <c r="S86" s="3"/>
      <c r="T86" s="568"/>
      <c r="U86" s="3"/>
      <c r="V86" s="3"/>
      <c r="W86" s="3"/>
      <c r="X86" s="3"/>
      <c r="Y86" s="3"/>
      <c r="Z86" s="3"/>
      <c r="AA86" s="3"/>
      <c r="AB86" s="3"/>
      <c r="AC86" s="3"/>
      <c r="AD86" s="3"/>
      <c r="AE86" s="3"/>
      <c r="AF86" s="3"/>
      <c r="AG86" s="3"/>
      <c r="AH86" s="424"/>
      <c r="AI86" s="424"/>
      <c r="AJ86" s="424"/>
      <c r="AK86" s="424"/>
      <c r="AL86" s="424"/>
      <c r="AM86" s="424"/>
    </row>
    <row r="87" spans="1:39" x14ac:dyDescent="0.2">
      <c r="A87" s="841"/>
      <c r="B87" s="299" t="s">
        <v>650</v>
      </c>
      <c r="C87" s="3"/>
      <c r="D87" s="1495" t="str">
        <f>D86</f>
        <v>$ nominal</v>
      </c>
      <c r="F87" s="3"/>
      <c r="G87" s="3"/>
      <c r="J87" s="85"/>
      <c r="K87" s="151">
        <f t="shared" ref="K87" si="1">K85-K86</f>
        <v>54352003.65630883</v>
      </c>
      <c r="L87" s="151">
        <f t="shared" ref="L87:O87" si="2">L85-L86</f>
        <v>62506588.204755157</v>
      </c>
      <c r="M87" s="151">
        <f t="shared" si="2"/>
        <v>64381785.850897811</v>
      </c>
      <c r="N87" s="151">
        <f t="shared" si="2"/>
        <v>66313239.426424749</v>
      </c>
      <c r="O87" s="151">
        <f t="shared" si="2"/>
        <v>68302636.609217495</v>
      </c>
      <c r="P87" s="151">
        <f t="shared" ref="P87:Q87" si="3">P85-P86</f>
        <v>70351715.70749402</v>
      </c>
      <c r="Q87" s="151">
        <f t="shared" si="3"/>
        <v>72462267.178718835</v>
      </c>
      <c r="R87" s="300"/>
      <c r="S87" s="3"/>
      <c r="T87" s="568"/>
      <c r="U87" s="3"/>
      <c r="V87" s="3"/>
      <c r="W87" s="3"/>
      <c r="X87" s="3"/>
      <c r="Y87" s="3"/>
      <c r="Z87" s="3"/>
      <c r="AA87" s="3"/>
      <c r="AB87" s="3"/>
      <c r="AC87" s="3"/>
      <c r="AD87" s="3"/>
      <c r="AE87" s="3"/>
      <c r="AF87" s="3"/>
      <c r="AG87" s="3"/>
      <c r="AH87" s="424"/>
      <c r="AI87" s="424"/>
      <c r="AJ87" s="424"/>
      <c r="AK87" s="424"/>
      <c r="AL87" s="424"/>
      <c r="AM87" s="424"/>
    </row>
    <row r="88" spans="1:39" ht="7.5" customHeight="1" x14ac:dyDescent="0.2">
      <c r="A88" s="841"/>
      <c r="B88" s="299"/>
      <c r="C88" s="3"/>
      <c r="D88" s="1495"/>
      <c r="F88" s="3"/>
      <c r="G88" s="3"/>
      <c r="J88" s="85"/>
      <c r="K88" s="151"/>
      <c r="L88" s="151"/>
      <c r="M88" s="151"/>
      <c r="N88" s="151"/>
      <c r="O88" s="151"/>
      <c r="P88" s="151"/>
      <c r="Q88" s="151"/>
      <c r="R88" s="300"/>
      <c r="S88" s="3"/>
      <c r="T88" s="568"/>
      <c r="U88" s="3"/>
      <c r="V88" s="3"/>
      <c r="W88" s="3"/>
      <c r="X88" s="3"/>
      <c r="Y88" s="3"/>
      <c r="Z88" s="3"/>
      <c r="AA88" s="3"/>
      <c r="AB88" s="3"/>
      <c r="AC88" s="3"/>
      <c r="AD88" s="3"/>
      <c r="AE88" s="3"/>
      <c r="AF88" s="3"/>
      <c r="AG88" s="3"/>
      <c r="AH88" s="424"/>
      <c r="AI88" s="424"/>
      <c r="AJ88" s="424"/>
      <c r="AK88" s="424"/>
      <c r="AL88" s="424"/>
      <c r="AM88" s="424"/>
    </row>
    <row r="89" spans="1:39" x14ac:dyDescent="0.2">
      <c r="A89" s="841"/>
      <c r="B89" s="708" t="s">
        <v>651</v>
      </c>
      <c r="C89" s="3"/>
      <c r="D89" s="1495" t="str">
        <f>$D$85</f>
        <v>$ nominal</v>
      </c>
      <c r="F89" s="3"/>
      <c r="G89" s="3"/>
      <c r="J89" s="85"/>
      <c r="K89" s="151">
        <f>K$87*'WS2-Proposal'!K79</f>
        <v>2717600.1828154419</v>
      </c>
      <c r="L89" s="151">
        <f>L$87*'WS2-Proposal'!L79</f>
        <v>1875197.6461426546</v>
      </c>
      <c r="M89" s="151">
        <f>M$87*'WS2-Proposal'!M79</f>
        <v>1931453.5755269343</v>
      </c>
      <c r="N89" s="151">
        <f>N$87*'WS2-Proposal'!N79</f>
        <v>1989397.1827927425</v>
      </c>
      <c r="O89" s="151">
        <f>O$87*'WS2-Proposal'!O79</f>
        <v>2049079.0982765248</v>
      </c>
      <c r="P89" s="151">
        <f>P$87*'WS2-Proposal'!P79</f>
        <v>2110551.4712248207</v>
      </c>
      <c r="Q89" s="151">
        <f>Q$87*'WS2-Proposal'!Q79</f>
        <v>2173868.0153615652</v>
      </c>
      <c r="R89" s="300"/>
      <c r="S89" s="3"/>
      <c r="T89" s="568"/>
      <c r="U89" s="3"/>
      <c r="V89" s="3"/>
      <c r="W89" s="3"/>
      <c r="X89" s="3"/>
      <c r="Y89" s="3"/>
      <c r="Z89" s="3"/>
      <c r="AA89" s="3"/>
      <c r="AB89" s="3"/>
      <c r="AC89" s="3"/>
      <c r="AD89" s="3"/>
      <c r="AE89" s="3"/>
      <c r="AF89" s="3"/>
      <c r="AG89" s="3"/>
      <c r="AH89" s="424"/>
      <c r="AI89" s="424"/>
      <c r="AJ89" s="424"/>
      <c r="AK89" s="424"/>
      <c r="AL89" s="424"/>
      <c r="AM89" s="424"/>
    </row>
    <row r="90" spans="1:39" x14ac:dyDescent="0.2">
      <c r="A90" s="841"/>
      <c r="B90" s="708" t="str">
        <f>"plus: " &amp;CHOOSE('WS2-Proposal'!$W$40,"existing SV above rate peg","na")</f>
        <v>plus: na</v>
      </c>
      <c r="C90" s="3"/>
      <c r="D90" s="1495" t="str">
        <f>$D$85</f>
        <v>$ nominal</v>
      </c>
      <c r="F90" s="3"/>
      <c r="G90" s="3"/>
      <c r="J90" s="85"/>
      <c r="K90" s="151">
        <f>K$87*'WS2-Proposal'!K80</f>
        <v>0</v>
      </c>
      <c r="L90" s="151">
        <f>L$87*'WS2-Proposal'!L80</f>
        <v>0</v>
      </c>
      <c r="M90" s="151">
        <f>M$87*'WS2-Proposal'!M80</f>
        <v>0</v>
      </c>
      <c r="N90" s="151">
        <f>N$87*'WS2-Proposal'!N80</f>
        <v>0</v>
      </c>
      <c r="O90" s="151">
        <f>O$87*'WS2-Proposal'!O80</f>
        <v>0</v>
      </c>
      <c r="P90" s="151">
        <f>P$87*'WS2-Proposal'!P80</f>
        <v>0</v>
      </c>
      <c r="Q90" s="151">
        <f>Q$87*'WS2-Proposal'!Q80</f>
        <v>0</v>
      </c>
      <c r="R90" s="300"/>
      <c r="S90" s="3"/>
      <c r="T90" s="568"/>
      <c r="U90" s="3"/>
      <c r="V90" s="3"/>
      <c r="W90" s="3"/>
      <c r="X90" s="3"/>
      <c r="Y90" s="3"/>
      <c r="Z90" s="3"/>
      <c r="AA90" s="3"/>
      <c r="AB90" s="3"/>
      <c r="AC90" s="3"/>
      <c r="AD90" s="3"/>
      <c r="AE90" s="3"/>
      <c r="AF90" s="3"/>
      <c r="AG90" s="3"/>
      <c r="AH90" s="424"/>
      <c r="AI90" s="424"/>
      <c r="AJ90" s="424"/>
      <c r="AK90" s="424"/>
      <c r="AL90" s="424"/>
      <c r="AM90" s="424"/>
    </row>
    <row r="91" spans="1:39" x14ac:dyDescent="0.2">
      <c r="A91" s="841"/>
      <c r="B91" s="708" t="str">
        <f>"plus: "&amp;CHOOSE('WS2-Proposal'!$W$65,"additional increase that is temporary","additional increase")</f>
        <v>plus: additional increase</v>
      </c>
      <c r="C91" s="3"/>
      <c r="D91" s="1495" t="str">
        <f>D89</f>
        <v>$ nominal</v>
      </c>
      <c r="F91" s="3"/>
      <c r="G91" s="3"/>
      <c r="J91" s="85"/>
      <c r="K91" s="151">
        <f>K$87*'WS2-Proposal'!K81</f>
        <v>5435200.3656308837</v>
      </c>
      <c r="L91" s="151">
        <f>L$87*'WS2-Proposal'!L81</f>
        <v>0</v>
      </c>
      <c r="M91" s="151">
        <f>M$87*'WS2-Proposal'!M81</f>
        <v>0</v>
      </c>
      <c r="N91" s="151">
        <f>N$87*'WS2-Proposal'!N81</f>
        <v>0</v>
      </c>
      <c r="O91" s="151">
        <f>O$87*'WS2-Proposal'!O81</f>
        <v>0</v>
      </c>
      <c r="P91" s="151">
        <f>P$87*'WS2-Proposal'!P81</f>
        <v>0</v>
      </c>
      <c r="Q91" s="151">
        <f>Q$87*'WS2-Proposal'!Q81</f>
        <v>0</v>
      </c>
      <c r="R91" s="300"/>
      <c r="S91" s="3"/>
      <c r="T91" s="568"/>
      <c r="U91" s="3"/>
      <c r="V91" s="3"/>
      <c r="W91" s="3"/>
      <c r="X91" s="3"/>
      <c r="Y91" s="3"/>
      <c r="Z91" s="3"/>
      <c r="AA91" s="3"/>
      <c r="AB91" s="3"/>
      <c r="AC91" s="3"/>
      <c r="AD91" s="3"/>
      <c r="AE91" s="3"/>
      <c r="AF91" s="3"/>
      <c r="AG91" s="3"/>
      <c r="AH91" s="424"/>
      <c r="AI91" s="424"/>
      <c r="AJ91" s="424"/>
      <c r="AK91" s="424"/>
      <c r="AL91" s="424"/>
      <c r="AM91" s="424"/>
    </row>
    <row r="92" spans="1:39" x14ac:dyDescent="0.2">
      <c r="A92" s="841"/>
      <c r="B92" s="708" t="str">
        <f>"plus: "&amp;CHOOSE('WS2-Proposal'!$W$65,"additional increase that is permanent","na")</f>
        <v>plus: na</v>
      </c>
      <c r="C92" s="3"/>
      <c r="D92" s="1495" t="str">
        <f t="shared" ref="D92:D93" si="4">D90</f>
        <v>$ nominal</v>
      </c>
      <c r="F92" s="3"/>
      <c r="G92" s="3"/>
      <c r="J92" s="85"/>
      <c r="K92" s="151">
        <f>K$87*'WS2-Proposal'!K82</f>
        <v>0</v>
      </c>
      <c r="L92" s="151">
        <f>L$87*'WS2-Proposal'!L82</f>
        <v>0</v>
      </c>
      <c r="M92" s="151">
        <f>M$87*'WS2-Proposal'!M82</f>
        <v>0</v>
      </c>
      <c r="N92" s="151">
        <f>N$87*'WS2-Proposal'!N82</f>
        <v>0</v>
      </c>
      <c r="O92" s="151">
        <f>O$87*'WS2-Proposal'!O82</f>
        <v>0</v>
      </c>
      <c r="P92" s="151">
        <f>P$87*'WS2-Proposal'!P82</f>
        <v>0</v>
      </c>
      <c r="Q92" s="151">
        <f>Q$87*'WS2-Proposal'!Q82</f>
        <v>0</v>
      </c>
      <c r="R92" s="300"/>
      <c r="S92" s="3"/>
      <c r="T92" s="568"/>
      <c r="U92" s="3"/>
      <c r="V92" s="3"/>
      <c r="W92" s="3"/>
      <c r="X92" s="3"/>
      <c r="Y92" s="3"/>
      <c r="Z92" s="3"/>
      <c r="AA92" s="3"/>
      <c r="AB92" s="3"/>
      <c r="AC92" s="3"/>
      <c r="AD92" s="3"/>
      <c r="AE92" s="3"/>
      <c r="AF92" s="3"/>
      <c r="AG92" s="3"/>
      <c r="AH92" s="424"/>
      <c r="AI92" s="424"/>
      <c r="AJ92" s="424"/>
      <c r="AK92" s="424"/>
      <c r="AL92" s="424"/>
      <c r="AM92" s="424"/>
    </row>
    <row r="93" spans="1:39" x14ac:dyDescent="0.2">
      <c r="A93" s="841"/>
      <c r="B93" s="974" t="s">
        <v>652</v>
      </c>
      <c r="C93" s="3"/>
      <c r="D93" s="1495" t="str">
        <f t="shared" si="4"/>
        <v>$ nominal</v>
      </c>
      <c r="F93" s="3"/>
      <c r="G93" s="3"/>
      <c r="J93" s="85"/>
      <c r="K93" s="151">
        <f>K$87*'WS2-Proposal'!K83</f>
        <v>0</v>
      </c>
      <c r="L93" s="151">
        <f>L$87*'WS2-Proposal'!L83</f>
        <v>0</v>
      </c>
      <c r="M93" s="151">
        <f>M$87*'WS2-Proposal'!M83</f>
        <v>0</v>
      </c>
      <c r="N93" s="151">
        <f>N$87*'WS2-Proposal'!N83</f>
        <v>0</v>
      </c>
      <c r="O93" s="151">
        <f>O$87*'WS2-Proposal'!O83</f>
        <v>0</v>
      </c>
      <c r="P93" s="151">
        <f>P$87*'WS2-Proposal'!P83</f>
        <v>0</v>
      </c>
      <c r="Q93" s="151">
        <f>Q$87*'WS2-Proposal'!Q83</f>
        <v>0</v>
      </c>
      <c r="R93" s="300"/>
      <c r="S93" s="3"/>
      <c r="T93" s="568"/>
      <c r="U93" s="3"/>
      <c r="V93" s="3"/>
      <c r="W93" s="3"/>
      <c r="X93" s="3"/>
      <c r="Y93" s="3"/>
      <c r="Z93" s="3"/>
      <c r="AA93" s="3"/>
      <c r="AB93" s="3"/>
      <c r="AC93" s="3"/>
      <c r="AD93" s="3"/>
      <c r="AE93" s="3"/>
      <c r="AF93" s="3"/>
      <c r="AG93" s="3"/>
      <c r="AH93" s="424"/>
      <c r="AI93" s="424"/>
      <c r="AJ93" s="424"/>
      <c r="AK93" s="424"/>
      <c r="AL93" s="424"/>
      <c r="AM93" s="424"/>
    </row>
    <row r="94" spans="1:39" x14ac:dyDescent="0.2">
      <c r="A94" s="841"/>
      <c r="B94" s="685" t="s">
        <v>653</v>
      </c>
      <c r="C94" s="3"/>
      <c r="D94" s="1495" t="str">
        <f t="shared" ref="D94" si="5">D93</f>
        <v>$ nominal</v>
      </c>
      <c r="F94" s="3"/>
      <c r="G94" s="3"/>
      <c r="J94" s="85"/>
      <c r="K94" s="151">
        <f t="shared" ref="K94" si="6">SUM(K89:K93)</f>
        <v>8152800.5484463256</v>
      </c>
      <c r="L94" s="151">
        <f t="shared" ref="L94:O94" si="7">SUM(L89:L93)</f>
        <v>1875197.6461426546</v>
      </c>
      <c r="M94" s="151">
        <f t="shared" si="7"/>
        <v>1931453.5755269343</v>
      </c>
      <c r="N94" s="151">
        <f t="shared" si="7"/>
        <v>1989397.1827927425</v>
      </c>
      <c r="O94" s="151">
        <f t="shared" si="7"/>
        <v>2049079.0982765248</v>
      </c>
      <c r="P94" s="151">
        <f t="shared" ref="P94:Q94" si="8">SUM(P89:P93)</f>
        <v>2110551.4712248207</v>
      </c>
      <c r="Q94" s="151">
        <f t="shared" si="8"/>
        <v>2173868.0153615652</v>
      </c>
      <c r="R94" s="300"/>
      <c r="S94" s="3"/>
      <c r="T94" s="568"/>
      <c r="U94" s="3"/>
      <c r="V94" s="3"/>
      <c r="W94" s="3"/>
      <c r="X94" s="3"/>
      <c r="Y94" s="3"/>
      <c r="Z94" s="3"/>
      <c r="AA94" s="3"/>
      <c r="AB94" s="3"/>
      <c r="AC94" s="3"/>
      <c r="AD94" s="3"/>
      <c r="AE94" s="3"/>
      <c r="AF94" s="3"/>
      <c r="AG94" s="3"/>
      <c r="AH94" s="424"/>
      <c r="AI94" s="424"/>
      <c r="AJ94" s="424"/>
      <c r="AK94" s="424"/>
      <c r="AL94" s="424"/>
      <c r="AM94" s="424"/>
    </row>
    <row r="95" spans="1:39" ht="6" customHeight="1" x14ac:dyDescent="0.2">
      <c r="A95" s="841"/>
      <c r="B95" s="688"/>
      <c r="C95" s="3"/>
      <c r="D95" s="1495"/>
      <c r="F95" s="3"/>
      <c r="G95" s="3"/>
      <c r="J95" s="85"/>
      <c r="K95" s="151"/>
      <c r="L95" s="151"/>
      <c r="M95" s="151"/>
      <c r="N95" s="151"/>
      <c r="O95" s="151"/>
      <c r="P95" s="151"/>
      <c r="Q95" s="151"/>
      <c r="R95" s="300"/>
      <c r="S95" s="3"/>
      <c r="T95" s="568"/>
      <c r="U95" s="3"/>
      <c r="V95" s="3"/>
      <c r="W95" s="3"/>
      <c r="X95" s="3"/>
      <c r="Y95" s="3"/>
      <c r="Z95" s="3"/>
      <c r="AA95" s="3"/>
      <c r="AB95" s="3"/>
      <c r="AC95" s="3"/>
      <c r="AD95" s="3"/>
      <c r="AE95" s="3"/>
      <c r="AF95" s="3"/>
      <c r="AG95" s="3"/>
      <c r="AH95" s="424"/>
      <c r="AI95" s="424"/>
      <c r="AJ95" s="424"/>
      <c r="AK95" s="424"/>
      <c r="AL95" s="424"/>
      <c r="AM95" s="424"/>
    </row>
    <row r="96" spans="1:39" x14ac:dyDescent="0.2">
      <c r="A96" s="841"/>
      <c r="B96" s="299" t="s">
        <v>654</v>
      </c>
      <c r="C96" s="3"/>
      <c r="D96" s="1495" t="str">
        <f>$D$85</f>
        <v>$ nominal</v>
      </c>
      <c r="F96" s="3"/>
      <c r="G96" s="3"/>
      <c r="J96" s="85"/>
      <c r="K96" s="151">
        <f t="shared" ref="K96" si="9">K87+K94</f>
        <v>62504804.204755157</v>
      </c>
      <c r="L96" s="151">
        <f t="shared" ref="L96:O96" si="10">L87+L94</f>
        <v>64381785.850897811</v>
      </c>
      <c r="M96" s="151">
        <f t="shared" si="10"/>
        <v>66313239.426424749</v>
      </c>
      <c r="N96" s="151">
        <f t="shared" si="10"/>
        <v>68302636.609217495</v>
      </c>
      <c r="O96" s="151">
        <f t="shared" si="10"/>
        <v>70351715.70749402</v>
      </c>
      <c r="P96" s="151">
        <f t="shared" ref="P96:Q96" si="11">P87+P94</f>
        <v>72462267.178718835</v>
      </c>
      <c r="Q96" s="151">
        <f t="shared" si="11"/>
        <v>74636135.194080397</v>
      </c>
      <c r="R96" s="300"/>
      <c r="S96" s="125"/>
      <c r="T96" s="568"/>
      <c r="U96" s="3"/>
      <c r="V96" s="3"/>
      <c r="W96" s="3"/>
      <c r="X96" s="3"/>
      <c r="Y96" s="3"/>
      <c r="Z96" s="3"/>
      <c r="AA96" s="3"/>
      <c r="AB96" s="3"/>
      <c r="AC96" s="3"/>
      <c r="AD96" s="3"/>
      <c r="AE96" s="3"/>
      <c r="AF96" s="3"/>
      <c r="AG96" s="3"/>
      <c r="AH96" s="424"/>
      <c r="AI96" s="424"/>
      <c r="AJ96" s="424"/>
      <c r="AK96" s="424"/>
      <c r="AL96" s="424"/>
      <c r="AM96" s="424"/>
    </row>
    <row r="97" spans="1:39" x14ac:dyDescent="0.2">
      <c r="A97" s="841"/>
      <c r="B97" s="974" t="s">
        <v>655</v>
      </c>
      <c r="C97" s="3"/>
      <c r="D97" s="1495" t="str">
        <f>D96</f>
        <v>$ nominal</v>
      </c>
      <c r="F97" s="3"/>
      <c r="G97" s="3"/>
      <c r="J97" s="128"/>
      <c r="K97" s="975">
        <f>'WS2-Proposal'!K49-'WS2-Proposal'!K50</f>
        <v>1784</v>
      </c>
      <c r="L97" s="976">
        <v>0</v>
      </c>
      <c r="M97" s="976">
        <v>0</v>
      </c>
      <c r="N97" s="976">
        <v>0</v>
      </c>
      <c r="O97" s="976">
        <v>0</v>
      </c>
      <c r="P97" s="976">
        <v>0</v>
      </c>
      <c r="Q97" s="976">
        <v>0</v>
      </c>
      <c r="R97" s="300"/>
      <c r="S97" s="125"/>
      <c r="T97" s="568"/>
      <c r="U97" s="3"/>
      <c r="V97" s="3"/>
      <c r="W97" s="3"/>
      <c r="X97" s="3"/>
      <c r="Y97" s="3"/>
      <c r="Z97" s="3"/>
      <c r="AA97" s="3"/>
      <c r="AB97" s="3"/>
      <c r="AC97" s="3"/>
      <c r="AD97" s="3"/>
      <c r="AE97" s="3"/>
      <c r="AF97" s="3"/>
      <c r="AG97" s="3"/>
      <c r="AH97" s="424"/>
      <c r="AI97" s="424"/>
      <c r="AJ97" s="424"/>
      <c r="AK97" s="424"/>
      <c r="AL97" s="424"/>
      <c r="AM97" s="424"/>
    </row>
    <row r="98" spans="1:39" ht="12.75" thickBot="1" x14ac:dyDescent="0.25">
      <c r="A98" s="841"/>
      <c r="B98" s="685" t="s">
        <v>647</v>
      </c>
      <c r="C98" s="3"/>
      <c r="D98" s="1495" t="str">
        <f>D97</f>
        <v>$ nominal</v>
      </c>
      <c r="F98" s="3"/>
      <c r="G98" s="3"/>
      <c r="J98" s="293">
        <f>'WS3 - Notional General Income'!L163</f>
        <v>54352003.65630883</v>
      </c>
      <c r="K98" s="296">
        <f>K96+K97</f>
        <v>62506588.204755157</v>
      </c>
      <c r="L98" s="296">
        <f t="shared" ref="L98:O98" si="12">L96+L97</f>
        <v>64381785.850897811</v>
      </c>
      <c r="M98" s="296">
        <f t="shared" si="12"/>
        <v>66313239.426424749</v>
      </c>
      <c r="N98" s="296">
        <f t="shared" si="12"/>
        <v>68302636.609217495</v>
      </c>
      <c r="O98" s="296">
        <f t="shared" si="12"/>
        <v>70351715.70749402</v>
      </c>
      <c r="P98" s="296">
        <f t="shared" ref="P98:Q98" si="13">P96+P97</f>
        <v>72462267.178718835</v>
      </c>
      <c r="Q98" s="296">
        <f t="shared" si="13"/>
        <v>74636135.194080397</v>
      </c>
      <c r="R98" s="301">
        <f>INDEX(J98:Q98,'WS2-Proposal'!$W$61+1)-J98</f>
        <v>8154584.5484463274</v>
      </c>
      <c r="S98" s="129">
        <f>IF(J98=0,0,R98/J98)</f>
        <v>0.15003282307697954</v>
      </c>
      <c r="T98" s="568"/>
      <c r="U98" s="3"/>
      <c r="V98" s="3"/>
      <c r="W98" s="3"/>
      <c r="X98" s="3"/>
      <c r="Y98" s="3"/>
      <c r="Z98" s="3"/>
      <c r="AA98" s="3"/>
      <c r="AB98" s="3"/>
      <c r="AC98" s="3"/>
      <c r="AD98" s="3"/>
      <c r="AE98" s="3"/>
      <c r="AF98" s="3"/>
      <c r="AG98" s="3"/>
      <c r="AH98" s="424"/>
      <c r="AI98" s="424"/>
      <c r="AJ98" s="424"/>
      <c r="AK98" s="424"/>
      <c r="AL98" s="424"/>
      <c r="AM98" s="424"/>
    </row>
    <row r="99" spans="1:39" ht="12.75" thickTop="1" x14ac:dyDescent="0.2">
      <c r="A99" s="841"/>
      <c r="B99" s="685"/>
      <c r="C99" s="3"/>
      <c r="D99" s="1495"/>
      <c r="E99" s="3"/>
      <c r="F99" s="3"/>
      <c r="G99" s="3"/>
      <c r="H99" s="3"/>
      <c r="I99" s="3"/>
      <c r="J99" s="130"/>
      <c r="K99" s="591"/>
      <c r="L99" s="130"/>
      <c r="M99" s="130"/>
      <c r="N99" s="130"/>
      <c r="O99" s="130"/>
      <c r="P99" s="130"/>
      <c r="Q99" s="298"/>
      <c r="R99" s="301"/>
      <c r="S99" s="129"/>
      <c r="T99" s="568"/>
      <c r="U99" s="3"/>
      <c r="V99" s="3"/>
      <c r="W99" s="3"/>
      <c r="X99" s="424"/>
      <c r="Y99" s="424"/>
      <c r="Z99" s="424"/>
      <c r="AA99" s="424"/>
      <c r="AB99" s="424"/>
      <c r="AC99" s="424"/>
      <c r="AD99" s="424"/>
      <c r="AE99" s="424"/>
      <c r="AF99" s="424"/>
      <c r="AG99" s="424"/>
      <c r="AH99" s="424"/>
      <c r="AI99" s="424"/>
      <c r="AJ99" s="424"/>
      <c r="AK99" s="424"/>
      <c r="AL99" s="424"/>
      <c r="AM99" s="424"/>
    </row>
    <row r="100" spans="1:39" x14ac:dyDescent="0.2">
      <c r="A100" s="841"/>
      <c r="B100" s="681"/>
      <c r="C100" s="141"/>
      <c r="D100" s="666"/>
      <c r="E100" s="141"/>
      <c r="F100" s="141"/>
      <c r="G100" s="141"/>
      <c r="H100" s="141"/>
      <c r="I100" s="141"/>
      <c r="J100" s="305"/>
      <c r="K100" s="305"/>
      <c r="L100" s="305"/>
      <c r="M100" s="305"/>
      <c r="N100" s="305"/>
      <c r="O100" s="305"/>
      <c r="P100" s="305"/>
      <c r="Q100" s="306"/>
      <c r="R100" s="307"/>
      <c r="S100" s="308"/>
      <c r="T100" s="667"/>
      <c r="U100" s="3"/>
      <c r="V100" s="3"/>
      <c r="W100" s="3"/>
      <c r="X100" s="424"/>
      <c r="Y100" s="424"/>
      <c r="Z100" s="424"/>
      <c r="AA100" s="424"/>
      <c r="AB100" s="424"/>
      <c r="AC100" s="424"/>
      <c r="AD100" s="424"/>
      <c r="AE100" s="424"/>
      <c r="AF100" s="424"/>
      <c r="AG100" s="424"/>
      <c r="AH100" s="424"/>
      <c r="AI100" s="424"/>
      <c r="AJ100" s="424"/>
      <c r="AK100" s="424"/>
      <c r="AL100" s="424"/>
      <c r="AM100" s="424"/>
    </row>
    <row r="101" spans="1:39" x14ac:dyDescent="0.2">
      <c r="A101" s="841"/>
      <c r="B101" s="959" t="str">
        <f>CHOOSE('WS2-Proposal'!$W$40,"PGI if only the existing SV/rate peg applied","PGI if only the rate peg applied")</f>
        <v>PGI if only the rate peg applied</v>
      </c>
      <c r="C101" s="3"/>
      <c r="D101" s="1495"/>
      <c r="E101" s="3"/>
      <c r="F101" s="3"/>
      <c r="G101" s="3"/>
      <c r="H101" s="3"/>
      <c r="J101" s="3"/>
      <c r="K101" s="3"/>
      <c r="L101" s="3"/>
      <c r="M101" s="3"/>
      <c r="N101" s="3"/>
      <c r="O101" s="3"/>
      <c r="P101" s="3"/>
      <c r="Q101" s="16"/>
      <c r="R101" s="299"/>
      <c r="S101" s="129"/>
      <c r="T101" s="568"/>
      <c r="U101" s="3"/>
      <c r="V101" s="3"/>
      <c r="W101" s="3"/>
      <c r="X101" s="424"/>
      <c r="Y101" s="424"/>
      <c r="Z101" s="424"/>
      <c r="AA101" s="424"/>
      <c r="AB101" s="424"/>
      <c r="AC101" s="424"/>
      <c r="AD101" s="424"/>
      <c r="AE101" s="424"/>
      <c r="AF101" s="424"/>
      <c r="AG101" s="424"/>
      <c r="AH101" s="424"/>
      <c r="AI101" s="424"/>
      <c r="AJ101" s="424"/>
      <c r="AK101" s="424"/>
      <c r="AL101" s="424"/>
      <c r="AM101" s="424"/>
    </row>
    <row r="102" spans="1:39" x14ac:dyDescent="0.2">
      <c r="A102" s="841"/>
      <c r="B102" s="299" t="str">
        <f>B85</f>
        <v>Prior year Notional General Income (NGI)</v>
      </c>
      <c r="C102" s="3"/>
      <c r="D102" s="1495" t="str">
        <f>$D$85</f>
        <v>$ nominal</v>
      </c>
      <c r="F102" s="3"/>
      <c r="G102" s="3"/>
      <c r="J102" s="3"/>
      <c r="K102" s="151">
        <f t="shared" ref="K102:Q102" si="14">IF(K$82=0,0,J109)</f>
        <v>54352003.65630883</v>
      </c>
      <c r="L102" s="151">
        <f t="shared" si="14"/>
        <v>57071387.83912427</v>
      </c>
      <c r="M102" s="151">
        <f t="shared" si="14"/>
        <v>58783529.474298</v>
      </c>
      <c r="N102" s="151">
        <f t="shared" si="14"/>
        <v>60547035.358526938</v>
      </c>
      <c r="O102" s="151">
        <f t="shared" si="14"/>
        <v>62363446.419282749</v>
      </c>
      <c r="P102" s="151">
        <f t="shared" si="14"/>
        <v>64234349.811861232</v>
      </c>
      <c r="Q102" s="151">
        <f t="shared" si="14"/>
        <v>66161380.306217067</v>
      </c>
      <c r="R102" s="301"/>
      <c r="S102" s="131"/>
      <c r="T102" s="568"/>
      <c r="U102" s="3"/>
      <c r="V102" s="3"/>
      <c r="W102" s="3"/>
      <c r="X102" s="3"/>
      <c r="Y102" s="3"/>
      <c r="Z102" s="3"/>
      <c r="AA102" s="3"/>
      <c r="AB102" s="3"/>
      <c r="AC102" s="3"/>
      <c r="AD102" s="3"/>
      <c r="AE102" s="424"/>
      <c r="AF102" s="424"/>
      <c r="AG102" s="424"/>
      <c r="AH102" s="424"/>
      <c r="AI102" s="424"/>
      <c r="AJ102" s="424"/>
      <c r="AK102" s="424"/>
      <c r="AL102" s="424"/>
      <c r="AM102" s="424"/>
    </row>
    <row r="103" spans="1:39" ht="11.25" customHeight="1" x14ac:dyDescent="0.2">
      <c r="A103" s="841"/>
      <c r="B103" s="688" t="str">
        <f>B86</f>
        <v>less: expiry of a prior special variation</v>
      </c>
      <c r="C103" s="3"/>
      <c r="D103" s="1495" t="str">
        <f>D102</f>
        <v>$ nominal</v>
      </c>
      <c r="F103" s="3"/>
      <c r="G103" s="3"/>
      <c r="J103" s="130"/>
      <c r="K103" s="151">
        <f t="shared" ref="K103:P103" si="15">K86</f>
        <v>0</v>
      </c>
      <c r="L103" s="151">
        <f t="shared" si="15"/>
        <v>0</v>
      </c>
      <c r="M103" s="151">
        <f t="shared" si="15"/>
        <v>0</v>
      </c>
      <c r="N103" s="151">
        <f t="shared" si="15"/>
        <v>0</v>
      </c>
      <c r="O103" s="151">
        <f t="shared" si="15"/>
        <v>0</v>
      </c>
      <c r="P103" s="151">
        <f t="shared" si="15"/>
        <v>0</v>
      </c>
      <c r="Q103" s="151">
        <f t="shared" ref="Q103" si="16">Q86</f>
        <v>0</v>
      </c>
      <c r="R103" s="301"/>
      <c r="S103" s="131"/>
      <c r="T103" s="568"/>
      <c r="U103" s="3"/>
      <c r="V103" s="3"/>
      <c r="W103" s="3"/>
      <c r="X103" s="3"/>
      <c r="Y103" s="3"/>
      <c r="Z103" s="3"/>
      <c r="AA103" s="3"/>
      <c r="AB103" s="3"/>
      <c r="AC103" s="3"/>
      <c r="AD103" s="3"/>
      <c r="AE103" s="424"/>
      <c r="AF103" s="424"/>
      <c r="AG103" s="424"/>
      <c r="AH103" s="424"/>
      <c r="AI103" s="424"/>
      <c r="AJ103" s="424"/>
      <c r="AK103" s="424"/>
      <c r="AL103" s="424"/>
      <c r="AM103" s="424"/>
    </row>
    <row r="104" spans="1:39" x14ac:dyDescent="0.2">
      <c r="A104" s="841"/>
      <c r="B104" s="299" t="str">
        <f>B87</f>
        <v>Adjusted Notional General income</v>
      </c>
      <c r="C104" s="3"/>
      <c r="D104" s="1495" t="str">
        <f t="shared" ref="D104" si="17">D103</f>
        <v>$ nominal</v>
      </c>
      <c r="F104" s="3"/>
      <c r="G104" s="3"/>
      <c r="J104" s="132"/>
      <c r="K104" s="151">
        <f t="shared" ref="K104:P104" si="18">K102-K103</f>
        <v>54352003.65630883</v>
      </c>
      <c r="L104" s="151">
        <f t="shared" si="18"/>
        <v>57071387.83912427</v>
      </c>
      <c r="M104" s="151">
        <f t="shared" si="18"/>
        <v>58783529.474298</v>
      </c>
      <c r="N104" s="151">
        <f t="shared" si="18"/>
        <v>60547035.358526938</v>
      </c>
      <c r="O104" s="151">
        <f t="shared" si="18"/>
        <v>62363446.419282749</v>
      </c>
      <c r="P104" s="151">
        <f t="shared" si="18"/>
        <v>64234349.811861232</v>
      </c>
      <c r="Q104" s="151">
        <f t="shared" ref="Q104" si="19">Q102-Q103</f>
        <v>66161380.306217067</v>
      </c>
      <c r="R104" s="301"/>
      <c r="S104" s="131"/>
      <c r="T104" s="568"/>
      <c r="U104" s="3"/>
      <c r="V104" s="3"/>
      <c r="W104" s="3"/>
      <c r="X104" s="3"/>
      <c r="Y104" s="3"/>
      <c r="Z104" s="3"/>
      <c r="AA104" s="3"/>
      <c r="AB104" s="3"/>
      <c r="AC104" s="3"/>
      <c r="AD104" s="3"/>
      <c r="AE104" s="424"/>
      <c r="AF104" s="424"/>
      <c r="AG104" s="424"/>
      <c r="AH104" s="424"/>
      <c r="AI104" s="424"/>
      <c r="AJ104" s="424"/>
      <c r="AK104" s="424"/>
      <c r="AL104" s="424"/>
      <c r="AM104" s="424"/>
    </row>
    <row r="105" spans="1:39" x14ac:dyDescent="0.2">
      <c r="A105" s="841"/>
      <c r="B105" s="688" t="str">
        <f>B89</f>
        <v>plus: rate peg increase</v>
      </c>
      <c r="C105" s="3"/>
      <c r="D105" s="1495" t="str">
        <f>$D$85</f>
        <v>$ nominal</v>
      </c>
      <c r="F105" s="3"/>
      <c r="G105" s="3"/>
      <c r="J105" s="151"/>
      <c r="K105" s="151">
        <f>IF(K$82=0,0,'WS2-Proposal'!K79*K$104)</f>
        <v>2717600.1828154419</v>
      </c>
      <c r="L105" s="151">
        <f>IF(L$82=0,0,'WS2-Proposal'!L79*L$104)</f>
        <v>1712141.635173728</v>
      </c>
      <c r="M105" s="151">
        <f>IF(M$82=0,0,'WS2-Proposal'!M79*M$104)</f>
        <v>1763505.8842289399</v>
      </c>
      <c r="N105" s="151">
        <f>IF(N$82=0,0,'WS2-Proposal'!N79*N$104)</f>
        <v>1816411.0607558081</v>
      </c>
      <c r="O105" s="151">
        <f>IF(O$82=0,0,'WS2-Proposal'!O79*O$104)</f>
        <v>1870903.3925784824</v>
      </c>
      <c r="P105" s="151">
        <f>IF(P$82=0,0,'WS2-Proposal'!P79*P$104)</f>
        <v>1927030.4943558369</v>
      </c>
      <c r="Q105" s="151">
        <f>IF(Q$82=0,0,'WS2-Proposal'!Q79*Q$104)</f>
        <v>1984841.409186512</v>
      </c>
      <c r="R105" s="301"/>
      <c r="S105" s="131"/>
      <c r="T105" s="568"/>
      <c r="U105" s="3"/>
      <c r="V105" s="3"/>
      <c r="W105" s="3"/>
      <c r="X105" s="3"/>
      <c r="Y105" s="3"/>
      <c r="Z105" s="3"/>
      <c r="AA105" s="3"/>
      <c r="AB105" s="3"/>
      <c r="AC105" s="3"/>
      <c r="AD105" s="3"/>
      <c r="AE105" s="424"/>
      <c r="AF105" s="424"/>
      <c r="AG105" s="424"/>
      <c r="AH105" s="424"/>
      <c r="AI105" s="424"/>
      <c r="AJ105" s="424"/>
      <c r="AK105" s="424"/>
      <c r="AL105" s="424"/>
      <c r="AM105" s="424"/>
    </row>
    <row r="106" spans="1:39" x14ac:dyDescent="0.2">
      <c r="A106" s="841"/>
      <c r="B106" s="688" t="str">
        <f>B90</f>
        <v>plus: na</v>
      </c>
      <c r="C106" s="3"/>
      <c r="D106" s="1495" t="str">
        <f>$D$85</f>
        <v>$ nominal</v>
      </c>
      <c r="F106" s="3"/>
      <c r="G106" s="3"/>
      <c r="J106" s="151"/>
      <c r="K106" s="151">
        <f>'WS2-Proposal'!K80*K$104</f>
        <v>0</v>
      </c>
      <c r="L106" s="151">
        <f>'WS2-Proposal'!L80*L$104</f>
        <v>0</v>
      </c>
      <c r="M106" s="151">
        <f>'WS2-Proposal'!M80*M$104</f>
        <v>0</v>
      </c>
      <c r="N106" s="151">
        <f>'WS2-Proposal'!N80*N$104</f>
        <v>0</v>
      </c>
      <c r="O106" s="151">
        <f>'WS2-Proposal'!O80*O$104</f>
        <v>0</v>
      </c>
      <c r="P106" s="151">
        <f>'WS2-Proposal'!P80*P$104</f>
        <v>0</v>
      </c>
      <c r="Q106" s="151">
        <f>'WS2-Proposal'!Q80*Q$104</f>
        <v>0</v>
      </c>
      <c r="R106" s="301"/>
      <c r="S106" s="131"/>
      <c r="T106" s="568"/>
      <c r="U106" s="3"/>
      <c r="V106" s="3"/>
      <c r="W106" s="3"/>
      <c r="X106" s="3"/>
      <c r="Y106" s="3"/>
      <c r="Z106" s="3"/>
      <c r="AA106" s="3"/>
      <c r="AB106" s="3"/>
      <c r="AC106" s="3"/>
      <c r="AD106" s="3"/>
      <c r="AE106" s="424"/>
      <c r="AF106" s="424"/>
      <c r="AG106" s="424"/>
      <c r="AH106" s="424"/>
      <c r="AI106" s="424"/>
      <c r="AJ106" s="424"/>
      <c r="AK106" s="424"/>
      <c r="AL106" s="424"/>
      <c r="AM106" s="424"/>
    </row>
    <row r="107" spans="1:39" x14ac:dyDescent="0.2">
      <c r="A107" s="841"/>
      <c r="B107" s="688" t="str">
        <f>B93</f>
        <v>plus: crown land adjustment</v>
      </c>
      <c r="C107" s="3"/>
      <c r="D107" s="1495" t="str">
        <f>$D$85</f>
        <v>$ nominal</v>
      </c>
      <c r="F107" s="3"/>
      <c r="G107" s="3"/>
      <c r="J107" s="151"/>
      <c r="K107" s="151">
        <f>K93</f>
        <v>0</v>
      </c>
      <c r="L107" s="151">
        <f t="shared" ref="L107:Q107" si="20">L93</f>
        <v>0</v>
      </c>
      <c r="M107" s="151">
        <f t="shared" si="20"/>
        <v>0</v>
      </c>
      <c r="N107" s="151">
        <f t="shared" si="20"/>
        <v>0</v>
      </c>
      <c r="O107" s="151">
        <f t="shared" si="20"/>
        <v>0</v>
      </c>
      <c r="P107" s="151">
        <f t="shared" si="20"/>
        <v>0</v>
      </c>
      <c r="Q107" s="151">
        <f t="shared" si="20"/>
        <v>0</v>
      </c>
      <c r="R107" s="301"/>
      <c r="S107" s="131"/>
      <c r="T107" s="568"/>
      <c r="U107" s="3"/>
      <c r="V107" s="3"/>
      <c r="W107" s="3"/>
      <c r="X107" s="3"/>
      <c r="Y107" s="3"/>
      <c r="Z107" s="3"/>
      <c r="AA107" s="3"/>
      <c r="AB107" s="3"/>
      <c r="AC107" s="3"/>
      <c r="AD107" s="3"/>
      <c r="AE107" s="424"/>
      <c r="AF107" s="424"/>
      <c r="AG107" s="424"/>
      <c r="AH107" s="424"/>
      <c r="AI107" s="424"/>
      <c r="AJ107" s="424"/>
      <c r="AK107" s="424"/>
      <c r="AL107" s="424"/>
      <c r="AM107" s="424"/>
    </row>
    <row r="108" spans="1:39" x14ac:dyDescent="0.2">
      <c r="A108" s="841"/>
      <c r="B108" s="688" t="str">
        <f>B97</f>
        <v>plus: other 1st-year adjustments</v>
      </c>
      <c r="C108" s="3"/>
      <c r="D108" s="1495" t="str">
        <f>D105</f>
        <v>$ nominal</v>
      </c>
      <c r="F108" s="3"/>
      <c r="G108" s="3"/>
      <c r="J108" s="130"/>
      <c r="K108" s="151">
        <f t="shared" ref="K108:P108" si="21">K97</f>
        <v>1784</v>
      </c>
      <c r="L108" s="151">
        <f t="shared" si="21"/>
        <v>0</v>
      </c>
      <c r="M108" s="151">
        <f t="shared" si="21"/>
        <v>0</v>
      </c>
      <c r="N108" s="151">
        <f t="shared" si="21"/>
        <v>0</v>
      </c>
      <c r="O108" s="151">
        <f t="shared" si="21"/>
        <v>0</v>
      </c>
      <c r="P108" s="151">
        <f t="shared" si="21"/>
        <v>0</v>
      </c>
      <c r="Q108" s="151">
        <f t="shared" ref="Q108" si="22">Q97</f>
        <v>0</v>
      </c>
      <c r="R108" s="301"/>
      <c r="S108" s="131"/>
      <c r="T108" s="568"/>
      <c r="U108" s="3"/>
      <c r="W108" s="3"/>
      <c r="X108" s="3"/>
      <c r="Y108" s="3"/>
      <c r="Z108" s="3"/>
      <c r="AA108" s="3"/>
      <c r="AB108" s="3"/>
      <c r="AC108" s="3"/>
      <c r="AD108" s="3"/>
      <c r="AE108" s="424"/>
      <c r="AF108" s="424"/>
      <c r="AG108" s="424"/>
      <c r="AH108" s="424"/>
      <c r="AI108" s="424"/>
      <c r="AJ108" s="424"/>
      <c r="AK108" s="424"/>
      <c r="AL108" s="424"/>
      <c r="AM108" s="424"/>
    </row>
    <row r="109" spans="1:39" ht="12.75" thickBot="1" x14ac:dyDescent="0.25">
      <c r="A109" s="841"/>
      <c r="B109" s="685" t="str">
        <f>CHOOSE('WS2-Proposal'!$W$40,"PGI if only the existing SV/rate peg applied","PGI if only the rate peg applied")</f>
        <v>PGI if only the rate peg applied</v>
      </c>
      <c r="C109" s="3"/>
      <c r="D109" s="1495" t="str">
        <f>D108</f>
        <v>$ nominal</v>
      </c>
      <c r="F109" s="3"/>
      <c r="G109" s="3"/>
      <c r="J109" s="149">
        <f>J98</f>
        <v>54352003.65630883</v>
      </c>
      <c r="K109" s="297">
        <f t="shared" ref="K109:Q109" si="23">SUM(K104:K108)</f>
        <v>57071387.83912427</v>
      </c>
      <c r="L109" s="297">
        <f t="shared" si="23"/>
        <v>58783529.474298</v>
      </c>
      <c r="M109" s="297">
        <f t="shared" si="23"/>
        <v>60547035.358526938</v>
      </c>
      <c r="N109" s="297">
        <f t="shared" si="23"/>
        <v>62363446.419282749</v>
      </c>
      <c r="O109" s="297">
        <f t="shared" si="23"/>
        <v>64234349.811861232</v>
      </c>
      <c r="P109" s="297">
        <f t="shared" si="23"/>
        <v>66161380.306217067</v>
      </c>
      <c r="Q109" s="297">
        <f t="shared" si="23"/>
        <v>68146221.715403572</v>
      </c>
      <c r="R109" s="302">
        <f>INDEX(J109:Q109,'WS2-Proposal'!$W$61+1)-J109</f>
        <v>2719384.18281544</v>
      </c>
      <c r="S109" s="131">
        <f>IF(J109=0,0,R109/J109)</f>
        <v>5.0032823076979455E-2</v>
      </c>
      <c r="T109" s="568"/>
      <c r="U109" s="3"/>
      <c r="V109" s="3"/>
      <c r="W109" s="3"/>
      <c r="X109" s="3"/>
      <c r="Y109" s="3"/>
      <c r="Z109" s="3"/>
      <c r="AA109" s="3"/>
      <c r="AB109" s="3"/>
      <c r="AC109" s="3"/>
      <c r="AD109" s="3"/>
      <c r="AE109" s="424"/>
      <c r="AF109" s="424"/>
      <c r="AG109" s="424"/>
      <c r="AH109" s="424"/>
      <c r="AI109" s="424"/>
      <c r="AJ109" s="424"/>
      <c r="AK109" s="424"/>
      <c r="AL109" s="424"/>
      <c r="AM109" s="424"/>
    </row>
    <row r="110" spans="1:39" ht="12.75" thickTop="1" x14ac:dyDescent="0.2">
      <c r="A110" s="841"/>
      <c r="B110" s="977"/>
      <c r="C110" s="140"/>
      <c r="D110" s="580"/>
      <c r="E110" s="140"/>
      <c r="F110" s="140"/>
      <c r="G110" s="140"/>
      <c r="H110" s="140"/>
      <c r="I110" s="140"/>
      <c r="J110" s="309"/>
      <c r="K110" s="587"/>
      <c r="L110" s="587"/>
      <c r="M110" s="587"/>
      <c r="N110" s="587"/>
      <c r="O110" s="587"/>
      <c r="P110" s="587"/>
      <c r="Q110" s="587"/>
      <c r="R110" s="310"/>
      <c r="S110" s="311"/>
      <c r="T110" s="578"/>
      <c r="U110" s="3"/>
      <c r="V110" s="3"/>
      <c r="W110" s="3"/>
      <c r="X110" s="3"/>
      <c r="Y110" s="3"/>
      <c r="Z110" s="3"/>
      <c r="AA110" s="3"/>
      <c r="AB110" s="3"/>
      <c r="AC110" s="3"/>
      <c r="AD110" s="3"/>
      <c r="AE110" s="424"/>
      <c r="AF110" s="424"/>
      <c r="AG110" s="424"/>
      <c r="AH110" s="424"/>
      <c r="AI110" s="424"/>
      <c r="AJ110" s="424"/>
      <c r="AK110" s="424"/>
      <c r="AL110" s="424"/>
      <c r="AM110" s="424"/>
    </row>
    <row r="111" spans="1:39" x14ac:dyDescent="0.2">
      <c r="A111" s="841"/>
      <c r="B111" s="695"/>
      <c r="C111" s="3"/>
      <c r="D111" s="1495"/>
      <c r="E111" s="3"/>
      <c r="F111" s="3"/>
      <c r="G111" s="3"/>
      <c r="H111" s="3"/>
      <c r="J111" s="130"/>
      <c r="K111" s="588"/>
      <c r="L111" s="588"/>
      <c r="M111" s="588"/>
      <c r="N111" s="588"/>
      <c r="O111" s="588"/>
      <c r="P111" s="588"/>
      <c r="Q111" s="589"/>
      <c r="R111" s="1618"/>
      <c r="S111" s="1619"/>
      <c r="T111" s="141"/>
      <c r="U111" s="3"/>
      <c r="V111" s="3"/>
      <c r="W111" s="3"/>
      <c r="X111" s="3"/>
      <c r="Y111" s="3"/>
      <c r="Z111" s="3"/>
      <c r="AA111" s="3"/>
      <c r="AB111" s="3"/>
      <c r="AC111" s="3"/>
      <c r="AD111" s="3"/>
      <c r="AE111" s="424"/>
      <c r="AF111" s="424"/>
      <c r="AG111" s="424"/>
      <c r="AH111" s="424"/>
      <c r="AI111" s="424"/>
      <c r="AJ111" s="424"/>
      <c r="AK111" s="424"/>
      <c r="AL111" s="424"/>
      <c r="AM111" s="424"/>
    </row>
    <row r="112" spans="1:39" ht="12" customHeight="1" x14ac:dyDescent="0.2">
      <c r="A112" s="841"/>
      <c r="B112" s="2"/>
      <c r="C112" s="3"/>
      <c r="D112" s="1495"/>
      <c r="E112" s="3"/>
      <c r="F112" s="3"/>
      <c r="G112" s="3"/>
      <c r="H112" s="3"/>
      <c r="I112" s="3"/>
      <c r="J112" s="3"/>
      <c r="K112" s="85"/>
      <c r="L112" s="3"/>
      <c r="M112" s="3"/>
      <c r="N112" s="3"/>
      <c r="O112" s="3"/>
      <c r="P112" s="3"/>
      <c r="Q112" s="3"/>
      <c r="R112" s="3"/>
      <c r="S112" s="3"/>
      <c r="T112" s="3"/>
      <c r="U112" s="3"/>
      <c r="V112" s="3"/>
      <c r="W112" s="3"/>
      <c r="X112" s="3"/>
      <c r="Y112" s="3"/>
      <c r="Z112" s="3"/>
      <c r="AA112" s="3"/>
      <c r="AB112" s="3"/>
      <c r="AC112" s="3"/>
      <c r="AD112" s="3"/>
      <c r="AE112" s="424"/>
      <c r="AF112" s="424"/>
      <c r="AG112" s="424"/>
      <c r="AH112" s="424"/>
      <c r="AI112" s="424"/>
      <c r="AJ112" s="424"/>
      <c r="AK112" s="424"/>
      <c r="AL112" s="424"/>
      <c r="AM112" s="424"/>
    </row>
    <row r="113" spans="1:39" ht="12" customHeight="1" x14ac:dyDescent="0.25">
      <c r="A113" s="841"/>
      <c r="B113" s="17"/>
      <c r="C113" s="3"/>
      <c r="D113" s="1495"/>
      <c r="E113" s="3"/>
      <c r="F113" s="3"/>
      <c r="G113" s="3"/>
      <c r="H113" s="3"/>
      <c r="I113" s="3"/>
      <c r="J113" s="85"/>
      <c r="K113" s="3"/>
      <c r="L113" s="3"/>
      <c r="M113" s="3"/>
      <c r="N113" s="3"/>
      <c r="O113" s="3"/>
      <c r="P113" s="3"/>
      <c r="Q113" s="3"/>
      <c r="R113" s="3"/>
      <c r="S113" s="3"/>
      <c r="T113" s="3"/>
      <c r="U113" s="3"/>
      <c r="V113" s="3"/>
      <c r="W113" s="3"/>
      <c r="X113" s="3"/>
      <c r="Y113" s="3"/>
      <c r="Z113" s="3"/>
      <c r="AA113" s="3"/>
      <c r="AB113" s="3"/>
      <c r="AC113" s="3"/>
      <c r="AD113" s="3"/>
      <c r="AE113" s="424"/>
      <c r="AF113" s="424"/>
      <c r="AG113" s="424"/>
      <c r="AH113" s="424"/>
      <c r="AI113" s="424"/>
      <c r="AJ113" s="424"/>
      <c r="AK113" s="424"/>
      <c r="AL113" s="424"/>
      <c r="AM113" s="424"/>
    </row>
    <row r="114" spans="1:39" ht="15" customHeight="1" x14ac:dyDescent="0.2">
      <c r="A114" s="841">
        <f>A78+1</f>
        <v>3</v>
      </c>
      <c r="B114" s="181" t="str">
        <f>"Table "&amp;A1&amp;"."&amp;A114&amp;" Increases in permissable general income over proposed SV period ($ nominal)"</f>
        <v>Table 6.3 Increases in permissable general income over proposed SV period ($ nominal)</v>
      </c>
      <c r="C114" s="49"/>
      <c r="D114" s="55"/>
      <c r="E114" s="49"/>
      <c r="F114" s="49"/>
      <c r="G114" s="49"/>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row>
    <row r="115" spans="1:39" x14ac:dyDescent="0.2">
      <c r="A115" s="841"/>
      <c r="B115" s="950"/>
      <c r="C115" s="141"/>
      <c r="D115" s="666"/>
      <c r="E115" s="141"/>
      <c r="F115" s="141"/>
      <c r="G115" s="141"/>
      <c r="H115" s="141"/>
      <c r="I115" s="141"/>
      <c r="J115" s="962" t="str">
        <f t="shared" ref="J115:Q115" si="24">J$79</f>
        <v>Year 0</v>
      </c>
      <c r="K115" s="962" t="str">
        <f t="shared" si="24"/>
        <v>Year 1</v>
      </c>
      <c r="L115" s="962" t="str">
        <f t="shared" si="24"/>
        <v>Year 2</v>
      </c>
      <c r="M115" s="962" t="str">
        <f t="shared" si="24"/>
        <v>Year 3</v>
      </c>
      <c r="N115" s="962" t="str">
        <f t="shared" si="24"/>
        <v>Year 4</v>
      </c>
      <c r="O115" s="962" t="str">
        <f t="shared" si="24"/>
        <v>Year 5</v>
      </c>
      <c r="P115" s="962" t="str">
        <f t="shared" si="24"/>
        <v>Year 6</v>
      </c>
      <c r="Q115" s="962" t="str">
        <f t="shared" si="24"/>
        <v>Year 7</v>
      </c>
      <c r="R115" s="979" t="s">
        <v>656</v>
      </c>
      <c r="S115" s="666" t="s">
        <v>657</v>
      </c>
      <c r="T115" s="980" t="s">
        <v>77</v>
      </c>
      <c r="V115" s="3"/>
      <c r="W115" s="3"/>
      <c r="X115" s="3"/>
      <c r="Y115" s="3"/>
      <c r="Z115" s="3"/>
      <c r="AA115" s="3"/>
      <c r="AB115" s="3"/>
      <c r="AC115" s="3"/>
      <c r="AD115" s="3"/>
      <c r="AE115" s="424"/>
      <c r="AF115" s="424"/>
      <c r="AG115" s="424"/>
      <c r="AH115" s="424"/>
      <c r="AI115" s="424"/>
      <c r="AJ115" s="424"/>
      <c r="AK115" s="424"/>
      <c r="AL115" s="424"/>
      <c r="AM115" s="424"/>
    </row>
    <row r="116" spans="1:39" x14ac:dyDescent="0.2">
      <c r="A116" s="841"/>
      <c r="B116" s="344" t="str">
        <f>B$80</f>
        <v>Financial year</v>
      </c>
      <c r="C116" s="140"/>
      <c r="D116" s="580"/>
      <c r="E116" s="140"/>
      <c r="F116" s="140"/>
      <c r="G116" s="140"/>
      <c r="H116" s="140"/>
      <c r="I116" s="140"/>
      <c r="J116" s="295" t="str">
        <f t="shared" ref="J116:Q116" si="25">J$80</f>
        <v>2023-24</v>
      </c>
      <c r="K116" s="295" t="str">
        <f t="shared" si="25"/>
        <v>2024-25</v>
      </c>
      <c r="L116" s="295" t="str">
        <f t="shared" si="25"/>
        <v>2025-26</v>
      </c>
      <c r="M116" s="295" t="str">
        <f t="shared" si="25"/>
        <v>2026-27</v>
      </c>
      <c r="N116" s="295" t="str">
        <f t="shared" si="25"/>
        <v>2027-28</v>
      </c>
      <c r="O116" s="295" t="str">
        <f t="shared" si="25"/>
        <v>2028-29</v>
      </c>
      <c r="P116" s="295" t="str">
        <f t="shared" si="25"/>
        <v>2029-30</v>
      </c>
      <c r="Q116" s="295" t="str">
        <f t="shared" si="25"/>
        <v>2030-31</v>
      </c>
      <c r="R116" s="985" t="str">
        <f>D124</f>
        <v>$ nominal</v>
      </c>
      <c r="S116" s="454" t="s">
        <v>108</v>
      </c>
      <c r="T116" s="986"/>
      <c r="V116" s="3"/>
      <c r="W116" s="3"/>
      <c r="X116" s="3"/>
      <c r="Y116" s="3"/>
      <c r="Z116" s="3"/>
      <c r="AA116" s="3"/>
      <c r="AB116" s="3"/>
      <c r="AC116" s="3"/>
      <c r="AD116" s="3"/>
      <c r="AE116" s="424"/>
      <c r="AF116" s="424"/>
      <c r="AG116" s="424"/>
      <c r="AH116" s="424"/>
      <c r="AI116" s="424"/>
      <c r="AJ116" s="424"/>
      <c r="AK116" s="424"/>
      <c r="AL116" s="424"/>
      <c r="AM116" s="424"/>
    </row>
    <row r="117" spans="1:39" x14ac:dyDescent="0.2">
      <c r="A117" s="841"/>
      <c r="B117" s="685"/>
      <c r="C117" s="3"/>
      <c r="D117" s="1495"/>
      <c r="E117" s="3"/>
      <c r="F117" s="3"/>
      <c r="G117" s="3"/>
      <c r="H117" s="3"/>
      <c r="I117" s="3"/>
      <c r="J117" s="3"/>
      <c r="K117" s="151"/>
      <c r="L117" s="16"/>
      <c r="M117" s="16"/>
      <c r="N117" s="16"/>
      <c r="O117" s="16"/>
      <c r="P117" s="16"/>
      <c r="Q117" s="16"/>
      <c r="R117" s="299"/>
      <c r="S117" s="3"/>
      <c r="T117" s="981"/>
      <c r="V117" s="3"/>
      <c r="W117" s="3"/>
      <c r="X117" s="424"/>
      <c r="Y117" s="424"/>
      <c r="Z117" s="424"/>
      <c r="AA117" s="424"/>
      <c r="AB117" s="424"/>
      <c r="AC117" s="424"/>
      <c r="AD117" s="424"/>
      <c r="AE117" s="424"/>
      <c r="AF117" s="424"/>
      <c r="AG117" s="424"/>
      <c r="AH117" s="424"/>
      <c r="AI117" s="424"/>
      <c r="AJ117" s="424"/>
      <c r="AK117" s="424"/>
      <c r="AL117" s="424"/>
      <c r="AM117" s="424"/>
    </row>
    <row r="118" spans="1:39" x14ac:dyDescent="0.2">
      <c r="A118" s="841"/>
      <c r="B118" s="959" t="s">
        <v>658</v>
      </c>
      <c r="C118" s="3"/>
      <c r="D118" s="1495"/>
      <c r="E118" s="3"/>
      <c r="F118" s="3"/>
      <c r="G118" s="3"/>
      <c r="H118" s="3"/>
      <c r="J118" s="3"/>
      <c r="K118" s="16"/>
      <c r="L118" s="16"/>
      <c r="M118" s="16"/>
      <c r="N118" s="16"/>
      <c r="O118" s="16"/>
      <c r="P118" s="16"/>
      <c r="Q118" s="16"/>
      <c r="R118" s="299"/>
      <c r="S118" s="3"/>
      <c r="T118" s="568"/>
      <c r="V118" s="3"/>
      <c r="W118" s="3"/>
      <c r="X118" s="3"/>
      <c r="Y118" s="3"/>
      <c r="Z118" s="3"/>
      <c r="AA118" s="3"/>
      <c r="AB118" s="3"/>
      <c r="AC118" s="3"/>
      <c r="AD118" s="3"/>
      <c r="AE118" s="424"/>
      <c r="AF118" s="424"/>
      <c r="AG118" s="424"/>
      <c r="AH118" s="424"/>
      <c r="AI118" s="424"/>
      <c r="AJ118" s="424"/>
      <c r="AK118" s="424"/>
      <c r="AL118" s="424"/>
      <c r="AM118" s="424"/>
    </row>
    <row r="119" spans="1:39" ht="11.25" customHeight="1" x14ac:dyDescent="0.2">
      <c r="A119" s="841"/>
      <c r="B119" s="299" t="str">
        <f>$B$98</f>
        <v>PGI with proposed SV</v>
      </c>
      <c r="C119" s="3"/>
      <c r="D119" s="1495" t="s">
        <v>108</v>
      </c>
      <c r="E119" s="14"/>
      <c r="F119" s="3"/>
      <c r="G119" s="3"/>
      <c r="J119" s="85"/>
      <c r="K119" s="96">
        <f t="shared" ref="K119:Q119" si="26">IF(J$98=0,0,K124/J$98)</f>
        <v>0.15003282307697954</v>
      </c>
      <c r="L119" s="96">
        <f t="shared" si="26"/>
        <v>2.9999999999999992E-2</v>
      </c>
      <c r="M119" s="96">
        <f t="shared" si="26"/>
        <v>3.0000000000000054E-2</v>
      </c>
      <c r="N119" s="96">
        <f t="shared" si="26"/>
        <v>3.0000000000000047E-2</v>
      </c>
      <c r="O119" s="96">
        <f t="shared" si="26"/>
        <v>3.0000000000000013E-2</v>
      </c>
      <c r="P119" s="96">
        <f t="shared" si="26"/>
        <v>2.9999999999999916E-2</v>
      </c>
      <c r="Q119" s="96">
        <f t="shared" si="26"/>
        <v>2.9999999999999964E-2</v>
      </c>
      <c r="R119" s="304"/>
      <c r="S119" s="125">
        <f>S98</f>
        <v>0.15003282307697954</v>
      </c>
      <c r="T119" s="568"/>
      <c r="V119" s="3"/>
      <c r="W119" s="3"/>
      <c r="X119" s="3"/>
      <c r="Y119" s="3"/>
      <c r="Z119" s="3"/>
      <c r="AA119" s="3"/>
      <c r="AB119" s="3"/>
      <c r="AC119" s="3"/>
      <c r="AD119" s="3"/>
      <c r="AE119" s="424"/>
      <c r="AF119" s="424"/>
      <c r="AG119" s="424"/>
      <c r="AH119" s="424"/>
      <c r="AI119" s="424"/>
      <c r="AJ119" s="424"/>
      <c r="AK119" s="424"/>
      <c r="AL119" s="424"/>
      <c r="AM119" s="424"/>
    </row>
    <row r="120" spans="1:39" x14ac:dyDescent="0.2">
      <c r="A120" s="841"/>
      <c r="B120" s="299" t="str">
        <f>$B$109</f>
        <v>PGI if only the rate peg applied</v>
      </c>
      <c r="C120" s="3"/>
      <c r="D120" s="1495" t="str">
        <f>D119</f>
        <v>%</v>
      </c>
      <c r="E120" s="14"/>
      <c r="F120" s="3"/>
      <c r="G120" s="3"/>
      <c r="J120" s="137"/>
      <c r="K120" s="96">
        <f>IF(J$98=0,0,K125/J$98)</f>
        <v>5.0032823076979455E-2</v>
      </c>
      <c r="L120" s="96">
        <f t="shared" ref="L120:Q120" si="27">IF(K$109=0,0,L125/K$109)</f>
        <v>3.0000000000000044E-2</v>
      </c>
      <c r="M120" s="96">
        <f t="shared" si="27"/>
        <v>2.9999999999999954E-2</v>
      </c>
      <c r="N120" s="96">
        <f t="shared" si="27"/>
        <v>3.0000000000000058E-2</v>
      </c>
      <c r="O120" s="96">
        <f t="shared" si="27"/>
        <v>3.0000000000000002E-2</v>
      </c>
      <c r="P120" s="96">
        <f t="shared" si="27"/>
        <v>2.9999999999999971E-2</v>
      </c>
      <c r="Q120" s="96">
        <f t="shared" si="27"/>
        <v>2.9999999999999891E-2</v>
      </c>
      <c r="R120" s="304"/>
      <c r="S120" s="125">
        <f>S109</f>
        <v>5.0032823076979455E-2</v>
      </c>
      <c r="T120" s="981"/>
      <c r="V120" s="3"/>
      <c r="W120" s="3"/>
      <c r="X120" s="3"/>
      <c r="Y120" s="3"/>
      <c r="Z120" s="3"/>
      <c r="AA120" s="3"/>
      <c r="AB120" s="3"/>
      <c r="AC120" s="3"/>
      <c r="AD120" s="3"/>
      <c r="AE120" s="424"/>
      <c r="AF120" s="424"/>
      <c r="AG120" s="424"/>
      <c r="AH120" s="424"/>
      <c r="AI120" s="424"/>
      <c r="AJ120" s="424"/>
      <c r="AK120" s="424"/>
      <c r="AL120" s="424"/>
      <c r="AM120" s="424"/>
    </row>
    <row r="121" spans="1:39" x14ac:dyDescent="0.2">
      <c r="A121" s="841"/>
      <c r="B121" s="299"/>
      <c r="C121" s="3"/>
      <c r="D121" s="1495"/>
      <c r="E121" s="14"/>
      <c r="F121" s="3"/>
      <c r="G121" s="3"/>
      <c r="J121" s="137"/>
      <c r="K121" s="96"/>
      <c r="L121" s="96"/>
      <c r="M121" s="96"/>
      <c r="N121" s="96"/>
      <c r="O121" s="96"/>
      <c r="P121" s="96"/>
      <c r="Q121" s="96"/>
      <c r="R121" s="302"/>
      <c r="S121" s="125"/>
      <c r="T121" s="981"/>
      <c r="V121" s="3"/>
      <c r="W121" s="3"/>
      <c r="X121" s="3"/>
      <c r="Y121" s="3"/>
      <c r="Z121" s="3"/>
      <c r="AA121" s="3"/>
      <c r="AB121" s="3"/>
      <c r="AC121" s="3"/>
      <c r="AD121" s="3"/>
      <c r="AE121" s="424"/>
      <c r="AF121" s="424"/>
      <c r="AG121" s="424"/>
      <c r="AH121" s="424"/>
      <c r="AI121" s="424"/>
      <c r="AJ121" s="424"/>
      <c r="AK121" s="424"/>
      <c r="AL121" s="424"/>
      <c r="AM121" s="424"/>
    </row>
    <row r="122" spans="1:39" x14ac:dyDescent="0.2">
      <c r="A122" s="841"/>
      <c r="B122" s="685"/>
      <c r="C122" s="3"/>
      <c r="D122" s="1495"/>
      <c r="E122" s="14"/>
      <c r="F122" s="3"/>
      <c r="G122" s="3"/>
      <c r="J122" s="3"/>
      <c r="K122" s="151"/>
      <c r="L122" s="16"/>
      <c r="M122" s="16"/>
      <c r="N122" s="16"/>
      <c r="O122" s="16"/>
      <c r="P122" s="16"/>
      <c r="Q122" s="16"/>
      <c r="R122" s="299"/>
      <c r="S122" s="125"/>
      <c r="T122" s="981"/>
      <c r="V122" s="3"/>
      <c r="W122" s="3"/>
      <c r="X122" s="424"/>
      <c r="Y122" s="424"/>
      <c r="Z122" s="424"/>
      <c r="AA122" s="424"/>
      <c r="AB122" s="424"/>
      <c r="AC122" s="424"/>
      <c r="AD122" s="424"/>
      <c r="AE122" s="424"/>
      <c r="AF122" s="424"/>
      <c r="AG122" s="424"/>
      <c r="AH122" s="424"/>
      <c r="AI122" s="424"/>
      <c r="AJ122" s="424"/>
      <c r="AK122" s="424"/>
      <c r="AL122" s="424"/>
      <c r="AM122" s="424"/>
    </row>
    <row r="123" spans="1:39" x14ac:dyDescent="0.2">
      <c r="A123" s="841"/>
      <c r="B123" s="959" t="s">
        <v>659</v>
      </c>
      <c r="C123" s="3"/>
      <c r="D123" s="1495"/>
      <c r="E123" s="14"/>
      <c r="F123" s="3"/>
      <c r="G123" s="3"/>
      <c r="J123" s="3"/>
      <c r="K123" s="151"/>
      <c r="L123" s="16"/>
      <c r="M123" s="16"/>
      <c r="N123" s="16"/>
      <c r="O123" s="16"/>
      <c r="P123" s="16"/>
      <c r="Q123" s="16"/>
      <c r="R123" s="299"/>
      <c r="S123" s="125"/>
      <c r="T123" s="981"/>
      <c r="V123" s="3"/>
      <c r="W123" s="3"/>
      <c r="X123" s="424"/>
      <c r="Y123" s="424"/>
      <c r="Z123" s="424"/>
      <c r="AA123" s="424"/>
      <c r="AB123" s="424"/>
      <c r="AC123" s="424"/>
      <c r="AD123" s="424"/>
      <c r="AE123" s="424"/>
      <c r="AF123" s="424"/>
      <c r="AG123" s="424"/>
      <c r="AH123" s="424"/>
      <c r="AI123" s="424"/>
      <c r="AJ123" s="424"/>
      <c r="AK123" s="424"/>
      <c r="AL123" s="424"/>
      <c r="AM123" s="424"/>
    </row>
    <row r="124" spans="1:39" x14ac:dyDescent="0.2">
      <c r="A124" s="841"/>
      <c r="B124" s="299" t="str">
        <f>B119</f>
        <v>PGI with proposed SV</v>
      </c>
      <c r="C124" s="3"/>
      <c r="D124" s="1495" t="str">
        <f>$D$85</f>
        <v>$ nominal</v>
      </c>
      <c r="E124" s="14"/>
      <c r="F124" s="3"/>
      <c r="G124" s="3"/>
      <c r="J124" s="85"/>
      <c r="K124" s="151">
        <f t="shared" ref="K124:Q124" si="28">IF(K$82=0,0,K98-J98)</f>
        <v>8154584.5484463274</v>
      </c>
      <c r="L124" s="151">
        <f t="shared" si="28"/>
        <v>1875197.6461426541</v>
      </c>
      <c r="M124" s="151">
        <f t="shared" si="28"/>
        <v>1931453.5755269378</v>
      </c>
      <c r="N124" s="151">
        <f t="shared" si="28"/>
        <v>1989397.1827927455</v>
      </c>
      <c r="O124" s="151">
        <f t="shared" si="28"/>
        <v>2049079.0982765257</v>
      </c>
      <c r="P124" s="151">
        <f t="shared" si="28"/>
        <v>2110551.4712248147</v>
      </c>
      <c r="Q124" s="151">
        <f t="shared" si="28"/>
        <v>2173868.0153615624</v>
      </c>
      <c r="R124" s="301">
        <f>SUMPRODUCT(K124:Q124,'WS2-Proposal'!$K$73:$Q$73)</f>
        <v>8154584.5484463274</v>
      </c>
      <c r="S124" s="1464">
        <f>IF($J$98=0,0,R124/$J$98)</f>
        <v>0.15003282307697954</v>
      </c>
      <c r="T124" s="982">
        <f>R124-R98</f>
        <v>0</v>
      </c>
      <c r="V124" s="3"/>
      <c r="W124" s="3"/>
      <c r="X124" s="3"/>
      <c r="Y124" s="3"/>
      <c r="Z124" s="3"/>
      <c r="AA124" s="3"/>
      <c r="AB124" s="3"/>
      <c r="AC124" s="3"/>
      <c r="AD124" s="3"/>
      <c r="AE124" s="424"/>
      <c r="AF124" s="424"/>
      <c r="AG124" s="424"/>
      <c r="AH124" s="424"/>
      <c r="AI124" s="424"/>
      <c r="AJ124" s="424"/>
      <c r="AK124" s="424"/>
      <c r="AL124" s="424"/>
      <c r="AM124" s="424"/>
    </row>
    <row r="125" spans="1:39" x14ac:dyDescent="0.2">
      <c r="A125" s="841"/>
      <c r="B125" s="299" t="str">
        <f>B120</f>
        <v>PGI if only the rate peg applied</v>
      </c>
      <c r="C125" s="3"/>
      <c r="D125" s="1495" t="str">
        <f>D124</f>
        <v>$ nominal</v>
      </c>
      <c r="E125" s="14"/>
      <c r="F125" s="3"/>
      <c r="G125" s="3"/>
      <c r="J125" s="137"/>
      <c r="K125" s="151">
        <f t="shared" ref="K125:Q125" si="29">IF(K$82=0,0,K109-J109)</f>
        <v>2719384.18281544</v>
      </c>
      <c r="L125" s="151">
        <f t="shared" si="29"/>
        <v>1712141.6351737306</v>
      </c>
      <c r="M125" s="151">
        <f t="shared" si="29"/>
        <v>1763505.8842289373</v>
      </c>
      <c r="N125" s="151">
        <f t="shared" si="29"/>
        <v>1816411.0607558116</v>
      </c>
      <c r="O125" s="151">
        <f t="shared" si="29"/>
        <v>1870903.3925784826</v>
      </c>
      <c r="P125" s="151">
        <f t="shared" si="29"/>
        <v>1927030.494355835</v>
      </c>
      <c r="Q125" s="151">
        <f t="shared" si="29"/>
        <v>1984841.4091865048</v>
      </c>
      <c r="R125" s="302">
        <f>SUMPRODUCT(K125:Q125,'WS2-Proposal'!$K$73:$Q$73)</f>
        <v>2719384.18281544</v>
      </c>
      <c r="S125" s="1465">
        <f>IF($J$98=0,0,R125/$J$98)</f>
        <v>5.0032823076979455E-2</v>
      </c>
      <c r="T125" s="982">
        <f>R125-R109</f>
        <v>0</v>
      </c>
      <c r="V125" s="3"/>
      <c r="W125" s="3"/>
      <c r="X125" s="3"/>
      <c r="Y125" s="3"/>
      <c r="Z125" s="3"/>
      <c r="AA125" s="3"/>
      <c r="AB125" s="3"/>
      <c r="AC125" s="3"/>
      <c r="AD125" s="3"/>
      <c r="AE125" s="424"/>
      <c r="AF125" s="424"/>
      <c r="AG125" s="424"/>
      <c r="AH125" s="424"/>
      <c r="AI125" s="424"/>
      <c r="AJ125" s="424"/>
      <c r="AK125" s="424"/>
      <c r="AL125" s="424"/>
      <c r="AM125" s="424"/>
    </row>
    <row r="126" spans="1:39" x14ac:dyDescent="0.2">
      <c r="A126" s="841"/>
      <c r="B126" s="299"/>
      <c r="C126" s="3"/>
      <c r="D126" s="1495"/>
      <c r="E126" s="14"/>
      <c r="F126" s="3"/>
      <c r="G126" s="3"/>
      <c r="J126" s="137"/>
      <c r="K126" s="151"/>
      <c r="L126" s="151"/>
      <c r="M126" s="151"/>
      <c r="N126" s="151"/>
      <c r="O126" s="151"/>
      <c r="P126" s="151"/>
      <c r="Q126" s="151"/>
      <c r="R126" s="302"/>
      <c r="S126" s="1465"/>
      <c r="T126" s="982"/>
      <c r="V126" s="3"/>
      <c r="W126" s="3"/>
      <c r="X126" s="3"/>
      <c r="Y126" s="3"/>
      <c r="Z126" s="3"/>
      <c r="AA126" s="3"/>
      <c r="AB126" s="3"/>
      <c r="AC126" s="3"/>
      <c r="AD126" s="3"/>
      <c r="AE126" s="424"/>
      <c r="AF126" s="424"/>
      <c r="AG126" s="424"/>
      <c r="AH126" s="424"/>
      <c r="AI126" s="424"/>
      <c r="AJ126" s="424"/>
      <c r="AK126" s="424"/>
      <c r="AL126" s="424"/>
      <c r="AM126" s="424"/>
    </row>
    <row r="127" spans="1:39" x14ac:dyDescent="0.2">
      <c r="A127" s="841"/>
      <c r="B127" s="299"/>
      <c r="C127" s="3"/>
      <c r="D127" s="1495"/>
      <c r="E127" s="14"/>
      <c r="F127" s="3"/>
      <c r="G127" s="3"/>
      <c r="J127" s="137"/>
      <c r="K127" s="152"/>
      <c r="L127" s="152"/>
      <c r="M127" s="152"/>
      <c r="N127" s="152"/>
      <c r="O127" s="152"/>
      <c r="P127" s="152"/>
      <c r="Q127" s="152"/>
      <c r="R127" s="302"/>
      <c r="S127" s="131"/>
      <c r="T127" s="982"/>
      <c r="V127" s="3"/>
      <c r="W127" s="3"/>
      <c r="X127" s="424"/>
      <c r="Y127" s="424"/>
      <c r="Z127" s="424"/>
      <c r="AA127" s="424"/>
      <c r="AB127" s="424"/>
      <c r="AC127" s="424"/>
      <c r="AD127" s="424"/>
      <c r="AE127" s="424"/>
      <c r="AF127" s="424"/>
      <c r="AG127" s="424"/>
      <c r="AH127" s="424"/>
      <c r="AI127" s="424"/>
      <c r="AJ127" s="424"/>
      <c r="AK127" s="424"/>
      <c r="AL127" s="424"/>
      <c r="AM127" s="424"/>
    </row>
    <row r="128" spans="1:39" x14ac:dyDescent="0.2">
      <c r="A128" s="841"/>
      <c r="B128" s="959" t="s">
        <v>660</v>
      </c>
      <c r="C128" s="3"/>
      <c r="D128" s="1495"/>
      <c r="E128" s="14"/>
      <c r="F128" s="3"/>
      <c r="G128" s="3"/>
      <c r="J128" s="137"/>
      <c r="K128" s="152"/>
      <c r="L128" s="152"/>
      <c r="M128" s="152"/>
      <c r="N128" s="152"/>
      <c r="O128" s="152"/>
      <c r="P128" s="152"/>
      <c r="Q128" s="152"/>
      <c r="R128" s="302"/>
      <c r="S128" s="131"/>
      <c r="T128" s="982"/>
      <c r="V128" s="3"/>
      <c r="W128" s="3"/>
      <c r="X128" s="424"/>
      <c r="Y128" s="424"/>
      <c r="Z128" s="424"/>
      <c r="AA128" s="424"/>
      <c r="AB128" s="424"/>
      <c r="AC128" s="424"/>
      <c r="AD128" s="424"/>
      <c r="AE128" s="424"/>
      <c r="AF128" s="424"/>
      <c r="AG128" s="424"/>
      <c r="AH128" s="424"/>
      <c r="AI128" s="424"/>
      <c r="AJ128" s="424"/>
      <c r="AK128" s="424"/>
      <c r="AL128" s="424"/>
      <c r="AM128" s="424"/>
    </row>
    <row r="129" spans="1:39" x14ac:dyDescent="0.2">
      <c r="A129" s="841"/>
      <c r="B129" s="299" t="str">
        <f>B120</f>
        <v>PGI if only the rate peg applied</v>
      </c>
      <c r="C129" s="3"/>
      <c r="D129" s="1495" t="str">
        <f>$D$85</f>
        <v>$ nominal</v>
      </c>
      <c r="E129" s="14"/>
      <c r="F129" s="3"/>
      <c r="G129" s="3"/>
      <c r="J129" s="85"/>
      <c r="K129" s="151">
        <f t="shared" ref="K129:P129" si="30">K124-K125</f>
        <v>5435200.3656308874</v>
      </c>
      <c r="L129" s="151">
        <f t="shared" si="30"/>
        <v>163056.01096892357</v>
      </c>
      <c r="M129" s="151">
        <f t="shared" si="30"/>
        <v>167947.69129800051</v>
      </c>
      <c r="N129" s="151">
        <f>N124-N125</f>
        <v>172986.1220369339</v>
      </c>
      <c r="O129" s="151">
        <f t="shared" si="30"/>
        <v>178175.70569804311</v>
      </c>
      <c r="P129" s="151">
        <f t="shared" si="30"/>
        <v>183520.97686897963</v>
      </c>
      <c r="Q129" s="151">
        <f>Q124-Q125</f>
        <v>189026.60617505759</v>
      </c>
      <c r="R129" s="302">
        <f>SUMPRODUCT(K129:Q129,'WS2-Proposal'!$K$73:$Q$73)</f>
        <v>5435200.3656308874</v>
      </c>
      <c r="S129" s="125">
        <f>S124-S125</f>
        <v>0.10000000000000009</v>
      </c>
      <c r="T129" s="983">
        <f>IF(J109=0,0,(R98-R109)/J109-S129)</f>
        <v>0</v>
      </c>
      <c r="V129" s="3"/>
      <c r="W129" s="3"/>
      <c r="X129" s="3"/>
      <c r="Y129" s="3"/>
      <c r="Z129" s="3"/>
      <c r="AA129" s="3"/>
      <c r="AB129" s="3"/>
      <c r="AC129" s="3"/>
      <c r="AD129" s="3"/>
      <c r="AE129" s="424"/>
      <c r="AF129" s="424"/>
      <c r="AG129" s="424"/>
      <c r="AH129" s="424"/>
      <c r="AI129" s="424"/>
      <c r="AJ129" s="424"/>
      <c r="AK129" s="424"/>
      <c r="AL129" s="424"/>
      <c r="AM129" s="424"/>
    </row>
    <row r="130" spans="1:39" x14ac:dyDescent="0.2">
      <c r="A130" s="841"/>
      <c r="B130" s="299"/>
      <c r="C130" s="3"/>
      <c r="D130" s="1495"/>
      <c r="E130" s="14"/>
      <c r="F130" s="3"/>
      <c r="G130" s="3"/>
      <c r="J130" s="3"/>
      <c r="K130" s="151"/>
      <c r="L130" s="151"/>
      <c r="M130" s="151"/>
      <c r="N130" s="151"/>
      <c r="O130" s="151"/>
      <c r="P130" s="151"/>
      <c r="Q130" s="151"/>
      <c r="R130" s="302"/>
      <c r="S130" s="125"/>
      <c r="T130" s="983"/>
      <c r="V130" s="3"/>
      <c r="W130" s="3"/>
      <c r="X130" s="3"/>
      <c r="Y130" s="3"/>
      <c r="Z130" s="3"/>
      <c r="AA130" s="3"/>
      <c r="AB130" s="3"/>
      <c r="AC130" s="3"/>
      <c r="AD130" s="3"/>
      <c r="AE130" s="424"/>
      <c r="AF130" s="424"/>
      <c r="AG130" s="424"/>
      <c r="AH130" s="424"/>
      <c r="AI130" s="424"/>
      <c r="AJ130" s="424"/>
      <c r="AK130" s="424"/>
      <c r="AL130" s="424"/>
      <c r="AM130" s="424"/>
    </row>
    <row r="131" spans="1:39" x14ac:dyDescent="0.2">
      <c r="A131" s="841"/>
      <c r="B131" s="299"/>
      <c r="C131" s="3"/>
      <c r="D131" s="1495"/>
      <c r="E131" s="14"/>
      <c r="F131" s="3"/>
      <c r="G131" s="3"/>
      <c r="J131" s="137"/>
      <c r="K131" s="150"/>
      <c r="L131" s="150"/>
      <c r="M131" s="150"/>
      <c r="N131" s="150"/>
      <c r="O131" s="150"/>
      <c r="P131" s="150"/>
      <c r="Q131" s="150"/>
      <c r="R131" s="302"/>
      <c r="S131" s="125"/>
      <c r="T131" s="982">
        <f>R125-R124+R129</f>
        <v>0</v>
      </c>
      <c r="V131" s="3"/>
      <c r="W131" s="3"/>
      <c r="X131" s="424"/>
      <c r="Y131" s="424"/>
      <c r="Z131" s="424"/>
      <c r="AA131" s="424"/>
      <c r="AB131" s="424"/>
      <c r="AC131" s="424"/>
      <c r="AD131" s="424"/>
      <c r="AE131" s="424"/>
      <c r="AF131" s="424"/>
      <c r="AG131" s="424"/>
      <c r="AH131" s="424"/>
      <c r="AI131" s="424"/>
      <c r="AJ131" s="424"/>
      <c r="AK131" s="424"/>
      <c r="AL131" s="424"/>
      <c r="AM131" s="424"/>
    </row>
    <row r="132" spans="1:39" x14ac:dyDescent="0.2">
      <c r="A132" s="841"/>
      <c r="B132" s="959" t="s">
        <v>661</v>
      </c>
      <c r="C132" s="3"/>
      <c r="D132" s="1495"/>
      <c r="E132" s="14"/>
      <c r="F132" s="3"/>
      <c r="G132" s="3"/>
      <c r="J132" s="137"/>
      <c r="K132" s="150"/>
      <c r="L132" s="150"/>
      <c r="M132" s="150"/>
      <c r="N132" s="150"/>
      <c r="O132" s="150"/>
      <c r="P132" s="150"/>
      <c r="Q132" s="150"/>
      <c r="R132" s="302"/>
      <c r="S132" s="125"/>
      <c r="T132" s="982"/>
      <c r="V132" s="3"/>
      <c r="W132" s="3"/>
      <c r="X132" s="424"/>
      <c r="Y132" s="424"/>
      <c r="Z132" s="424"/>
      <c r="AA132" s="424"/>
      <c r="AB132" s="424"/>
      <c r="AC132" s="424"/>
      <c r="AD132" s="424"/>
      <c r="AE132" s="424"/>
      <c r="AF132" s="424"/>
      <c r="AG132" s="424"/>
      <c r="AH132" s="424"/>
      <c r="AI132" s="424"/>
      <c r="AJ132" s="424"/>
      <c r="AK132" s="424"/>
      <c r="AL132" s="424"/>
      <c r="AM132" s="424"/>
    </row>
    <row r="133" spans="1:39" x14ac:dyDescent="0.2">
      <c r="A133" s="841"/>
      <c r="B133" s="299" t="str">
        <f>$B$98</f>
        <v>PGI with proposed SV</v>
      </c>
      <c r="C133" s="3"/>
      <c r="D133" s="1495" t="str">
        <f>D129</f>
        <v>$ nominal</v>
      </c>
      <c r="E133" s="14"/>
      <c r="F133" s="3"/>
      <c r="G133" s="3"/>
      <c r="J133" s="137"/>
      <c r="K133" s="151">
        <f>IF(K$82=0,0,SUM($K98:K98))</f>
        <v>62506588.204755157</v>
      </c>
      <c r="L133" s="151">
        <f>IF(L$82=0,0,SUM($K98:L98))</f>
        <v>126888374.05565298</v>
      </c>
      <c r="M133" s="151">
        <f>IF(M$82=0,0,SUM($K98:M98))</f>
        <v>193201613.48207772</v>
      </c>
      <c r="N133" s="151">
        <f>IF(N$82=0,0,SUM($K98:N98))</f>
        <v>261504250.09129521</v>
      </c>
      <c r="O133" s="151">
        <f>IF(O$82=0,0,SUM($K98:O98))</f>
        <v>331855965.79878926</v>
      </c>
      <c r="P133" s="151">
        <f>IF(P$82=0,0,SUM($K98:P98))</f>
        <v>404318232.97750807</v>
      </c>
      <c r="Q133" s="151">
        <f>IF(Q$82=0,0,SUM($K98:Q98))</f>
        <v>478954368.17158848</v>
      </c>
      <c r="R133" s="302">
        <f>SUMPRODUCT(K133:Q133,'WS2-Proposal'!$K$73:$Q$73)</f>
        <v>62506588.204755157</v>
      </c>
      <c r="S133" s="125"/>
      <c r="T133" s="981"/>
      <c r="V133" s="3"/>
      <c r="W133" s="3"/>
      <c r="X133" s="3"/>
      <c r="Y133" s="3"/>
      <c r="Z133" s="3"/>
      <c r="AA133" s="3"/>
      <c r="AB133" s="3"/>
      <c r="AC133" s="3"/>
      <c r="AD133" s="3"/>
      <c r="AE133" s="424"/>
      <c r="AF133" s="424"/>
      <c r="AG133" s="424"/>
      <c r="AH133" s="424"/>
      <c r="AI133" s="424"/>
      <c r="AJ133" s="424"/>
      <c r="AK133" s="424"/>
      <c r="AL133" s="424"/>
      <c r="AM133" s="424"/>
    </row>
    <row r="134" spans="1:39" x14ac:dyDescent="0.2">
      <c r="A134" s="841"/>
      <c r="B134" s="299" t="str">
        <f>$B$109</f>
        <v>PGI if only the rate peg applied</v>
      </c>
      <c r="C134" s="3"/>
      <c r="D134" s="1495" t="str">
        <f>D133</f>
        <v>$ nominal</v>
      </c>
      <c r="E134" s="14"/>
      <c r="F134" s="3"/>
      <c r="G134" s="3"/>
      <c r="J134" s="137"/>
      <c r="K134" s="151">
        <f>IF(K$82=0,0,SUM($K109:K109))</f>
        <v>57071387.83912427</v>
      </c>
      <c r="L134" s="151">
        <f>IF(L$82=0,0,SUM($K109:L109))</f>
        <v>115854917.31342226</v>
      </c>
      <c r="M134" s="151">
        <f>IF(M$82=0,0,SUM($K109:M109))</f>
        <v>176401952.67194921</v>
      </c>
      <c r="N134" s="151">
        <f>IF(N$82=0,0,SUM($K109:N109))</f>
        <v>238765399.09123194</v>
      </c>
      <c r="O134" s="151">
        <f>IF(O$82=0,0,SUM($K109:O109))</f>
        <v>302999748.90309316</v>
      </c>
      <c r="P134" s="151">
        <f>IF(P$82=0,0,SUM($K109:P109))</f>
        <v>369161129.20931023</v>
      </c>
      <c r="Q134" s="151">
        <f>IF(Q$82=0,0,SUM($K109:Q109))</f>
        <v>437307350.92471379</v>
      </c>
      <c r="R134" s="302">
        <f>SUMPRODUCT(K134:Q134,'WS2-Proposal'!$K$73:$Q$73)</f>
        <v>57071387.83912427</v>
      </c>
      <c r="S134" s="125"/>
      <c r="T134" s="981"/>
      <c r="V134" s="3"/>
      <c r="W134" s="3"/>
      <c r="X134" s="3"/>
      <c r="Y134" s="3"/>
      <c r="Z134" s="3"/>
      <c r="AA134" s="3"/>
      <c r="AB134" s="3"/>
      <c r="AC134" s="3"/>
      <c r="AD134" s="3"/>
      <c r="AE134" s="424"/>
      <c r="AF134" s="424"/>
      <c r="AG134" s="424"/>
      <c r="AH134" s="424"/>
      <c r="AI134" s="424"/>
      <c r="AJ134" s="424"/>
      <c r="AK134" s="424"/>
      <c r="AL134" s="424"/>
      <c r="AM134" s="424"/>
    </row>
    <row r="135" spans="1:39" x14ac:dyDescent="0.2">
      <c r="A135" s="841"/>
      <c r="B135" s="299"/>
      <c r="C135" s="3"/>
      <c r="D135" s="1495"/>
      <c r="E135" s="14"/>
      <c r="F135" s="3"/>
      <c r="G135" s="3"/>
      <c r="J135" s="137"/>
      <c r="K135" s="151"/>
      <c r="L135" s="151"/>
      <c r="M135" s="151"/>
      <c r="N135" s="151"/>
      <c r="O135" s="151"/>
      <c r="P135" s="151"/>
      <c r="Q135" s="151"/>
      <c r="R135" s="302"/>
      <c r="S135" s="125"/>
      <c r="T135" s="981"/>
      <c r="V135" s="3"/>
      <c r="W135" s="3"/>
      <c r="X135" s="3"/>
      <c r="Y135" s="3"/>
      <c r="Z135" s="3"/>
      <c r="AA135" s="3"/>
      <c r="AB135" s="3"/>
      <c r="AC135" s="3"/>
      <c r="AD135" s="3"/>
      <c r="AE135" s="424"/>
      <c r="AF135" s="424"/>
      <c r="AG135" s="424"/>
      <c r="AH135" s="424"/>
      <c r="AI135" s="424"/>
      <c r="AJ135" s="424"/>
      <c r="AK135" s="424"/>
      <c r="AL135" s="424"/>
      <c r="AM135" s="424"/>
    </row>
    <row r="136" spans="1:39" x14ac:dyDescent="0.2">
      <c r="A136" s="841"/>
      <c r="B136" s="299"/>
      <c r="C136" s="3"/>
      <c r="D136" s="1495"/>
      <c r="E136" s="14"/>
      <c r="F136" s="3"/>
      <c r="G136" s="3"/>
      <c r="J136" s="137"/>
      <c r="K136" s="150"/>
      <c r="L136" s="150"/>
      <c r="M136" s="150"/>
      <c r="N136" s="150"/>
      <c r="O136" s="150"/>
      <c r="P136" s="150"/>
      <c r="Q136" s="150"/>
      <c r="R136" s="302"/>
      <c r="S136" s="125"/>
      <c r="T136" s="981"/>
      <c r="V136" s="3"/>
      <c r="W136" s="3"/>
      <c r="X136" s="424"/>
      <c r="Y136" s="424"/>
      <c r="Z136" s="424"/>
      <c r="AA136" s="424"/>
      <c r="AB136" s="424"/>
      <c r="AC136" s="424"/>
      <c r="AD136" s="424"/>
      <c r="AE136" s="424"/>
      <c r="AF136" s="424"/>
      <c r="AG136" s="424"/>
      <c r="AH136" s="424"/>
      <c r="AI136" s="424"/>
      <c r="AJ136" s="424"/>
      <c r="AK136" s="424"/>
      <c r="AL136" s="424"/>
      <c r="AM136" s="424"/>
    </row>
    <row r="137" spans="1:39" x14ac:dyDescent="0.2">
      <c r="A137" s="841"/>
      <c r="B137" s="959" t="s">
        <v>662</v>
      </c>
      <c r="C137" s="3"/>
      <c r="D137" s="1495"/>
      <c r="E137" s="14"/>
      <c r="F137" s="3"/>
      <c r="G137" s="3"/>
      <c r="J137" s="137"/>
      <c r="K137" s="150"/>
      <c r="L137" s="150"/>
      <c r="M137" s="150"/>
      <c r="N137" s="150"/>
      <c r="O137" s="150"/>
      <c r="P137" s="150"/>
      <c r="Q137" s="150"/>
      <c r="R137" s="302"/>
      <c r="S137" s="125"/>
      <c r="T137" s="568"/>
      <c r="V137" s="3"/>
      <c r="W137" s="3"/>
      <c r="X137" s="424"/>
      <c r="Y137" s="424"/>
      <c r="Z137" s="424"/>
      <c r="AA137" s="424"/>
      <c r="AB137" s="424"/>
      <c r="AC137" s="424"/>
      <c r="AD137" s="424"/>
      <c r="AE137" s="424"/>
      <c r="AF137" s="424"/>
      <c r="AG137" s="424"/>
      <c r="AH137" s="424"/>
      <c r="AI137" s="424"/>
      <c r="AJ137" s="424"/>
      <c r="AK137" s="424"/>
      <c r="AL137" s="424"/>
      <c r="AM137" s="424"/>
    </row>
    <row r="138" spans="1:39" x14ac:dyDescent="0.2">
      <c r="A138" s="841"/>
      <c r="B138" s="299" t="str">
        <f>B120</f>
        <v>PGI if only the rate peg applied</v>
      </c>
      <c r="C138" s="3"/>
      <c r="D138" s="1495" t="str">
        <f>$D$85</f>
        <v>$ nominal</v>
      </c>
      <c r="E138" s="14"/>
      <c r="F138" s="3"/>
      <c r="G138" s="3"/>
      <c r="J138" s="137"/>
      <c r="K138" s="151">
        <f t="shared" ref="K138:Q138" si="31">K$133-K134</f>
        <v>5435200.3656308874</v>
      </c>
      <c r="L138" s="151">
        <f t="shared" si="31"/>
        <v>11033456.742230713</v>
      </c>
      <c r="M138" s="151">
        <f t="shared" si="31"/>
        <v>16799660.81012851</v>
      </c>
      <c r="N138" s="151">
        <f t="shared" si="31"/>
        <v>22738851.00006327</v>
      </c>
      <c r="O138" s="151">
        <f t="shared" si="31"/>
        <v>28856216.895696104</v>
      </c>
      <c r="P138" s="151">
        <f t="shared" si="31"/>
        <v>35157103.768197834</v>
      </c>
      <c r="Q138" s="151">
        <f t="shared" si="31"/>
        <v>41647017.24687469</v>
      </c>
      <c r="R138" s="302">
        <f>SUMPRODUCT(K138:Q138,'WS2-Proposal'!$K$73:$Q$73)</f>
        <v>5435200.3656308874</v>
      </c>
      <c r="S138" s="131">
        <f>IF(R134=0,0,R138/R134)</f>
        <v>9.5235118181318926E-2</v>
      </c>
      <c r="T138" s="982">
        <f>R133-R134-R138</f>
        <v>0</v>
      </c>
      <c r="V138" s="3"/>
      <c r="W138" s="3"/>
      <c r="X138" s="3"/>
      <c r="Y138" s="3"/>
      <c r="Z138" s="3"/>
      <c r="AA138" s="3"/>
      <c r="AB138" s="3"/>
      <c r="AC138" s="3"/>
      <c r="AD138" s="3"/>
      <c r="AE138" s="424"/>
      <c r="AF138" s="424"/>
      <c r="AG138" s="424"/>
      <c r="AH138" s="424"/>
      <c r="AI138" s="424"/>
      <c r="AJ138" s="424"/>
      <c r="AK138" s="424"/>
      <c r="AL138" s="424"/>
      <c r="AM138" s="424"/>
    </row>
    <row r="139" spans="1:39" x14ac:dyDescent="0.2">
      <c r="A139" s="841"/>
      <c r="B139" s="299"/>
      <c r="C139" s="3"/>
      <c r="D139" s="16"/>
      <c r="E139" s="14"/>
      <c r="F139" s="3"/>
      <c r="G139" s="3"/>
      <c r="J139" s="137"/>
      <c r="K139" s="151"/>
      <c r="L139" s="151"/>
      <c r="M139" s="151"/>
      <c r="N139" s="151"/>
      <c r="O139" s="151"/>
      <c r="P139" s="151"/>
      <c r="Q139" s="151"/>
      <c r="R139" s="302"/>
      <c r="S139" s="984"/>
      <c r="T139" s="982"/>
      <c r="V139" s="3"/>
      <c r="W139" s="3"/>
      <c r="X139" s="3"/>
      <c r="Y139" s="3"/>
      <c r="Z139" s="3"/>
      <c r="AA139" s="3"/>
      <c r="AB139" s="3"/>
      <c r="AC139" s="3"/>
      <c r="AD139" s="3"/>
      <c r="AE139" s="424"/>
      <c r="AF139" s="424"/>
      <c r="AG139" s="424"/>
      <c r="AH139" s="424"/>
      <c r="AI139" s="424"/>
      <c r="AJ139" s="424"/>
      <c r="AK139" s="424"/>
      <c r="AL139" s="424"/>
      <c r="AM139" s="424"/>
    </row>
    <row r="140" spans="1:39" ht="7.5" customHeight="1" x14ac:dyDescent="0.2">
      <c r="A140" s="841"/>
      <c r="B140" s="977"/>
      <c r="C140" s="140"/>
      <c r="D140" s="140"/>
      <c r="E140" s="140"/>
      <c r="F140" s="140"/>
      <c r="G140" s="140"/>
      <c r="H140" s="140"/>
      <c r="I140" s="140"/>
      <c r="J140" s="140"/>
      <c r="K140" s="978"/>
      <c r="L140" s="140"/>
      <c r="M140" s="140"/>
      <c r="N140" s="140"/>
      <c r="O140" s="140"/>
      <c r="P140" s="140"/>
      <c r="Q140" s="140"/>
      <c r="R140" s="344"/>
      <c r="S140" s="140"/>
      <c r="T140" s="578"/>
      <c r="U140" s="3"/>
      <c r="V140" s="3"/>
      <c r="W140" s="3"/>
      <c r="X140" s="424"/>
      <c r="Y140" s="424"/>
      <c r="Z140" s="424"/>
      <c r="AA140" s="424"/>
      <c r="AB140" s="424"/>
      <c r="AC140" s="424"/>
      <c r="AD140" s="424"/>
      <c r="AE140" s="424"/>
      <c r="AF140" s="424"/>
      <c r="AG140" s="424"/>
      <c r="AH140" s="424"/>
      <c r="AI140" s="424"/>
      <c r="AJ140" s="424"/>
      <c r="AK140" s="424"/>
      <c r="AL140" s="424"/>
      <c r="AM140" s="424"/>
    </row>
    <row r="141" spans="1:39" x14ac:dyDescent="0.2">
      <c r="A141" s="841"/>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row>
    <row r="142" spans="1:39" x14ac:dyDescent="0.2">
      <c r="A142" s="841"/>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row>
    <row r="143" spans="1:39" x14ac:dyDescent="0.2">
      <c r="A143" s="841"/>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row>
    <row r="144" spans="1:39" x14ac:dyDescent="0.2">
      <c r="A144" s="841"/>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row>
    <row r="145" spans="1:39" x14ac:dyDescent="0.2">
      <c r="A145" s="841"/>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row>
    <row r="146" spans="1:39" x14ac:dyDescent="0.2">
      <c r="A146" s="841"/>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row>
    <row r="147" spans="1:39" x14ac:dyDescent="0.2">
      <c r="A147" s="841"/>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row>
    <row r="148" spans="1:39" x14ac:dyDescent="0.2">
      <c r="A148" s="841"/>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row>
    <row r="149" spans="1:39" x14ac:dyDescent="0.2">
      <c r="A149" s="841"/>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row>
    <row r="150" spans="1:39" x14ac:dyDescent="0.2">
      <c r="A150" s="841"/>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row>
    <row r="151" spans="1:39" x14ac:dyDescent="0.2">
      <c r="A151" s="841"/>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row>
    <row r="152" spans="1:39" x14ac:dyDescent="0.2">
      <c r="A152" s="841"/>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row>
    <row r="153" spans="1:39" x14ac:dyDescent="0.2">
      <c r="A153" s="841"/>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row>
    <row r="154" spans="1:39" x14ac:dyDescent="0.2">
      <c r="A154" s="841"/>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row>
    <row r="155" spans="1:39" x14ac:dyDescent="0.2">
      <c r="A155" s="841"/>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row>
    <row r="156" spans="1:39" x14ac:dyDescent="0.2">
      <c r="A156" s="841"/>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row>
    <row r="157" spans="1:39" x14ac:dyDescent="0.2">
      <c r="A157" s="841"/>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row>
    <row r="158" spans="1:39" x14ac:dyDescent="0.2">
      <c r="A158" s="841"/>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row>
    <row r="159" spans="1:39" x14ac:dyDescent="0.2">
      <c r="A159" s="841"/>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row>
    <row r="160" spans="1:39" x14ac:dyDescent="0.2">
      <c r="A160" s="841"/>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row>
    <row r="161" spans="1:39" x14ac:dyDescent="0.2">
      <c r="A161" s="841"/>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row>
    <row r="162" spans="1:39" x14ac:dyDescent="0.2">
      <c r="A162" s="841"/>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row>
    <row r="163" spans="1:39" x14ac:dyDescent="0.2">
      <c r="A163" s="841"/>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row>
    <row r="164" spans="1:39" x14ac:dyDescent="0.2">
      <c r="A164" s="841"/>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row>
    <row r="165" spans="1:39" x14ac:dyDescent="0.2">
      <c r="A165" s="841"/>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row>
    <row r="166" spans="1:39" x14ac:dyDescent="0.2">
      <c r="A166" s="841"/>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row>
    <row r="167" spans="1:39" x14ac:dyDescent="0.2">
      <c r="A167" s="841"/>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row>
    <row r="168" spans="1:39" x14ac:dyDescent="0.2">
      <c r="A168" s="841"/>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row>
    <row r="169" spans="1:39" x14ac:dyDescent="0.2">
      <c r="A169" s="841"/>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row>
    <row r="170" spans="1:39" x14ac:dyDescent="0.2">
      <c r="A170" s="841"/>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row>
    <row r="171" spans="1:39" x14ac:dyDescent="0.2">
      <c r="A171" s="841"/>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row>
    <row r="172" spans="1:39" x14ac:dyDescent="0.2">
      <c r="A172" s="841"/>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row>
    <row r="173" spans="1:39" x14ac:dyDescent="0.2">
      <c r="A173" s="84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row>
    <row r="174" spans="1:39" x14ac:dyDescent="0.2">
      <c r="A174" s="84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row>
    <row r="175" spans="1:39" x14ac:dyDescent="0.2">
      <c r="A175" s="841"/>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row>
    <row r="176" spans="1:39" x14ac:dyDescent="0.2">
      <c r="A176" s="84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row>
    <row r="177" spans="1:39" x14ac:dyDescent="0.2">
      <c r="A177" s="841"/>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row>
    <row r="178" spans="1:39" x14ac:dyDescent="0.2">
      <c r="A178" s="841"/>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row>
    <row r="179" spans="1:39" x14ac:dyDescent="0.2">
      <c r="A179" s="841"/>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row>
    <row r="180" spans="1:39" x14ac:dyDescent="0.2">
      <c r="A180" s="841"/>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row>
    <row r="181" spans="1:39" x14ac:dyDescent="0.2">
      <c r="A181" s="84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row>
    <row r="182" spans="1:39" x14ac:dyDescent="0.2">
      <c r="A182" s="84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row>
    <row r="183" spans="1:39" x14ac:dyDescent="0.2">
      <c r="A183" s="84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row>
    <row r="184" spans="1:39" x14ac:dyDescent="0.2">
      <c r="A184" s="84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row>
    <row r="185" spans="1:39" x14ac:dyDescent="0.2">
      <c r="A185" s="841"/>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row>
    <row r="186" spans="1:39" x14ac:dyDescent="0.2">
      <c r="A186" s="841"/>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row>
    <row r="187" spans="1:39" x14ac:dyDescent="0.2">
      <c r="A187" s="841"/>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row>
    <row r="188" spans="1:39" x14ac:dyDescent="0.2">
      <c r="A188" s="841"/>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row>
    <row r="189" spans="1:39" x14ac:dyDescent="0.2">
      <c r="A189" s="84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row>
    <row r="190" spans="1:39" x14ac:dyDescent="0.2">
      <c r="A190" s="84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row>
    <row r="191" spans="1:39" x14ac:dyDescent="0.2">
      <c r="A191" s="841"/>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row>
    <row r="192" spans="1:39" x14ac:dyDescent="0.2">
      <c r="A192" s="84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row>
    <row r="193" spans="1:39" x14ac:dyDescent="0.2">
      <c r="A193" s="841"/>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row>
    <row r="194" spans="1:39" x14ac:dyDescent="0.2">
      <c r="A194" s="841"/>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row>
    <row r="195" spans="1:39" x14ac:dyDescent="0.2">
      <c r="A195" s="841"/>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row>
    <row r="196" spans="1:39" x14ac:dyDescent="0.2">
      <c r="A196" s="841"/>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row>
    <row r="197" spans="1:39" x14ac:dyDescent="0.2">
      <c r="A197" s="84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row>
    <row r="198" spans="1:39" x14ac:dyDescent="0.2">
      <c r="A198" s="84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row>
    <row r="199" spans="1:39" x14ac:dyDescent="0.2">
      <c r="A199" s="841"/>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row>
    <row r="200" spans="1:39" x14ac:dyDescent="0.2">
      <c r="A200" s="84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row>
    <row r="201" spans="1:39" x14ac:dyDescent="0.2">
      <c r="A201" s="84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row>
    <row r="202" spans="1:39" x14ac:dyDescent="0.2">
      <c r="A202" s="841"/>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row>
    <row r="203" spans="1:39" x14ac:dyDescent="0.2">
      <c r="A203" s="841"/>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row>
    <row r="204" spans="1:39" x14ac:dyDescent="0.2">
      <c r="A204" s="841"/>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row>
    <row r="205" spans="1:39" x14ac:dyDescent="0.2">
      <c r="A205" s="84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row>
    <row r="206" spans="1:39" x14ac:dyDescent="0.2">
      <c r="A206" s="84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row>
    <row r="207" spans="1:39" x14ac:dyDescent="0.2">
      <c r="A207" s="841"/>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row>
    <row r="208" spans="1:39" x14ac:dyDescent="0.2">
      <c r="A208" s="84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row>
    <row r="209" spans="1:39" x14ac:dyDescent="0.2">
      <c r="A209" s="84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row>
    <row r="210" spans="1:39" x14ac:dyDescent="0.2">
      <c r="A210" s="841"/>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row>
    <row r="211" spans="1:39" x14ac:dyDescent="0.2">
      <c r="A211" s="841"/>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row>
    <row r="212" spans="1:39" x14ac:dyDescent="0.2">
      <c r="A212" s="841"/>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row>
    <row r="213" spans="1:39" x14ac:dyDescent="0.2">
      <c r="A213" s="84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row>
    <row r="1048570" spans="22:30" x14ac:dyDescent="0.2">
      <c r="V1048570" s="3"/>
      <c r="W1048570" s="3"/>
      <c r="X1048570" s="3"/>
      <c r="Y1048570" s="3"/>
      <c r="Z1048570" s="3"/>
      <c r="AA1048570" s="3"/>
      <c r="AB1048570" s="3"/>
      <c r="AC1048570" s="3"/>
      <c r="AD1048570" s="3"/>
    </row>
  </sheetData>
  <sheetProtection algorithmName="SHA-512" hashValue="NNeM/c7dvetOWDKiTkQAIhToTQsH6KNGf2OxmDb9OiDlqDzKOxmQJ7qLzi0R5Pl9VMDdN4JXUJ9zAymvBW91jw==" saltValue="EmTzhYF8XLrj+tmM2riTmg==" spinCount="100000" sheet="1" formatColumns="0" formatRows="0"/>
  <phoneticPr fontId="12" type="noConversion"/>
  <conditionalFormatting sqref="B3">
    <cfRule type="cellIs" dxfId="13" priority="33" operator="equal">
      <formula>0</formula>
    </cfRule>
  </conditionalFormatting>
  <dataValidations xWindow="719" yWindow="627" count="8">
    <dataValidation type="whole" allowBlank="1" showErrorMessage="1" errorTitle="Invalid number" error="Please round your entry to the nearest whole number." promptTitle="Income Adjustment" prompt="Crown Land adjustment claimed plus income lost due to the 20% Farmland limit, recovered as an income adjustmenmt." sqref="K73">
      <formula1>0</formula1>
      <formula2>100000000</formula2>
    </dataValidation>
    <dataValidation allowBlank="1" showInputMessage="1" showErrorMessage="1" errorTitle="Invalid number" error="Please round your entry to the nearest whole number." promptTitle="Income Adjustment" sqref="K72"/>
    <dataValidation type="whole" allowBlank="1" showInputMessage="1" showErrorMessage="1" errorTitle="Invalid number" error="Please round your entry to the nearest whole number." sqref="K70 K40">
      <formula1>-10000000</formula1>
      <formula2>100000000</formula2>
    </dataValidation>
    <dataValidation type="whole" allowBlank="1" showInputMessage="1" showErrorMessage="1" errorTitle="Invalid number" error="This amount must be a negative whole number." sqref="K71 K41">
      <formula1>-10000000</formula1>
      <formula2>0</formula2>
    </dataValidation>
    <dataValidation type="whole" allowBlank="1" showInputMessage="1" showErrorMessage="1" errorTitle="Invalid number" error="The amount must be a negative whole number." sqref="K58 K27">
      <formula1>-100000000</formula1>
      <formula2>0</formula2>
    </dataValidation>
    <dataValidation allowBlank="1" showInputMessage="1" showErrorMessage="1" promptTitle="Permissible GI vs Notional GI" prompt="Permissible General Income (PGI) reflects the impact of catchups or excess amounts that councils must adjust their income for. PGI may not match the level of Notional General Income (NGI) calculated on WS3. NGI should be equal to or less than the PGI. " sqref="K74"/>
    <dataValidation errorStyle="warning" allowBlank="1" showInputMessage="1" showErrorMessage="1" errorTitle="Expiring variation amount" error="The expiring variation amount must be entered as a whole negative number." sqref="K131:Q132 K96:Q96 K136:Q140 K119:Q121"/>
    <dataValidation allowBlank="1" showInputMessage="1" showErrorMessage="1" errorTitle="Invalid number" error="The amount must be a negative whole number." sqref="K26"/>
  </dataValidations>
  <printOptions horizontalCentered="1"/>
  <pageMargins left="0.70866141732283472" right="0.74803149606299213" top="0.78740157480314965" bottom="0.98425196850393704" header="0.51181102362204722" footer="0.51181102362204722"/>
  <pageSetup paperSize="9" scale="66" fitToHeight="3" orientation="landscape" r:id="rId1"/>
  <headerFooter alignWithMargins="0">
    <oddHeader>&amp;C&amp;"Calibri"&amp;10&amp;KFF0000 UNOFFICIAL&amp;1#_x000D_</oddHeader>
    <oddFooter>&amp;C_x000D_&amp;1#&amp;"Calibri"&amp;10&amp;KFF0000 UNOFFICIAL</oddFooter>
  </headerFooter>
  <cellWatches>
    <cellWatch r="K58"/>
  </cellWatches>
  <extLst>
    <ext xmlns:x14="http://schemas.microsoft.com/office/spreadsheetml/2009/9/main" uri="{78C0D931-6437-407d-A8EE-F0AAD7539E65}">
      <x14:conditionalFormattings>
        <x14:conditionalFormatting xmlns:xm="http://schemas.microsoft.com/office/excel/2006/main">
          <x14:cfRule type="expression" priority="3" id="{F4CB230C-7093-4622-9E86-BBE4CEA39D35}">
            <xm:f>'WS2-Proposal'!K$73+'WS2-Proposal'!K$76=0</xm:f>
            <x14:dxf>
              <font>
                <b/>
                <i val="0"/>
                <strike val="0"/>
                <color theme="0" tint="-0.24994659260841701"/>
              </font>
              <fill>
                <patternFill>
                  <bgColor theme="0"/>
                </patternFill>
              </fill>
            </x14:dxf>
          </x14:cfRule>
          <xm:sqref>K98:Q98</xm:sqref>
        </x14:conditionalFormatting>
        <x14:conditionalFormatting xmlns:xm="http://schemas.microsoft.com/office/excel/2006/main">
          <x14:cfRule type="expression" priority="1" id="{F1114105-8383-420D-B8B1-460D3904B416}">
            <xm:f>'WS2-Proposal'!J$73+'WS2-Proposal'!J$76=0</xm:f>
            <x14:dxf>
              <font>
                <color theme="0" tint="-0.34998626667073579"/>
              </font>
            </x14:dxf>
          </x14:cfRule>
          <xm:sqref>K119:S140 J81:Q82 K85:Q96 K102:Q108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EO490"/>
  <sheetViews>
    <sheetView showGridLines="0" topLeftCell="A13" zoomScaleNormal="100" workbookViewId="0">
      <selection activeCell="C18" sqref="C18"/>
    </sheetView>
  </sheetViews>
  <sheetFormatPr defaultColWidth="9.140625" defaultRowHeight="12" outlineLevelCol="1" x14ac:dyDescent="0.2"/>
  <cols>
    <col min="1" max="1" width="2.7109375" style="621" customWidth="1"/>
    <col min="2" max="2" width="12.42578125" customWidth="1"/>
    <col min="3" max="3" width="26.140625" customWidth="1"/>
    <col min="4" max="4" width="14.140625" customWidth="1"/>
    <col min="5" max="9" width="2.7109375" hidden="1" customWidth="1" outlineLevel="1"/>
    <col min="10" max="10" width="12.7109375" style="14" customWidth="1" collapsed="1"/>
    <col min="11" max="11" width="12.7109375" style="14" customWidth="1"/>
    <col min="12" max="17" width="12.7109375" customWidth="1"/>
    <col min="18" max="18" width="3.85546875" customWidth="1"/>
    <col min="19" max="19" width="3.7109375" customWidth="1"/>
    <col min="20" max="20" width="14" customWidth="1"/>
    <col min="21" max="21" width="12.85546875" customWidth="1"/>
    <col min="22" max="22" width="8.85546875" customWidth="1"/>
    <col min="23" max="23" width="2.140625" customWidth="1"/>
    <col min="24" max="24" width="8.140625" customWidth="1"/>
    <col min="25" max="28" width="7.85546875" bestFit="1" customWidth="1"/>
    <col min="29" max="29" width="7.42578125" customWidth="1"/>
    <col min="30" max="30" width="16.140625" customWidth="1"/>
    <col min="31" max="31" width="1.140625" customWidth="1"/>
    <col min="32" max="33" width="7.42578125" customWidth="1"/>
    <col min="34" max="34" width="8.42578125" bestFit="1" customWidth="1"/>
    <col min="35" max="36" width="7.42578125" customWidth="1"/>
    <col min="37" max="37" width="8.42578125" bestFit="1" customWidth="1"/>
    <col min="38" max="38" width="15.140625" customWidth="1"/>
    <col min="39" max="39" width="2.42578125" customWidth="1"/>
    <col min="40" max="40" width="12.140625" customWidth="1"/>
    <col min="41" max="41" width="12" customWidth="1"/>
    <col min="42" max="42" width="12.140625" customWidth="1"/>
    <col min="43" max="43" width="10.85546875" customWidth="1"/>
    <col min="44" max="45" width="8.140625" customWidth="1"/>
    <col min="46" max="46" width="15.85546875" customWidth="1"/>
    <col min="47" max="47" width="1.42578125" customWidth="1"/>
    <col min="48" max="48" width="12.42578125" customWidth="1"/>
    <col min="49" max="49" width="13.140625" customWidth="1"/>
    <col min="50" max="50" width="11.42578125" customWidth="1"/>
    <col min="51" max="51" width="10.42578125" customWidth="1"/>
    <col min="52" max="52" width="12" customWidth="1"/>
    <col min="53" max="53" width="9.85546875" customWidth="1"/>
    <col min="54" max="54" width="13.7109375" customWidth="1"/>
    <col min="55" max="55" width="1.28515625" customWidth="1"/>
    <col min="56" max="60" width="7.42578125" customWidth="1"/>
  </cols>
  <sheetData>
    <row r="1" spans="1:63" ht="12.75" thickBot="1" x14ac:dyDescent="0.25">
      <c r="A1" s="620">
        <v>7</v>
      </c>
      <c r="B1" s="3"/>
      <c r="C1" s="3"/>
      <c r="D1" s="3"/>
      <c r="E1" s="3"/>
      <c r="F1" s="3"/>
      <c r="G1" s="3"/>
      <c r="H1" s="3"/>
      <c r="I1" s="3"/>
      <c r="J1" s="16"/>
      <c r="K1" s="16"/>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row>
    <row r="2" spans="1:63" s="58" customFormat="1" ht="15.75" x14ac:dyDescent="0.25">
      <c r="A2" s="620"/>
      <c r="B2" s="1549" t="str">
        <f>'WS1-Application'!B2</f>
        <v>APPLICATION FOR SPECIAL VARIATION - WILLOUGHBY CITY COUNCIL</v>
      </c>
      <c r="C2" s="1550"/>
      <c r="D2" s="1550"/>
      <c r="E2" s="1550"/>
      <c r="F2" s="1550"/>
      <c r="G2" s="1550"/>
      <c r="H2" s="1550"/>
      <c r="I2" s="1550"/>
      <c r="J2" s="1550"/>
      <c r="K2" s="1550"/>
      <c r="L2" s="1550"/>
      <c r="M2" s="1550"/>
      <c r="N2" s="1550"/>
      <c r="O2" s="1550"/>
      <c r="P2" s="1550"/>
      <c r="Q2" s="1550"/>
      <c r="R2" s="1550"/>
      <c r="S2" s="1550"/>
      <c r="T2" s="1550"/>
      <c r="U2" s="1550"/>
      <c r="V2" s="1551"/>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49"/>
      <c r="BJ2" s="49"/>
      <c r="BK2" s="49"/>
    </row>
    <row r="3" spans="1:63" s="58" customFormat="1" ht="15" x14ac:dyDescent="0.2">
      <c r="A3" s="620"/>
      <c r="B3" s="1574"/>
      <c r="C3" s="1494"/>
      <c r="D3" s="1562"/>
      <c r="E3" s="1562"/>
      <c r="F3" s="1562"/>
      <c r="G3" s="1562"/>
      <c r="H3" s="1562"/>
      <c r="I3" s="1562"/>
      <c r="J3" s="1575"/>
      <c r="K3" s="1575"/>
      <c r="L3" s="1562"/>
      <c r="M3" s="1576"/>
      <c r="N3" s="1576"/>
      <c r="O3" s="1576"/>
      <c r="P3" s="1494"/>
      <c r="Q3" s="1576"/>
      <c r="R3" s="1576"/>
      <c r="S3" s="1576"/>
      <c r="T3" s="1576"/>
      <c r="U3" s="1576"/>
      <c r="V3" s="1577"/>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49"/>
      <c r="BJ3" s="49"/>
      <c r="BK3" s="49"/>
    </row>
    <row r="4" spans="1:63" s="58" customFormat="1" ht="16.5" thickBot="1" x14ac:dyDescent="0.3">
      <c r="A4" s="620"/>
      <c r="B4" s="1553" t="str">
        <f>"WORKSHEET "&amp;A1&amp;": IMPACT ON MINIMUM RATES, AVERAGE RATES AND OTHER CHARGES"</f>
        <v>WORKSHEET 7: IMPACT ON MINIMUM RATES, AVERAGE RATES AND OTHER CHARGES</v>
      </c>
      <c r="C4" s="1554"/>
      <c r="D4" s="1554"/>
      <c r="E4" s="1554"/>
      <c r="F4" s="1554"/>
      <c r="G4" s="1554"/>
      <c r="H4" s="1554"/>
      <c r="I4" s="1554"/>
      <c r="J4" s="1554"/>
      <c r="K4" s="1554"/>
      <c r="L4" s="1554"/>
      <c r="M4" s="1554"/>
      <c r="N4" s="1554"/>
      <c r="O4" s="1554"/>
      <c r="P4" s="1554"/>
      <c r="Q4" s="1554"/>
      <c r="R4" s="1554"/>
      <c r="S4" s="1554"/>
      <c r="T4" s="1554"/>
      <c r="U4" s="1554"/>
      <c r="V4" s="1560"/>
      <c r="W4" s="3"/>
      <c r="X4" s="3"/>
      <c r="Y4" s="82"/>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49"/>
      <c r="BJ4" s="49"/>
      <c r="BK4" s="49"/>
    </row>
    <row r="5" spans="1:63" s="58" customFormat="1" ht="12" customHeight="1" x14ac:dyDescent="0.2">
      <c r="A5" s="620"/>
      <c r="B5" s="3"/>
      <c r="C5" s="3"/>
      <c r="D5" s="3"/>
      <c r="E5" s="3"/>
      <c r="F5" s="3"/>
      <c r="G5" s="3"/>
      <c r="H5" s="3"/>
      <c r="I5" s="3"/>
      <c r="J5" s="16"/>
      <c r="K5" s="16"/>
      <c r="L5" s="3"/>
      <c r="M5" s="3"/>
      <c r="N5" s="3"/>
      <c r="O5" s="3"/>
      <c r="P5" s="49"/>
      <c r="Q5" s="3"/>
      <c r="R5" s="3"/>
      <c r="S5" s="3"/>
      <c r="T5" s="3"/>
      <c r="U5" s="3"/>
      <c r="V5" s="49"/>
      <c r="W5" s="3"/>
      <c r="X5" s="3"/>
      <c r="Y5" s="82"/>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49"/>
      <c r="BJ5" s="49"/>
      <c r="BK5" s="49"/>
    </row>
    <row r="6" spans="1:63" s="58" customFormat="1" ht="12" customHeight="1" x14ac:dyDescent="0.2">
      <c r="A6" s="620"/>
      <c r="B6" s="3"/>
      <c r="C6" s="3"/>
      <c r="D6" s="3"/>
      <c r="E6" s="3"/>
      <c r="F6" s="3"/>
      <c r="G6" s="3"/>
      <c r="H6" s="3"/>
      <c r="I6" s="3"/>
      <c r="J6" s="16"/>
      <c r="K6" s="16"/>
      <c r="L6" s="3"/>
      <c r="M6" s="3"/>
      <c r="N6" s="3"/>
      <c r="O6" s="3"/>
      <c r="P6" s="49"/>
      <c r="Q6" s="3"/>
      <c r="R6" s="3"/>
      <c r="S6" s="3"/>
      <c r="T6" s="3"/>
      <c r="U6" s="3"/>
      <c r="V6" s="49"/>
      <c r="W6" s="3"/>
      <c r="X6" s="3"/>
      <c r="Y6" s="82"/>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49"/>
      <c r="BJ6" s="49"/>
      <c r="BK6" s="49"/>
    </row>
    <row r="7" spans="1:63" s="58" customFormat="1" ht="15.75" x14ac:dyDescent="0.25">
      <c r="A7" s="627"/>
      <c r="B7" s="461" t="s">
        <v>496</v>
      </c>
      <c r="C7" s="22"/>
      <c r="D7" s="22"/>
      <c r="E7" s="22"/>
      <c r="F7" s="22"/>
      <c r="G7" s="22"/>
      <c r="H7" s="22"/>
      <c r="I7" s="22"/>
      <c r="J7" s="194"/>
      <c r="L7" s="22"/>
      <c r="M7" s="22"/>
      <c r="N7" s="22"/>
      <c r="O7" s="22"/>
      <c r="P7" s="49"/>
      <c r="Q7" s="22"/>
      <c r="R7" s="22"/>
      <c r="S7" s="4"/>
      <c r="T7" s="4"/>
      <c r="U7" s="4"/>
      <c r="V7" s="49"/>
      <c r="W7" s="4"/>
      <c r="X7" s="4"/>
      <c r="Y7" s="82"/>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9"/>
      <c r="BJ7" s="49"/>
      <c r="BK7" s="49"/>
    </row>
    <row r="8" spans="1:63" s="58" customFormat="1" ht="15.75" customHeight="1" x14ac:dyDescent="0.2">
      <c r="A8" s="620"/>
      <c r="B8" s="950" t="s">
        <v>663</v>
      </c>
      <c r="C8" s="944"/>
      <c r="D8" s="141"/>
      <c r="E8" s="141"/>
      <c r="F8" s="141"/>
      <c r="G8" s="141"/>
      <c r="H8" s="141"/>
      <c r="I8" s="141"/>
      <c r="J8" s="962"/>
      <c r="K8" s="962"/>
      <c r="L8" s="990"/>
      <c r="M8" s="990"/>
      <c r="N8" s="990"/>
      <c r="O8" s="990"/>
      <c r="P8" s="990"/>
      <c r="Q8" s="990"/>
      <c r="R8" s="990"/>
      <c r="S8" s="141"/>
      <c r="T8" s="141"/>
      <c r="U8" s="141"/>
      <c r="V8" s="987"/>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49"/>
      <c r="BJ8" s="49"/>
      <c r="BK8" s="49"/>
    </row>
    <row r="9" spans="1:63" s="58" customFormat="1" ht="15.75" customHeight="1" x14ac:dyDescent="0.2">
      <c r="A9" s="620"/>
      <c r="B9" s="299" t="s">
        <v>664</v>
      </c>
      <c r="D9" s="3"/>
      <c r="E9" s="3"/>
      <c r="F9" s="3"/>
      <c r="G9" s="3"/>
      <c r="H9" s="3"/>
      <c r="I9" s="3"/>
      <c r="J9" s="39"/>
      <c r="K9" s="39"/>
      <c r="L9" s="63"/>
      <c r="M9" s="63"/>
      <c r="N9" s="63"/>
      <c r="O9" s="63"/>
      <c r="P9" s="63"/>
      <c r="Q9" s="63"/>
      <c r="R9" s="63"/>
      <c r="S9" s="3"/>
      <c r="T9" s="3"/>
      <c r="U9" s="3"/>
      <c r="V9" s="988"/>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49"/>
      <c r="BJ9" s="49"/>
      <c r="BK9" s="49"/>
    </row>
    <row r="10" spans="1:63" s="69" customFormat="1" ht="15.75" customHeight="1" x14ac:dyDescent="0.2">
      <c r="A10" s="620"/>
      <c r="B10" s="581" t="s">
        <v>665</v>
      </c>
      <c r="C10" s="576"/>
      <c r="D10" s="576"/>
      <c r="E10" s="576"/>
      <c r="F10" s="576"/>
      <c r="G10" s="576"/>
      <c r="H10" s="576"/>
      <c r="I10" s="576"/>
      <c r="J10" s="577"/>
      <c r="K10" s="573"/>
      <c r="L10" s="576"/>
      <c r="M10" s="576"/>
      <c r="N10" s="3"/>
      <c r="O10" s="3"/>
      <c r="P10" s="3"/>
      <c r="Q10" s="81"/>
      <c r="R10" s="645"/>
      <c r="S10" s="81"/>
      <c r="T10" s="3"/>
      <c r="U10" s="3"/>
      <c r="V10" s="991"/>
      <c r="W10" s="81"/>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81"/>
      <c r="BD10" s="81"/>
      <c r="BE10" s="81"/>
      <c r="BF10" s="81"/>
      <c r="BG10" s="81"/>
      <c r="BH10" s="81"/>
      <c r="BI10" s="424"/>
      <c r="BJ10" s="424"/>
      <c r="BK10" s="424"/>
    </row>
    <row r="11" spans="1:63" s="69" customFormat="1" ht="15.75" customHeight="1" x14ac:dyDescent="0.2">
      <c r="A11" s="620"/>
      <c r="B11" s="581" t="str">
        <f>"&gt; "&amp;" Table "&amp;A1&amp;"."&amp;A25&amp;" Minimum rates: Enter in the minimum rates per category/sub-category as if the SV (or MR increase) were approved for each year as requested."</f>
        <v>&gt;  Table 7.1 Minimum rates: Enter in the minimum rates per category/sub-category as if the SV (or MR increase) were approved for each year as requested.</v>
      </c>
      <c r="C11" s="576"/>
      <c r="D11" s="576"/>
      <c r="E11" s="576"/>
      <c r="F11" s="576"/>
      <c r="G11" s="576"/>
      <c r="H11" s="576"/>
      <c r="I11" s="576"/>
      <c r="J11" s="577"/>
      <c r="K11" s="573"/>
      <c r="L11" s="576"/>
      <c r="M11" s="576"/>
      <c r="N11" s="3"/>
      <c r="O11" s="3"/>
      <c r="P11" s="3"/>
      <c r="Q11" s="81"/>
      <c r="R11" s="645"/>
      <c r="S11" s="81"/>
      <c r="T11" s="3"/>
      <c r="U11" s="3"/>
      <c r="V11" s="991"/>
      <c r="W11" s="81"/>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81"/>
      <c r="BD11" s="81"/>
      <c r="BE11" s="81"/>
      <c r="BF11" s="81"/>
      <c r="BG11" s="81"/>
      <c r="BH11" s="81"/>
      <c r="BI11" s="424"/>
      <c r="BJ11" s="424"/>
      <c r="BK11" s="424"/>
    </row>
    <row r="12" spans="1:63" s="69" customFormat="1" ht="15.75" customHeight="1" x14ac:dyDescent="0.2">
      <c r="A12" s="620"/>
      <c r="B12" s="607" t="s">
        <v>666</v>
      </c>
      <c r="C12" s="576"/>
      <c r="D12" s="576"/>
      <c r="E12" s="576"/>
      <c r="F12" s="576"/>
      <c r="G12" s="576"/>
      <c r="H12" s="576"/>
      <c r="I12" s="576"/>
      <c r="J12" s="577"/>
      <c r="K12" s="573"/>
      <c r="L12" s="576"/>
      <c r="M12" s="576"/>
      <c r="N12" s="3"/>
      <c r="O12" s="3"/>
      <c r="P12" s="3"/>
      <c r="Q12" s="81"/>
      <c r="R12" s="645"/>
      <c r="S12" s="81"/>
      <c r="T12" s="3"/>
      <c r="U12" s="3"/>
      <c r="V12" s="991"/>
      <c r="W12" s="81"/>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81"/>
      <c r="BD12" s="81"/>
      <c r="BE12" s="81"/>
      <c r="BF12" s="81"/>
      <c r="BG12" s="81"/>
      <c r="BH12" s="81"/>
      <c r="BI12" s="424"/>
      <c r="BJ12" s="424"/>
      <c r="BK12" s="424"/>
    </row>
    <row r="13" spans="1:63" s="69" customFormat="1" ht="15.75" customHeight="1" x14ac:dyDescent="0.2">
      <c r="A13" s="620"/>
      <c r="B13" s="581" t="str">
        <f>"&gt; Ordinary and Special Average Rates: Enter in the average rates per sub-category as if the proposed SV (or MR increase) were approved for each year as requested at table "&amp;A1&amp;"."&amp;A98</f>
        <v>&gt; Ordinary and Special Average Rates: Enter in the average rates per sub-category as if the proposed SV (or MR increase) were approved for each year as requested at table 7.2</v>
      </c>
      <c r="C13" s="576"/>
      <c r="D13" s="576"/>
      <c r="E13" s="576"/>
      <c r="F13" s="576"/>
      <c r="G13" s="576"/>
      <c r="H13" s="576"/>
      <c r="I13" s="576"/>
      <c r="J13" s="577"/>
      <c r="K13" s="573"/>
      <c r="L13" s="576"/>
      <c r="M13" s="576"/>
      <c r="N13" s="3"/>
      <c r="O13" s="3"/>
      <c r="P13" s="3"/>
      <c r="Q13" s="81"/>
      <c r="R13" s="645"/>
      <c r="S13" s="81"/>
      <c r="T13" s="3"/>
      <c r="U13" s="3"/>
      <c r="V13" s="991"/>
      <c r="W13" s="81"/>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81"/>
      <c r="BD13" s="81"/>
      <c r="BE13" s="81"/>
      <c r="BF13" s="81"/>
      <c r="BG13" s="81"/>
      <c r="BH13" s="81"/>
      <c r="BI13" s="424"/>
      <c r="BJ13" s="424"/>
      <c r="BK13" s="424"/>
    </row>
    <row r="14" spans="1:63" s="69" customFormat="1" ht="15.75" customHeight="1" x14ac:dyDescent="0.2">
      <c r="A14" s="620"/>
      <c r="B14" s="581" t="str">
        <f>" And enter the average rates as if the proposed SV (or MR increase) were not approved (only the rate peg would then apply) at table "&amp;A1&amp;"."&amp;A222</f>
        <v xml:space="preserve"> And enter the average rates as if the proposed SV (or MR increase) were not approved (only the rate peg would then apply) at table 7.3</v>
      </c>
      <c r="C14" s="576"/>
      <c r="D14" s="576"/>
      <c r="E14" s="576"/>
      <c r="F14" s="576"/>
      <c r="G14" s="576"/>
      <c r="H14" s="576"/>
      <c r="I14" s="576"/>
      <c r="J14" s="577"/>
      <c r="K14" s="573"/>
      <c r="L14" s="576"/>
      <c r="M14" s="576"/>
      <c r="N14" s="3"/>
      <c r="O14" s="3"/>
      <c r="P14" s="3"/>
      <c r="Q14" s="81"/>
      <c r="R14" s="645"/>
      <c r="S14" s="81"/>
      <c r="T14" s="3"/>
      <c r="U14" s="3"/>
      <c r="V14" s="991"/>
      <c r="W14" s="81"/>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81"/>
      <c r="BD14" s="81"/>
      <c r="BE14" s="81"/>
      <c r="BF14" s="81"/>
      <c r="BG14" s="81"/>
      <c r="BH14" s="81"/>
      <c r="BI14" s="424"/>
      <c r="BJ14" s="424"/>
      <c r="BK14" s="424"/>
    </row>
    <row r="15" spans="1:63" s="58" customFormat="1" ht="5.25" customHeight="1" x14ac:dyDescent="0.2">
      <c r="A15" s="620"/>
      <c r="B15" s="299"/>
      <c r="D15" s="3"/>
      <c r="E15" s="3"/>
      <c r="F15" s="3"/>
      <c r="G15" s="3"/>
      <c r="H15" s="3"/>
      <c r="I15" s="3"/>
      <c r="J15" s="39"/>
      <c r="K15" s="39"/>
      <c r="L15" s="63"/>
      <c r="M15" s="63"/>
      <c r="N15" s="63"/>
      <c r="O15" s="63"/>
      <c r="P15" s="63"/>
      <c r="Q15" s="63"/>
      <c r="R15" s="63"/>
      <c r="S15" s="3"/>
      <c r="T15" s="3"/>
      <c r="U15" s="3"/>
      <c r="V15" s="988"/>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49"/>
      <c r="BJ15" s="49"/>
      <c r="BK15" s="49"/>
    </row>
    <row r="16" spans="1:63" s="58" customFormat="1" ht="15.75" customHeight="1" x14ac:dyDescent="0.2">
      <c r="A16" s="620"/>
      <c r="B16" s="685" t="s">
        <v>499</v>
      </c>
      <c r="D16" s="3"/>
      <c r="E16" s="3"/>
      <c r="F16" s="3"/>
      <c r="G16" s="3"/>
      <c r="H16" s="3"/>
      <c r="I16" s="3"/>
      <c r="J16" s="39"/>
      <c r="K16" s="39"/>
      <c r="L16" s="63"/>
      <c r="M16" s="63"/>
      <c r="N16" s="63"/>
      <c r="O16" s="63"/>
      <c r="P16" s="63"/>
      <c r="Q16" s="63"/>
      <c r="R16" s="63"/>
      <c r="S16" s="3"/>
      <c r="T16" s="3"/>
      <c r="U16" s="3"/>
      <c r="V16" s="988"/>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49"/>
      <c r="BJ16" s="49"/>
      <c r="BK16" s="49"/>
    </row>
    <row r="17" spans="1:145" s="58" customFormat="1" ht="15.75" x14ac:dyDescent="0.25">
      <c r="A17" s="627"/>
      <c r="B17" s="581" t="s">
        <v>667</v>
      </c>
      <c r="C17" s="49"/>
      <c r="D17" s="49"/>
      <c r="E17" s="49"/>
      <c r="F17" s="49"/>
      <c r="G17" s="49"/>
      <c r="H17" s="49"/>
      <c r="I17" s="49"/>
      <c r="J17" s="59"/>
      <c r="L17" s="4"/>
      <c r="M17" s="4"/>
      <c r="N17" s="4"/>
      <c r="O17" s="38"/>
      <c r="P17" s="82"/>
      <c r="Q17" s="49"/>
      <c r="R17" s="49"/>
      <c r="S17" s="49"/>
      <c r="T17" s="49"/>
      <c r="U17" s="49"/>
      <c r="V17" s="988"/>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row>
    <row r="18" spans="1:145" s="69" customFormat="1" ht="15.75" customHeight="1" x14ac:dyDescent="0.2">
      <c r="A18" s="620"/>
      <c r="B18" s="581" t="s">
        <v>960</v>
      </c>
      <c r="C18" s="576"/>
      <c r="D18" s="576"/>
      <c r="E18" s="576"/>
      <c r="F18" s="576"/>
      <c r="G18" s="576"/>
      <c r="H18" s="576"/>
      <c r="I18" s="576"/>
      <c r="J18" s="577"/>
      <c r="K18" s="573"/>
      <c r="L18" s="576"/>
      <c r="M18" s="576"/>
      <c r="N18" s="3"/>
      <c r="O18" s="3"/>
      <c r="P18" s="3"/>
      <c r="Q18" s="81"/>
      <c r="R18" s="645"/>
      <c r="S18" s="81"/>
      <c r="T18" s="3"/>
      <c r="U18" s="3"/>
      <c r="V18" s="991"/>
      <c r="W18" s="81"/>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81"/>
      <c r="BD18" s="81"/>
      <c r="BE18" s="81"/>
      <c r="BF18" s="81"/>
      <c r="BG18" s="81"/>
      <c r="BH18" s="81"/>
      <c r="BI18" s="424"/>
      <c r="BJ18" s="424"/>
      <c r="BK18" s="424"/>
    </row>
    <row r="19" spans="1:145" s="69" customFormat="1" ht="15.75" customHeight="1" x14ac:dyDescent="0.2">
      <c r="A19" s="620"/>
      <c r="B19" s="581" t="s">
        <v>961</v>
      </c>
      <c r="C19" s="576"/>
      <c r="D19" s="576"/>
      <c r="E19" s="576"/>
      <c r="F19" s="576"/>
      <c r="G19" s="576"/>
      <c r="H19" s="576"/>
      <c r="I19" s="576"/>
      <c r="J19" s="577"/>
      <c r="K19" s="573"/>
      <c r="L19" s="576"/>
      <c r="M19" s="576"/>
      <c r="N19" s="3"/>
      <c r="O19" s="3"/>
      <c r="P19" s="3"/>
      <c r="Q19" s="81"/>
      <c r="R19" s="645"/>
      <c r="S19" s="81"/>
      <c r="T19" s="3"/>
      <c r="U19" s="3"/>
      <c r="V19" s="991"/>
      <c r="W19" s="81"/>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81"/>
      <c r="BD19" s="81"/>
      <c r="BE19" s="81"/>
      <c r="BF19" s="81"/>
      <c r="BG19" s="81"/>
      <c r="BH19" s="81"/>
      <c r="BI19" s="424"/>
      <c r="BJ19" s="424"/>
      <c r="BK19" s="424"/>
    </row>
    <row r="20" spans="1:145" ht="15.75" customHeight="1" x14ac:dyDescent="0.2">
      <c r="A20" s="620"/>
      <c r="B20" s="673" t="s">
        <v>962</v>
      </c>
      <c r="C20" s="573"/>
      <c r="D20" s="574"/>
      <c r="E20" s="574"/>
      <c r="F20" s="574"/>
      <c r="G20" s="574"/>
      <c r="H20" s="574"/>
      <c r="I20" s="574"/>
      <c r="J20" s="575"/>
      <c r="K20" s="575"/>
      <c r="L20" s="77"/>
      <c r="M20" s="77"/>
      <c r="N20" s="63"/>
      <c r="O20" s="63"/>
      <c r="P20" s="63"/>
      <c r="Q20" s="63"/>
      <c r="R20" s="63"/>
      <c r="S20" s="3"/>
      <c r="T20" s="3"/>
      <c r="U20" s="3"/>
      <c r="V20" s="988"/>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row>
    <row r="21" spans="1:145" ht="14.25" customHeight="1" x14ac:dyDescent="0.2">
      <c r="A21" s="620"/>
      <c r="B21" s="581" t="s">
        <v>668</v>
      </c>
      <c r="C21" s="573"/>
      <c r="D21" s="576"/>
      <c r="E21" s="576"/>
      <c r="F21" s="576"/>
      <c r="G21" s="576"/>
      <c r="H21" s="576"/>
      <c r="I21" s="576"/>
      <c r="J21" s="577"/>
      <c r="K21" s="577"/>
      <c r="L21" s="576"/>
      <c r="M21" s="576"/>
      <c r="N21" s="3"/>
      <c r="O21" s="3"/>
      <c r="P21" s="3"/>
      <c r="Q21" s="3"/>
      <c r="R21" s="3"/>
      <c r="S21" s="3"/>
      <c r="T21" s="3"/>
      <c r="U21" s="3"/>
      <c r="V21" s="568"/>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row>
    <row r="22" spans="1:145" s="69" customFormat="1" ht="15.75" customHeight="1" x14ac:dyDescent="0.2">
      <c r="A22" s="620"/>
      <c r="B22" s="992"/>
      <c r="C22" s="654"/>
      <c r="D22" s="654"/>
      <c r="E22" s="654"/>
      <c r="F22" s="654"/>
      <c r="G22" s="654"/>
      <c r="H22" s="654"/>
      <c r="I22" s="654"/>
      <c r="J22" s="993"/>
      <c r="K22" s="994"/>
      <c r="L22" s="654"/>
      <c r="M22" s="654"/>
      <c r="N22" s="140"/>
      <c r="O22" s="140"/>
      <c r="P22" s="140"/>
      <c r="Q22" s="995"/>
      <c r="R22" s="995"/>
      <c r="S22" s="995"/>
      <c r="T22" s="140"/>
      <c r="U22" s="140"/>
      <c r="V22" s="996"/>
      <c r="W22" s="81"/>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81"/>
      <c r="BD22" s="81"/>
      <c r="BE22" s="81"/>
      <c r="BF22" s="81"/>
      <c r="BG22" s="81"/>
      <c r="BH22" s="81"/>
      <c r="BI22" s="424"/>
      <c r="BJ22" s="424"/>
      <c r="BK22" s="424"/>
      <c r="BL22" s="423"/>
      <c r="BM22" s="423"/>
      <c r="BN22" s="423"/>
      <c r="BO22" s="423"/>
      <c r="BP22" s="423"/>
      <c r="BQ22" s="423"/>
      <c r="BR22" s="423"/>
      <c r="BS22" s="423"/>
      <c r="BT22" s="423"/>
      <c r="BU22" s="423"/>
      <c r="BV22" s="423"/>
      <c r="BW22" s="423"/>
      <c r="BX22" s="423"/>
      <c r="BY22" s="423"/>
      <c r="BZ22" s="423"/>
      <c r="CA22" s="423"/>
      <c r="CB22" s="423"/>
      <c r="CC22" s="423"/>
      <c r="CD22" s="423"/>
      <c r="CE22" s="423"/>
      <c r="CF22" s="423"/>
      <c r="CG22" s="423"/>
      <c r="CH22" s="423"/>
      <c r="CI22" s="423"/>
      <c r="CJ22" s="423"/>
      <c r="CK22" s="423"/>
      <c r="CL22" s="423"/>
      <c r="CM22" s="423"/>
      <c r="CN22" s="423"/>
      <c r="CO22" s="423"/>
      <c r="CP22" s="423"/>
      <c r="CQ22" s="423"/>
      <c r="CR22" s="423"/>
      <c r="CS22" s="423"/>
      <c r="CT22" s="423"/>
      <c r="CU22" s="423"/>
      <c r="CV22" s="423"/>
      <c r="CW22" s="423"/>
      <c r="CX22" s="423"/>
      <c r="CY22" s="423"/>
      <c r="CZ22" s="423"/>
      <c r="DA22" s="423"/>
      <c r="DB22" s="423"/>
      <c r="DC22" s="423"/>
      <c r="DD22" s="423"/>
      <c r="DE22" s="423"/>
      <c r="DF22" s="423"/>
      <c r="DG22" s="423"/>
      <c r="DH22" s="423"/>
      <c r="DI22" s="423"/>
      <c r="DJ22" s="423"/>
      <c r="DK22" s="423"/>
      <c r="DL22" s="423"/>
      <c r="DM22" s="423"/>
      <c r="DN22" s="423"/>
      <c r="DO22" s="423"/>
      <c r="DP22" s="423"/>
      <c r="DQ22" s="423"/>
      <c r="DR22" s="423"/>
      <c r="DS22" s="423"/>
      <c r="DT22" s="423"/>
      <c r="DU22" s="423"/>
      <c r="DV22" s="423"/>
      <c r="DW22" s="423"/>
      <c r="DX22" s="423"/>
      <c r="DY22" s="423"/>
      <c r="DZ22" s="423"/>
      <c r="EA22" s="423"/>
      <c r="EB22" s="423"/>
      <c r="EC22" s="423"/>
      <c r="ED22" s="423"/>
      <c r="EE22" s="423"/>
      <c r="EF22" s="423"/>
      <c r="EG22" s="423"/>
      <c r="EH22" s="423"/>
      <c r="EI22" s="423"/>
      <c r="EJ22" s="423"/>
      <c r="EK22" s="423"/>
      <c r="EL22" s="423"/>
      <c r="EM22" s="423"/>
      <c r="EN22" s="423"/>
      <c r="EO22" s="423"/>
    </row>
    <row r="23" spans="1:145" s="69" customFormat="1" ht="12" customHeight="1" x14ac:dyDescent="0.25">
      <c r="A23" s="620"/>
      <c r="B23" s="3"/>
      <c r="C23" s="423"/>
      <c r="D23" s="3"/>
      <c r="E23" s="3"/>
      <c r="F23" s="3"/>
      <c r="G23" s="3"/>
      <c r="H23" s="3"/>
      <c r="I23" s="3"/>
      <c r="J23" s="16"/>
      <c r="K23" s="16"/>
      <c r="L23" s="3"/>
      <c r="M23" s="3"/>
      <c r="N23" s="3"/>
      <c r="O23" s="3"/>
      <c r="P23" s="3"/>
      <c r="Q23" s="3"/>
      <c r="R23" s="3"/>
      <c r="S23" s="3"/>
      <c r="T23" s="424"/>
      <c r="U23" s="424"/>
      <c r="V23" s="424"/>
      <c r="W23" s="3"/>
      <c r="X23" s="1037" t="s">
        <v>669</v>
      </c>
      <c r="Y23" s="859"/>
      <c r="Z23" s="859"/>
      <c r="AA23" s="859"/>
      <c r="AB23" s="859"/>
      <c r="AC23" s="859"/>
      <c r="AD23" s="859"/>
      <c r="AE23" s="859"/>
      <c r="AF23" s="859"/>
      <c r="AG23" s="859"/>
      <c r="AH23" s="859"/>
      <c r="AI23" s="859"/>
      <c r="AJ23" s="859"/>
      <c r="AK23" s="859"/>
      <c r="AL23" s="859"/>
      <c r="AM23" s="859"/>
      <c r="AN23" s="859"/>
      <c r="AO23" s="859"/>
      <c r="AP23" s="859"/>
      <c r="AQ23" s="859"/>
      <c r="AR23" s="859"/>
      <c r="AS23" s="859"/>
      <c r="AT23" s="859"/>
      <c r="AU23" s="859"/>
      <c r="AV23" s="859"/>
      <c r="AW23" s="859"/>
      <c r="AX23" s="859"/>
      <c r="AY23" s="859"/>
      <c r="AZ23" s="859"/>
      <c r="BA23" s="859"/>
      <c r="BB23" s="970"/>
      <c r="BC23" s="3"/>
      <c r="BD23" s="3"/>
      <c r="BE23" s="3"/>
      <c r="BF23" s="3"/>
      <c r="BG23" s="3"/>
      <c r="BH23" s="3"/>
      <c r="BI23" s="424"/>
      <c r="BJ23" s="424"/>
      <c r="BK23" s="424"/>
      <c r="BL23" s="423"/>
      <c r="BM23" s="423"/>
      <c r="BN23" s="423"/>
      <c r="BO23" s="423"/>
      <c r="BP23" s="423"/>
      <c r="BQ23" s="423"/>
      <c r="BR23" s="423"/>
      <c r="BS23" s="423"/>
      <c r="BT23" s="423"/>
      <c r="BU23" s="423"/>
      <c r="BV23" s="423"/>
      <c r="BW23" s="423"/>
      <c r="BX23" s="423"/>
      <c r="BY23" s="423"/>
      <c r="BZ23" s="423"/>
      <c r="CA23" s="423"/>
      <c r="CB23" s="423"/>
      <c r="CC23" s="423"/>
      <c r="CD23" s="423"/>
      <c r="CE23" s="423"/>
      <c r="CF23" s="423"/>
      <c r="CG23" s="423"/>
      <c r="CH23" s="423"/>
      <c r="CI23" s="423"/>
      <c r="CJ23" s="423"/>
      <c r="CK23" s="423"/>
      <c r="CL23" s="423"/>
      <c r="CM23" s="423"/>
      <c r="CN23" s="423"/>
      <c r="CO23" s="423"/>
      <c r="CP23" s="423"/>
      <c r="CQ23" s="423"/>
      <c r="CR23" s="423"/>
      <c r="CS23" s="423"/>
      <c r="CT23" s="423"/>
      <c r="CU23" s="423"/>
      <c r="CV23" s="423"/>
      <c r="CW23" s="423"/>
      <c r="CX23" s="423"/>
      <c r="CY23" s="423"/>
      <c r="CZ23" s="423"/>
      <c r="DA23" s="423"/>
      <c r="DB23" s="423"/>
      <c r="DC23" s="423"/>
      <c r="DD23" s="423"/>
      <c r="DE23" s="423"/>
      <c r="DF23" s="423"/>
      <c r="DG23" s="423"/>
      <c r="DH23" s="423"/>
      <c r="DI23" s="423"/>
      <c r="DJ23" s="423"/>
      <c r="DK23" s="423"/>
      <c r="DL23" s="423"/>
      <c r="DM23" s="423"/>
      <c r="DN23" s="423"/>
      <c r="DO23" s="423"/>
      <c r="DP23" s="423"/>
      <c r="DQ23" s="423"/>
      <c r="DR23" s="423"/>
      <c r="DS23" s="423"/>
      <c r="DT23" s="423"/>
      <c r="DU23" s="423"/>
      <c r="DV23" s="423"/>
      <c r="DW23" s="423"/>
      <c r="DX23" s="423"/>
      <c r="DY23" s="423"/>
      <c r="DZ23" s="423"/>
      <c r="EA23" s="423"/>
      <c r="EB23" s="423"/>
      <c r="EC23" s="423"/>
      <c r="ED23" s="423"/>
      <c r="EE23" s="423"/>
      <c r="EF23" s="423"/>
      <c r="EG23" s="423"/>
      <c r="EH23" s="423"/>
      <c r="EI23" s="423"/>
      <c r="EJ23" s="423"/>
      <c r="EK23" s="423"/>
      <c r="EL23" s="423"/>
      <c r="EM23" s="423"/>
      <c r="EN23" s="423"/>
      <c r="EO23" s="423"/>
    </row>
    <row r="24" spans="1:145" s="69" customFormat="1" ht="12" customHeight="1" x14ac:dyDescent="0.2">
      <c r="A24" s="620"/>
      <c r="B24" s="3"/>
      <c r="C24" s="3"/>
      <c r="D24" s="3"/>
      <c r="E24" s="3"/>
      <c r="F24" s="3"/>
      <c r="G24" s="3"/>
      <c r="H24" s="3"/>
      <c r="I24" s="3"/>
      <c r="J24" s="16"/>
      <c r="K24" s="16"/>
      <c r="L24" s="3"/>
      <c r="M24" s="3"/>
      <c r="N24"/>
      <c r="O24" s="3"/>
      <c r="P24" s="3"/>
      <c r="Q24" s="3"/>
      <c r="R24" s="3"/>
      <c r="S24" s="3"/>
      <c r="T24" s="424"/>
      <c r="U24" s="424"/>
      <c r="V24" s="424"/>
      <c r="W24" s="3"/>
      <c r="X24" s="2"/>
      <c r="Y24" s="3"/>
      <c r="Z24" s="3"/>
      <c r="AA24" s="3"/>
      <c r="AB24" s="3"/>
      <c r="AC24" s="3"/>
      <c r="AD24" s="3"/>
      <c r="AE24" s="3"/>
      <c r="AF24" s="2"/>
      <c r="AG24" s="3"/>
      <c r="AH24" s="3"/>
      <c r="AI24" s="3"/>
      <c r="AJ24" s="3"/>
      <c r="AK24" s="3"/>
      <c r="AL24" s="3"/>
      <c r="AM24" s="3"/>
      <c r="AN24" s="2"/>
      <c r="AO24" s="3"/>
      <c r="AP24" s="3"/>
      <c r="AQ24" s="3"/>
      <c r="AR24" s="3"/>
      <c r="AS24" s="3"/>
      <c r="AT24" s="3"/>
      <c r="AU24" s="3"/>
      <c r="AV24" s="2"/>
      <c r="AW24" s="3"/>
      <c r="AX24" s="3"/>
      <c r="AY24" s="3"/>
      <c r="AZ24" s="3"/>
      <c r="BA24" s="3"/>
      <c r="BB24" s="3"/>
      <c r="BC24" s="3"/>
      <c r="BD24" s="3"/>
      <c r="BE24" s="3"/>
      <c r="BF24" s="3"/>
      <c r="BG24" s="3"/>
      <c r="BH24" s="3"/>
      <c r="BI24" s="424"/>
      <c r="BJ24" s="424"/>
      <c r="BK24" s="424"/>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c r="DL24" s="423"/>
      <c r="DM24" s="423"/>
      <c r="DN24" s="423"/>
      <c r="DO24" s="423"/>
      <c r="DP24" s="423"/>
      <c r="DQ24" s="423"/>
      <c r="DR24" s="423"/>
      <c r="DS24" s="423"/>
      <c r="DT24" s="423"/>
      <c r="DU24" s="423"/>
      <c r="DV24" s="423"/>
      <c r="DW24" s="423"/>
      <c r="DX24" s="423"/>
      <c r="DY24" s="423"/>
      <c r="DZ24" s="423"/>
      <c r="EA24" s="423"/>
      <c r="EB24" s="423"/>
      <c r="EC24" s="423"/>
      <c r="ED24" s="423"/>
      <c r="EE24" s="423"/>
      <c r="EF24" s="423"/>
      <c r="EG24" s="423"/>
      <c r="EH24" s="423"/>
      <c r="EI24" s="423"/>
      <c r="EJ24" s="423"/>
      <c r="EK24" s="423"/>
      <c r="EL24" s="423"/>
      <c r="EM24" s="423"/>
      <c r="EN24" s="423"/>
      <c r="EO24" s="423"/>
    </row>
    <row r="25" spans="1:145" ht="16.5" customHeight="1" x14ac:dyDescent="0.2">
      <c r="A25" s="620">
        <v>1</v>
      </c>
      <c r="B25" s="461" t="str">
        <f>"Table "&amp;A1&amp;"."&amp;A25&amp;IF('WS1-Application'!D33="minimum rate increase",": Minimum Rates - with proposed MR increase",": Minimum Rates - with proposed special variation")</f>
        <v>Table 7.1: Minimum Rates - with proposed special variation</v>
      </c>
      <c r="C25" s="3"/>
      <c r="D25" s="3"/>
      <c r="E25" s="3"/>
      <c r="F25" s="3"/>
      <c r="G25" s="3"/>
      <c r="H25" s="3"/>
      <c r="I25" s="3"/>
      <c r="J25" s="997"/>
      <c r="K25"/>
      <c r="L25" s="599"/>
      <c r="M25" s="998"/>
      <c r="N25" s="599"/>
      <c r="O25" s="599"/>
      <c r="P25" s="599"/>
      <c r="Q25" s="599"/>
      <c r="R25" s="63"/>
      <c r="S25" s="3"/>
      <c r="T25" s="681" t="s">
        <v>670</v>
      </c>
      <c r="U25" s="667"/>
      <c r="V25" s="1035"/>
      <c r="W25" s="3"/>
      <c r="X25" s="681" t="s">
        <v>671</v>
      </c>
      <c r="Y25" s="141"/>
      <c r="Z25" s="141"/>
      <c r="AA25" s="141"/>
      <c r="AB25" s="141"/>
      <c r="AC25" s="141"/>
      <c r="AD25" s="667"/>
      <c r="AE25" s="3"/>
      <c r="AF25" s="964" t="s">
        <v>672</v>
      </c>
      <c r="AG25" s="859"/>
      <c r="AH25" s="859"/>
      <c r="AI25" s="859"/>
      <c r="AJ25" s="859"/>
      <c r="AK25" s="859"/>
      <c r="AL25" s="970"/>
      <c r="AM25" s="3"/>
      <c r="AN25" s="681" t="s">
        <v>673</v>
      </c>
      <c r="AO25" s="141"/>
      <c r="AP25" s="141"/>
      <c r="AQ25" s="141"/>
      <c r="AR25" s="141"/>
      <c r="AS25" s="141"/>
      <c r="AT25" s="667"/>
      <c r="AU25" s="3"/>
      <c r="AV25" s="964" t="s">
        <v>674</v>
      </c>
      <c r="AW25" s="859"/>
      <c r="AX25" s="859"/>
      <c r="AY25" s="859"/>
      <c r="AZ25" s="859"/>
      <c r="BA25" s="859"/>
      <c r="BB25" s="970"/>
      <c r="BC25" s="3"/>
      <c r="BD25" s="3"/>
      <c r="BE25" s="3"/>
      <c r="BF25" s="3"/>
      <c r="BG25" s="3"/>
      <c r="BH25" s="3"/>
      <c r="BI25" s="3"/>
      <c r="BJ25" s="3"/>
      <c r="BK25" s="3"/>
    </row>
    <row r="26" spans="1:145" ht="36" x14ac:dyDescent="0.2">
      <c r="A26" s="620"/>
      <c r="B26" s="681" t="s">
        <v>675</v>
      </c>
      <c r="C26" s="1003" t="s">
        <v>676</v>
      </c>
      <c r="D26" s="1004" t="s">
        <v>641</v>
      </c>
      <c r="E26" s="999"/>
      <c r="F26" s="999"/>
      <c r="G26" s="999"/>
      <c r="H26" s="999"/>
      <c r="I26" s="999"/>
      <c r="J26" s="1014" t="s">
        <v>677</v>
      </c>
      <c r="K26" s="1014" t="s">
        <v>678</v>
      </c>
      <c r="L26" s="1014" t="s">
        <v>679</v>
      </c>
      <c r="M26" s="1014" t="s">
        <v>680</v>
      </c>
      <c r="N26" s="1014" t="s">
        <v>681</v>
      </c>
      <c r="O26" s="1014" t="s">
        <v>682</v>
      </c>
      <c r="P26" s="1014" t="s">
        <v>683</v>
      </c>
      <c r="Q26" s="1015" t="s">
        <v>684</v>
      </c>
      <c r="R26" s="76"/>
      <c r="S26" s="3"/>
      <c r="T26" s="299" t="s">
        <v>685</v>
      </c>
      <c r="U26" s="568"/>
      <c r="V26" s="1035"/>
      <c r="W26" s="3"/>
      <c r="X26" s="1049" t="str">
        <f>B25</f>
        <v>Table 7.1: Minimum Rates - with proposed special variation</v>
      </c>
      <c r="Y26" s="695"/>
      <c r="Z26" s="695"/>
      <c r="AA26" s="695"/>
      <c r="AB26" s="695"/>
      <c r="AC26" s="695"/>
      <c r="AD26" s="1050"/>
      <c r="AE26" s="3"/>
      <c r="AF26" s="1038" t="str">
        <f>$X26</f>
        <v>Table 7.1: Minimum Rates - with proposed special variation</v>
      </c>
      <c r="AG26" s="2"/>
      <c r="AH26" s="2"/>
      <c r="AI26" s="2"/>
      <c r="AJ26" s="2"/>
      <c r="AK26" s="2"/>
      <c r="AL26" s="699"/>
      <c r="AM26" s="3"/>
      <c r="AN26" s="1049" t="str">
        <f>$X26</f>
        <v>Table 7.1: Minimum Rates - with proposed special variation</v>
      </c>
      <c r="AO26" s="695"/>
      <c r="AP26" s="695"/>
      <c r="AQ26" s="695"/>
      <c r="AR26" s="695"/>
      <c r="AS26" s="695"/>
      <c r="AT26" s="1050"/>
      <c r="AU26" s="3"/>
      <c r="AV26" s="1049" t="str">
        <f>$X26</f>
        <v>Table 7.1: Minimum Rates - with proposed special variation</v>
      </c>
      <c r="AW26" s="695"/>
      <c r="AX26" s="695"/>
      <c r="AY26" s="695"/>
      <c r="AZ26" s="695"/>
      <c r="BA26" s="695"/>
      <c r="BB26" s="1050"/>
      <c r="BC26" s="2"/>
      <c r="BD26" s="2"/>
      <c r="BE26" s="2"/>
      <c r="BF26" s="2"/>
      <c r="BG26" s="2"/>
      <c r="BH26" s="2"/>
      <c r="BI26" s="3"/>
      <c r="BJ26" s="3"/>
      <c r="BK26" s="3"/>
    </row>
    <row r="27" spans="1:145" ht="13.5" customHeight="1" x14ac:dyDescent="0.2">
      <c r="A27" s="620"/>
      <c r="B27" s="344"/>
      <c r="C27" s="776"/>
      <c r="D27" s="344"/>
      <c r="E27" s="30"/>
      <c r="F27" s="30"/>
      <c r="G27" s="30"/>
      <c r="H27" s="30"/>
      <c r="I27" s="30"/>
      <c r="J27" s="1018" t="str">
        <f>'WS2-Proposal'!J$72</f>
        <v>2023-24</v>
      </c>
      <c r="K27" s="1018" t="str">
        <f>'WS2-Proposal'!K$72</f>
        <v>2024-25</v>
      </c>
      <c r="L27" s="1018" t="str">
        <f>'WS2-Proposal'!L$72</f>
        <v>2025-26</v>
      </c>
      <c r="M27" s="1018" t="str">
        <f>'WS2-Proposal'!M$72</f>
        <v>2026-27</v>
      </c>
      <c r="N27" s="1018" t="str">
        <f>'WS2-Proposal'!N$72</f>
        <v>2027-28</v>
      </c>
      <c r="O27" s="1018" t="str">
        <f>'WS2-Proposal'!O$72</f>
        <v>2028-29</v>
      </c>
      <c r="P27" s="1018" t="str">
        <f>'WS2-Proposal'!P$72</f>
        <v>2029-30</v>
      </c>
      <c r="Q27" s="1019" t="str">
        <f>'WS2-Proposal'!Q$72</f>
        <v>2030-31</v>
      </c>
      <c r="R27" s="76"/>
      <c r="S27" s="3"/>
      <c r="T27" s="1034" t="s">
        <v>686</v>
      </c>
      <c r="U27" s="578"/>
      <c r="V27" s="1035"/>
      <c r="W27" s="3"/>
      <c r="X27" s="1051" t="str">
        <f>'WS0 - Input data'!K55</f>
        <v>Year 1</v>
      </c>
      <c r="Y27" s="1052" t="str">
        <f>'WS0 - Input data'!L55</f>
        <v>Year 2</v>
      </c>
      <c r="Z27" s="1052" t="str">
        <f>'WS0 - Input data'!M55</f>
        <v>Year 3</v>
      </c>
      <c r="AA27" s="1052" t="str">
        <f>'WS0 - Input data'!N55</f>
        <v>Year 4</v>
      </c>
      <c r="AB27" s="1052" t="str">
        <f>'WS0 - Input data'!O55</f>
        <v>Year 5</v>
      </c>
      <c r="AC27" s="1052" t="str">
        <f>'WS0 - Input data'!P55</f>
        <v>Year 6</v>
      </c>
      <c r="AD27" s="1053" t="str">
        <f>'WS0 - Input data'!Q55</f>
        <v>Year 7</v>
      </c>
      <c r="AE27" s="19"/>
      <c r="AF27" s="1051" t="str">
        <f t="shared" ref="AF27:AL27" si="0">AN27</f>
        <v>Year 1</v>
      </c>
      <c r="AG27" s="1052" t="str">
        <f t="shared" si="0"/>
        <v>Year 2</v>
      </c>
      <c r="AH27" s="1052" t="str">
        <f t="shared" si="0"/>
        <v>Year 3</v>
      </c>
      <c r="AI27" s="1052" t="str">
        <f t="shared" si="0"/>
        <v>Year 4</v>
      </c>
      <c r="AJ27" s="1052" t="str">
        <f t="shared" si="0"/>
        <v>Year 5</v>
      </c>
      <c r="AK27" s="1052" t="str">
        <f t="shared" si="0"/>
        <v>Year 6</v>
      </c>
      <c r="AL27" s="1053" t="str">
        <f t="shared" si="0"/>
        <v>Year 7</v>
      </c>
      <c r="AM27" s="19"/>
      <c r="AN27" s="1051" t="str">
        <f>X27</f>
        <v>Year 1</v>
      </c>
      <c r="AO27" s="1052" t="str">
        <f t="shared" ref="AO27:AR27" si="1">Y27</f>
        <v>Year 2</v>
      </c>
      <c r="AP27" s="1052" t="str">
        <f t="shared" si="1"/>
        <v>Year 3</v>
      </c>
      <c r="AQ27" s="1052" t="str">
        <f t="shared" si="1"/>
        <v>Year 4</v>
      </c>
      <c r="AR27" s="1052" t="str">
        <f t="shared" si="1"/>
        <v>Year 5</v>
      </c>
      <c r="AS27" s="1052" t="str">
        <f>AC27</f>
        <v>Year 6</v>
      </c>
      <c r="AT27" s="1053" t="str">
        <f>AD27</f>
        <v>Year 7</v>
      </c>
      <c r="AU27" s="19"/>
      <c r="AV27" s="1051" t="str">
        <f t="shared" ref="AV27:BB27" si="2">AF27</f>
        <v>Year 1</v>
      </c>
      <c r="AW27" s="1052" t="str">
        <f t="shared" si="2"/>
        <v>Year 2</v>
      </c>
      <c r="AX27" s="1052" t="str">
        <f t="shared" si="2"/>
        <v>Year 3</v>
      </c>
      <c r="AY27" s="1052" t="str">
        <f t="shared" si="2"/>
        <v>Year 4</v>
      </c>
      <c r="AZ27" s="1052" t="str">
        <f t="shared" si="2"/>
        <v>Year 5</v>
      </c>
      <c r="BA27" s="1052" t="str">
        <f t="shared" si="2"/>
        <v>Year 6</v>
      </c>
      <c r="BB27" s="1053" t="str">
        <f t="shared" si="2"/>
        <v>Year 7</v>
      </c>
      <c r="BC27" s="93"/>
      <c r="BD27" s="93"/>
      <c r="BE27" s="93"/>
      <c r="BF27" s="93"/>
      <c r="BG27" s="93"/>
      <c r="BH27" s="93"/>
      <c r="BI27" s="3"/>
      <c r="BJ27" s="3"/>
      <c r="BK27" s="3"/>
    </row>
    <row r="28" spans="1:145" x14ac:dyDescent="0.2">
      <c r="A28" s="620"/>
      <c r="B28" s="1001" t="str">
        <f>'WS4 - Yr 1 YIELD'!B18</f>
        <v>Residential</v>
      </c>
      <c r="C28" s="1006" t="str">
        <f>IF('WS3 - Notional General Income'!C21="","",'WS3 - Notional General Income'!C21)</f>
        <v>Residential</v>
      </c>
      <c r="D28" s="1007" t="s">
        <v>687</v>
      </c>
      <c r="E28" s="446"/>
      <c r="F28" s="446"/>
      <c r="G28" s="446"/>
      <c r="H28" s="446"/>
      <c r="I28" s="446"/>
      <c r="J28" s="1012">
        <v>881.2</v>
      </c>
      <c r="K28" s="1012">
        <f>J28*1.15</f>
        <v>1013.38</v>
      </c>
      <c r="L28" s="1016">
        <f t="shared" ref="L28:Q28" si="3">K28*1.03</f>
        <v>1043.7814000000001</v>
      </c>
      <c r="M28" s="1016">
        <f t="shared" si="3"/>
        <v>1075.0948420000002</v>
      </c>
      <c r="N28" s="1016">
        <f t="shared" si="3"/>
        <v>1107.3476872600002</v>
      </c>
      <c r="O28" s="1016">
        <f t="shared" si="3"/>
        <v>1140.5681178778002</v>
      </c>
      <c r="P28" s="1016">
        <f t="shared" si="3"/>
        <v>1174.7851614141343</v>
      </c>
      <c r="Q28" s="1017">
        <f t="shared" si="3"/>
        <v>1210.0287162565585</v>
      </c>
      <c r="R28" s="76"/>
      <c r="S28" s="3"/>
      <c r="T28" s="299"/>
      <c r="U28" s="568"/>
      <c r="V28" s="1035"/>
      <c r="W28" s="3"/>
      <c r="X28" s="1043">
        <f>IF(K28=0,".",K28-J28)</f>
        <v>132.17999999999995</v>
      </c>
      <c r="Y28" s="1044">
        <f t="shared" ref="Y28:Y32" si="4">IF(L28="",".",L28-K28)</f>
        <v>30.401400000000081</v>
      </c>
      <c r="Z28" s="1044">
        <f t="shared" ref="Z28:Z32" si="5">IF(M28="",".",M28-L28)</f>
        <v>31.313442000000123</v>
      </c>
      <c r="AA28" s="1044">
        <f t="shared" ref="AA28:AA32" si="6">IF(N28="",".",N28-M28)</f>
        <v>32.252845259999958</v>
      </c>
      <c r="AB28" s="1044">
        <f t="shared" ref="AB28:AB32" si="7">IF(O28="",".",O28-N28)</f>
        <v>33.220430617800048</v>
      </c>
      <c r="AC28" s="1044">
        <f t="shared" ref="AC28:AC32" si="8">IF(P28="",".",P28-O28)</f>
        <v>34.217043536334131</v>
      </c>
      <c r="AD28" s="1045">
        <f t="shared" ref="AD28:AD32" si="9">IF(Q28="",".",Q28-P28)</f>
        <v>35.243554842424146</v>
      </c>
      <c r="AE28" s="3"/>
      <c r="AF28" s="1055">
        <f>IFERROR(K28/J28-1,".")</f>
        <v>0.14999999999999991</v>
      </c>
      <c r="AG28" s="258">
        <f t="shared" ref="AG28:AG32" si="10">IFERROR(L28/K28-1,".")</f>
        <v>3.0000000000000027E-2</v>
      </c>
      <c r="AH28" s="258">
        <f t="shared" ref="AH28:AH32" si="11">IFERROR(M28/L28-1,".")</f>
        <v>3.0000000000000027E-2</v>
      </c>
      <c r="AI28" s="258">
        <f t="shared" ref="AI28:AI32" si="12">IFERROR(N28/M28-1,".")</f>
        <v>3.0000000000000027E-2</v>
      </c>
      <c r="AJ28" s="258">
        <f t="shared" ref="AJ28:AJ32" si="13">IFERROR(O28/N28-1,".")</f>
        <v>3.0000000000000027E-2</v>
      </c>
      <c r="AK28" s="258">
        <f t="shared" ref="AK28:AK32" si="14">IFERROR(P28/O28-1,".")</f>
        <v>3.0000000000000027E-2</v>
      </c>
      <c r="AL28" s="1056">
        <f t="shared" ref="AL28:AL32" si="15">IFERROR(Q28/P28-1,".")</f>
        <v>3.0000000000000027E-2</v>
      </c>
      <c r="AM28" s="3"/>
      <c r="AN28" s="1043">
        <f>IF(X28=".",".",SUM($X28:X28))</f>
        <v>132.17999999999995</v>
      </c>
      <c r="AO28" s="1044">
        <f>IF(Y28=".",".",SUM($X28:Y28))</f>
        <v>162.58140000000003</v>
      </c>
      <c r="AP28" s="1044">
        <f>IF(Z28=".",".",SUM($X28:Z28))</f>
        <v>193.89484200000015</v>
      </c>
      <c r="AQ28" s="1044">
        <f>IF(AA28=".",".",SUM($X28:AA28))</f>
        <v>226.14768726000011</v>
      </c>
      <c r="AR28" s="1044">
        <f>IF(AB28=".",".",SUM($X28:AB28))</f>
        <v>259.36811787780016</v>
      </c>
      <c r="AS28" s="1044">
        <f>IF(AC28=".",".",SUM($X28:AC28))</f>
        <v>293.58516141413429</v>
      </c>
      <c r="AT28" s="1045">
        <f>IF(AD28=".",".",SUM($X28:AD28))</f>
        <v>328.82871625655844</v>
      </c>
      <c r="AU28" s="3"/>
      <c r="AV28" s="1055">
        <f>IFERROR(K28/$J28-1,".")</f>
        <v>0.14999999999999991</v>
      </c>
      <c r="AW28" s="258">
        <f t="shared" ref="AW28:AW32" si="16">IFERROR(L28/$J28-1,".")</f>
        <v>0.18450000000000011</v>
      </c>
      <c r="AX28" s="258">
        <f t="shared" ref="AX28:AX32" si="17">IFERROR(M28/$J28-1,".")</f>
        <v>0.2200350000000002</v>
      </c>
      <c r="AY28" s="258">
        <f t="shared" ref="AY28:AY32" si="18">IFERROR(N28/$J28-1,".")</f>
        <v>0.25663605</v>
      </c>
      <c r="AZ28" s="258">
        <f t="shared" ref="AZ28:AZ32" si="19">IFERROR(O28/$J28-1,".")</f>
        <v>0.29433513150000024</v>
      </c>
      <c r="BA28" s="258">
        <f t="shared" ref="BA28:BA32" si="20">IFERROR(P28/$J28-1,".")</f>
        <v>0.3331651854450004</v>
      </c>
      <c r="BB28" s="1056">
        <f t="shared" ref="BB28:BB32" si="21">IFERROR(Q28/$J28-1,".")</f>
        <v>0.37316014100835049</v>
      </c>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row>
    <row r="29" spans="1:145" x14ac:dyDescent="0.2">
      <c r="A29" s="620"/>
      <c r="B29" s="1001" t="str">
        <f>B28</f>
        <v>Residential</v>
      </c>
      <c r="C29" s="1006" t="str">
        <f>IF('WS3 - Notional General Income'!C22="","",'WS3 - Notional General Income'!C22)</f>
        <v/>
      </c>
      <c r="D29" s="1007" t="s">
        <v>687</v>
      </c>
      <c r="E29" s="446"/>
      <c r="F29" s="446"/>
      <c r="G29" s="446"/>
      <c r="H29" s="446"/>
      <c r="I29" s="446"/>
      <c r="J29" s="1012"/>
      <c r="K29" s="1012"/>
      <c r="L29" s="1012"/>
      <c r="M29" s="1012"/>
      <c r="N29" s="1012"/>
      <c r="O29" s="1012"/>
      <c r="P29" s="1012"/>
      <c r="Q29" s="1010"/>
      <c r="R29" s="76"/>
      <c r="S29" s="3"/>
      <c r="T29" s="299"/>
      <c r="U29" s="568"/>
      <c r="V29" s="1035"/>
      <c r="W29" s="3"/>
      <c r="X29" s="1043" t="str">
        <f>IF(K29="",".",K29-J29)</f>
        <v>.</v>
      </c>
      <c r="Y29" s="1044" t="str">
        <f t="shared" si="4"/>
        <v>.</v>
      </c>
      <c r="Z29" s="1044" t="str">
        <f t="shared" si="5"/>
        <v>.</v>
      </c>
      <c r="AA29" s="1044" t="str">
        <f t="shared" si="6"/>
        <v>.</v>
      </c>
      <c r="AB29" s="1044" t="str">
        <f t="shared" si="7"/>
        <v>.</v>
      </c>
      <c r="AC29" s="1044" t="str">
        <f t="shared" si="8"/>
        <v>.</v>
      </c>
      <c r="AD29" s="1045" t="str">
        <f t="shared" si="9"/>
        <v>.</v>
      </c>
      <c r="AE29" s="3"/>
      <c r="AF29" s="1055" t="str">
        <f t="shared" ref="AF29:AF32" si="22">IFERROR(K29/J29-1,".")</f>
        <v>.</v>
      </c>
      <c r="AG29" s="258" t="str">
        <f t="shared" si="10"/>
        <v>.</v>
      </c>
      <c r="AH29" s="258" t="str">
        <f t="shared" si="11"/>
        <v>.</v>
      </c>
      <c r="AI29" s="258" t="str">
        <f t="shared" si="12"/>
        <v>.</v>
      </c>
      <c r="AJ29" s="258" t="str">
        <f t="shared" si="13"/>
        <v>.</v>
      </c>
      <c r="AK29" s="258" t="str">
        <f t="shared" si="14"/>
        <v>.</v>
      </c>
      <c r="AL29" s="1056" t="str">
        <f t="shared" si="15"/>
        <v>.</v>
      </c>
      <c r="AM29" s="3"/>
      <c r="AN29" s="1043" t="str">
        <f>IF(X29=".",".",SUM($X29:X29))</f>
        <v>.</v>
      </c>
      <c r="AO29" s="1044" t="str">
        <f>IF(Y29=".",".",SUM($X29:Y29))</f>
        <v>.</v>
      </c>
      <c r="AP29" s="1044" t="str">
        <f>IF(Z29=".",".",SUM($X29:Z29))</f>
        <v>.</v>
      </c>
      <c r="AQ29" s="1044" t="str">
        <f>IF(AA29=".",".",SUM($X29:AA29))</f>
        <v>.</v>
      </c>
      <c r="AR29" s="1044" t="str">
        <f>IF(AB29=".",".",SUM($X29:AB29))</f>
        <v>.</v>
      </c>
      <c r="AS29" s="1044" t="str">
        <f>IF(AC29=".",".",SUM($X29:AC29))</f>
        <v>.</v>
      </c>
      <c r="AT29" s="1045" t="str">
        <f>IF(AD29=".",".",SUM($X29:AD29))</f>
        <v>.</v>
      </c>
      <c r="AU29" s="3"/>
      <c r="AV29" s="1055" t="str">
        <f t="shared" ref="AV29:AV32" si="23">IFERROR(K29/$J29-1,".")</f>
        <v>.</v>
      </c>
      <c r="AW29" s="258" t="str">
        <f t="shared" si="16"/>
        <v>.</v>
      </c>
      <c r="AX29" s="258" t="str">
        <f t="shared" si="17"/>
        <v>.</v>
      </c>
      <c r="AY29" s="258" t="str">
        <f t="shared" si="18"/>
        <v>.</v>
      </c>
      <c r="AZ29" s="258" t="str">
        <f t="shared" si="19"/>
        <v>.</v>
      </c>
      <c r="BA29" s="258" t="str">
        <f t="shared" si="20"/>
        <v>.</v>
      </c>
      <c r="BB29" s="1056" t="str">
        <f t="shared" si="21"/>
        <v>.</v>
      </c>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row>
    <row r="30" spans="1:145" x14ac:dyDescent="0.2">
      <c r="A30" s="620"/>
      <c r="B30" s="1001" t="str">
        <f t="shared" ref="B30:B47" si="24">B29</f>
        <v>Residential</v>
      </c>
      <c r="C30" s="1006" t="str">
        <f>IF('WS3 - Notional General Income'!C23="","",'WS3 - Notional General Income'!C23)</f>
        <v/>
      </c>
      <c r="D30" s="1007" t="s">
        <v>687</v>
      </c>
      <c r="E30" s="446"/>
      <c r="F30" s="446"/>
      <c r="G30" s="446"/>
      <c r="H30" s="446"/>
      <c r="I30" s="446"/>
      <c r="J30" s="1012"/>
      <c r="K30" s="1012"/>
      <c r="L30" s="1012"/>
      <c r="M30" s="1012"/>
      <c r="N30" s="1012"/>
      <c r="O30" s="1012"/>
      <c r="P30" s="1012"/>
      <c r="Q30" s="1010"/>
      <c r="R30" s="76"/>
      <c r="S30" s="3"/>
      <c r="T30" s="299"/>
      <c r="U30" s="568"/>
      <c r="V30" s="1035"/>
      <c r="W30" s="3"/>
      <c r="X30" s="1043" t="str">
        <f t="shared" ref="X30:X32" si="25">IF(K30="",".",K30-J30)</f>
        <v>.</v>
      </c>
      <c r="Y30" s="1044" t="str">
        <f t="shared" si="4"/>
        <v>.</v>
      </c>
      <c r="Z30" s="1044" t="str">
        <f t="shared" si="5"/>
        <v>.</v>
      </c>
      <c r="AA30" s="1044" t="str">
        <f t="shared" si="6"/>
        <v>.</v>
      </c>
      <c r="AB30" s="1044" t="str">
        <f t="shared" si="7"/>
        <v>.</v>
      </c>
      <c r="AC30" s="1044" t="str">
        <f t="shared" si="8"/>
        <v>.</v>
      </c>
      <c r="AD30" s="1045" t="str">
        <f t="shared" si="9"/>
        <v>.</v>
      </c>
      <c r="AE30" s="3"/>
      <c r="AF30" s="1055" t="str">
        <f t="shared" si="22"/>
        <v>.</v>
      </c>
      <c r="AG30" s="258" t="str">
        <f t="shared" si="10"/>
        <v>.</v>
      </c>
      <c r="AH30" s="258" t="str">
        <f t="shared" si="11"/>
        <v>.</v>
      </c>
      <c r="AI30" s="258" t="str">
        <f t="shared" si="12"/>
        <v>.</v>
      </c>
      <c r="AJ30" s="258" t="str">
        <f t="shared" si="13"/>
        <v>.</v>
      </c>
      <c r="AK30" s="258" t="str">
        <f t="shared" si="14"/>
        <v>.</v>
      </c>
      <c r="AL30" s="1056" t="str">
        <f t="shared" si="15"/>
        <v>.</v>
      </c>
      <c r="AM30" s="3"/>
      <c r="AN30" s="1043" t="str">
        <f>IF(X30=".",".",SUM($X30:X30))</f>
        <v>.</v>
      </c>
      <c r="AO30" s="1044" t="str">
        <f>IF(Y30=".",".",SUM($X30:Y30))</f>
        <v>.</v>
      </c>
      <c r="AP30" s="1044" t="str">
        <f>IF(Z30=".",".",SUM($X30:Z30))</f>
        <v>.</v>
      </c>
      <c r="AQ30" s="1044" t="str">
        <f>IF(AA30=".",".",SUM($X30:AA30))</f>
        <v>.</v>
      </c>
      <c r="AR30" s="1044" t="str">
        <f>IF(AB30=".",".",SUM($X30:AB30))</f>
        <v>.</v>
      </c>
      <c r="AS30" s="1044" t="str">
        <f>IF(AC30=".",".",SUM($X30:AC30))</f>
        <v>.</v>
      </c>
      <c r="AT30" s="1045" t="str">
        <f>IF(AD30=".",".",SUM($X30:AD30))</f>
        <v>.</v>
      </c>
      <c r="AU30" s="3"/>
      <c r="AV30" s="1055" t="str">
        <f t="shared" si="23"/>
        <v>.</v>
      </c>
      <c r="AW30" s="258" t="str">
        <f t="shared" si="16"/>
        <v>.</v>
      </c>
      <c r="AX30" s="258" t="str">
        <f t="shared" si="17"/>
        <v>.</v>
      </c>
      <c r="AY30" s="258" t="str">
        <f t="shared" si="18"/>
        <v>.</v>
      </c>
      <c r="AZ30" s="258" t="str">
        <f t="shared" si="19"/>
        <v>.</v>
      </c>
      <c r="BA30" s="258" t="str">
        <f t="shared" si="20"/>
        <v>.</v>
      </c>
      <c r="BB30" s="1056" t="str">
        <f t="shared" si="21"/>
        <v>.</v>
      </c>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row>
    <row r="31" spans="1:145" x14ac:dyDescent="0.2">
      <c r="A31" s="620"/>
      <c r="B31" s="1001" t="str">
        <f t="shared" si="24"/>
        <v>Residential</v>
      </c>
      <c r="C31" s="1006" t="str">
        <f>IF('WS3 - Notional General Income'!C24="","",'WS3 - Notional General Income'!C24)</f>
        <v/>
      </c>
      <c r="D31" s="1007" t="s">
        <v>687</v>
      </c>
      <c r="E31" s="446"/>
      <c r="F31" s="446"/>
      <c r="G31" s="446"/>
      <c r="H31" s="446"/>
      <c r="I31" s="446"/>
      <c r="J31" s="1012"/>
      <c r="K31" s="1012"/>
      <c r="L31" s="1012"/>
      <c r="M31" s="1012"/>
      <c r="N31" s="1012"/>
      <c r="O31" s="1012"/>
      <c r="P31" s="1012"/>
      <c r="Q31" s="1010"/>
      <c r="R31" s="76"/>
      <c r="S31" s="3"/>
      <c r="T31" s="299"/>
      <c r="U31" s="568"/>
      <c r="V31" s="1035"/>
      <c r="W31" s="3"/>
      <c r="X31" s="1043" t="str">
        <f t="shared" si="25"/>
        <v>.</v>
      </c>
      <c r="Y31" s="1044" t="str">
        <f t="shared" si="4"/>
        <v>.</v>
      </c>
      <c r="Z31" s="1044" t="str">
        <f t="shared" si="5"/>
        <v>.</v>
      </c>
      <c r="AA31" s="1044" t="str">
        <f t="shared" si="6"/>
        <v>.</v>
      </c>
      <c r="AB31" s="1044" t="str">
        <f t="shared" si="7"/>
        <v>.</v>
      </c>
      <c r="AC31" s="1044" t="str">
        <f t="shared" si="8"/>
        <v>.</v>
      </c>
      <c r="AD31" s="1045" t="str">
        <f t="shared" si="9"/>
        <v>.</v>
      </c>
      <c r="AE31" s="3"/>
      <c r="AF31" s="1055" t="str">
        <f t="shared" si="22"/>
        <v>.</v>
      </c>
      <c r="AG31" s="258" t="str">
        <f t="shared" si="10"/>
        <v>.</v>
      </c>
      <c r="AH31" s="258" t="str">
        <f t="shared" si="11"/>
        <v>.</v>
      </c>
      <c r="AI31" s="258" t="str">
        <f t="shared" si="12"/>
        <v>.</v>
      </c>
      <c r="AJ31" s="258" t="str">
        <f t="shared" si="13"/>
        <v>.</v>
      </c>
      <c r="AK31" s="258" t="str">
        <f t="shared" si="14"/>
        <v>.</v>
      </c>
      <c r="AL31" s="1056" t="str">
        <f t="shared" si="15"/>
        <v>.</v>
      </c>
      <c r="AM31" s="3"/>
      <c r="AN31" s="1043" t="str">
        <f>IF(X31=".",".",SUM($X31:X31))</f>
        <v>.</v>
      </c>
      <c r="AO31" s="1044" t="str">
        <f>IF(Y31=".",".",SUM($X31:Y31))</f>
        <v>.</v>
      </c>
      <c r="AP31" s="1044" t="str">
        <f>IF(Z31=".",".",SUM($X31:Z31))</f>
        <v>.</v>
      </c>
      <c r="AQ31" s="1044" t="str">
        <f>IF(AA31=".",".",SUM($X31:AA31))</f>
        <v>.</v>
      </c>
      <c r="AR31" s="1044" t="str">
        <f>IF(AB31=".",".",SUM($X31:AB31))</f>
        <v>.</v>
      </c>
      <c r="AS31" s="1044" t="str">
        <f>IF(AC31=".",".",SUM($X31:AC31))</f>
        <v>.</v>
      </c>
      <c r="AT31" s="1045" t="str">
        <f>IF(AD31=".",".",SUM($X31:AD31))</f>
        <v>.</v>
      </c>
      <c r="AU31" s="3"/>
      <c r="AV31" s="1055" t="str">
        <f t="shared" si="23"/>
        <v>.</v>
      </c>
      <c r="AW31" s="258" t="str">
        <f t="shared" si="16"/>
        <v>.</v>
      </c>
      <c r="AX31" s="258" t="str">
        <f t="shared" si="17"/>
        <v>.</v>
      </c>
      <c r="AY31" s="258" t="str">
        <f t="shared" si="18"/>
        <v>.</v>
      </c>
      <c r="AZ31" s="258" t="str">
        <f t="shared" si="19"/>
        <v>.</v>
      </c>
      <c r="BA31" s="258" t="str">
        <f t="shared" si="20"/>
        <v>.</v>
      </c>
      <c r="BB31" s="1056" t="str">
        <f t="shared" si="21"/>
        <v>.</v>
      </c>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row>
    <row r="32" spans="1:145" x14ac:dyDescent="0.2">
      <c r="A32" s="620"/>
      <c r="B32" s="1001" t="str">
        <f t="shared" si="24"/>
        <v>Residential</v>
      </c>
      <c r="C32" s="1006" t="str">
        <f>IF('WS3 - Notional General Income'!C25="","",'WS3 - Notional General Income'!C25)</f>
        <v/>
      </c>
      <c r="D32" s="1007" t="s">
        <v>687</v>
      </c>
      <c r="E32" s="446"/>
      <c r="F32" s="446"/>
      <c r="G32" s="446"/>
      <c r="H32" s="446"/>
      <c r="I32" s="446"/>
      <c r="J32" s="1012"/>
      <c r="K32" s="1012"/>
      <c r="L32" s="1012"/>
      <c r="M32" s="1012"/>
      <c r="N32" s="1012"/>
      <c r="O32" s="1012"/>
      <c r="P32" s="1012"/>
      <c r="Q32" s="1010"/>
      <c r="R32" s="76"/>
      <c r="S32" s="3"/>
      <c r="T32" s="299"/>
      <c r="U32" s="568"/>
      <c r="V32" s="1035"/>
      <c r="W32" s="3"/>
      <c r="X32" s="1043" t="str">
        <f t="shared" si="25"/>
        <v>.</v>
      </c>
      <c r="Y32" s="1044" t="str">
        <f t="shared" si="4"/>
        <v>.</v>
      </c>
      <c r="Z32" s="1044" t="str">
        <f t="shared" si="5"/>
        <v>.</v>
      </c>
      <c r="AA32" s="1044" t="str">
        <f t="shared" si="6"/>
        <v>.</v>
      </c>
      <c r="AB32" s="1044" t="str">
        <f t="shared" si="7"/>
        <v>.</v>
      </c>
      <c r="AC32" s="1044" t="str">
        <f t="shared" si="8"/>
        <v>.</v>
      </c>
      <c r="AD32" s="1045" t="str">
        <f t="shared" si="9"/>
        <v>.</v>
      </c>
      <c r="AE32" s="3"/>
      <c r="AF32" s="1055" t="str">
        <f t="shared" si="22"/>
        <v>.</v>
      </c>
      <c r="AG32" s="258" t="str">
        <f t="shared" si="10"/>
        <v>.</v>
      </c>
      <c r="AH32" s="258" t="str">
        <f t="shared" si="11"/>
        <v>.</v>
      </c>
      <c r="AI32" s="258" t="str">
        <f t="shared" si="12"/>
        <v>.</v>
      </c>
      <c r="AJ32" s="258" t="str">
        <f t="shared" si="13"/>
        <v>.</v>
      </c>
      <c r="AK32" s="258" t="str">
        <f t="shared" si="14"/>
        <v>.</v>
      </c>
      <c r="AL32" s="1056" t="str">
        <f t="shared" si="15"/>
        <v>.</v>
      </c>
      <c r="AM32" s="3"/>
      <c r="AN32" s="1043" t="str">
        <f>IF(X32=".",".",SUM($X32:X32))</f>
        <v>.</v>
      </c>
      <c r="AO32" s="1044" t="str">
        <f>IF(Y32=".",".",SUM($X32:Y32))</f>
        <v>.</v>
      </c>
      <c r="AP32" s="1044" t="str">
        <f>IF(Z32=".",".",SUM($X32:Z32))</f>
        <v>.</v>
      </c>
      <c r="AQ32" s="1044" t="str">
        <f>IF(AA32=".",".",SUM($X32:AA32))</f>
        <v>.</v>
      </c>
      <c r="AR32" s="1044" t="str">
        <f>IF(AB32=".",".",SUM($X32:AB32))</f>
        <v>.</v>
      </c>
      <c r="AS32" s="1044" t="str">
        <f>IF(AC32=".",".",SUM($X32:AC32))</f>
        <v>.</v>
      </c>
      <c r="AT32" s="1045" t="str">
        <f>IF(AD32=".",".",SUM($X32:AD32))</f>
        <v>.</v>
      </c>
      <c r="AU32" s="3"/>
      <c r="AV32" s="1055" t="str">
        <f t="shared" si="23"/>
        <v>.</v>
      </c>
      <c r="AW32" s="258" t="str">
        <f t="shared" si="16"/>
        <v>.</v>
      </c>
      <c r="AX32" s="258" t="str">
        <f t="shared" si="17"/>
        <v>.</v>
      </c>
      <c r="AY32" s="258" t="str">
        <f t="shared" si="18"/>
        <v>.</v>
      </c>
      <c r="AZ32" s="258" t="str">
        <f t="shared" si="19"/>
        <v>.</v>
      </c>
      <c r="BA32" s="258" t="str">
        <f t="shared" si="20"/>
        <v>.</v>
      </c>
      <c r="BB32" s="1056" t="str">
        <f t="shared" si="21"/>
        <v>.</v>
      </c>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row>
    <row r="33" spans="1:145" x14ac:dyDescent="0.2">
      <c r="A33" s="620"/>
      <c r="B33" s="1001" t="str">
        <f t="shared" si="24"/>
        <v>Residential</v>
      </c>
      <c r="C33" s="1006" t="str">
        <f>IF('WS3 - Notional General Income'!C26="","",'WS3 - Notional General Income'!C26)</f>
        <v/>
      </c>
      <c r="D33" s="1007" t="s">
        <v>687</v>
      </c>
      <c r="E33" s="446"/>
      <c r="F33" s="446"/>
      <c r="G33" s="446"/>
      <c r="H33" s="446"/>
      <c r="I33" s="446"/>
      <c r="J33" s="1012"/>
      <c r="K33" s="1012"/>
      <c r="L33" s="1012"/>
      <c r="M33" s="1012"/>
      <c r="N33" s="1012"/>
      <c r="O33" s="1012"/>
      <c r="P33" s="1012"/>
      <c r="Q33" s="1010"/>
      <c r="R33" s="76"/>
      <c r="S33" s="3"/>
      <c r="T33" s="299"/>
      <c r="U33" s="568"/>
      <c r="V33" s="1035"/>
      <c r="W33" s="3"/>
      <c r="X33" s="1043" t="str">
        <f t="shared" ref="X33:X95" si="26">IF(K33="",".",K33-J33)</f>
        <v>.</v>
      </c>
      <c r="Y33" s="1044" t="str">
        <f t="shared" ref="Y33:Y95" si="27">IF(L33="",".",L33-K33)</f>
        <v>.</v>
      </c>
      <c r="Z33" s="1044" t="str">
        <f t="shared" ref="Z33:Z95" si="28">IF(M33="",".",M33-L33)</f>
        <v>.</v>
      </c>
      <c r="AA33" s="1044" t="str">
        <f t="shared" ref="AA33:AA95" si="29">IF(N33="",".",N33-M33)</f>
        <v>.</v>
      </c>
      <c r="AB33" s="1044" t="str">
        <f t="shared" ref="AB33:AB95" si="30">IF(O33="",".",O33-N33)</f>
        <v>.</v>
      </c>
      <c r="AC33" s="1044" t="str">
        <f t="shared" ref="AC33:AC95" si="31">IF(P33="",".",P33-O33)</f>
        <v>.</v>
      </c>
      <c r="AD33" s="1045" t="str">
        <f t="shared" ref="AD33:AD95" si="32">IF(Q33="",".",Q33-P33)</f>
        <v>.</v>
      </c>
      <c r="AE33" s="3"/>
      <c r="AF33" s="1055" t="str">
        <f t="shared" ref="AF33:AF95" si="33">IFERROR(K33/J33-1,".")</f>
        <v>.</v>
      </c>
      <c r="AG33" s="258" t="str">
        <f t="shared" ref="AG33:AG95" si="34">IFERROR(L33/K33-1,".")</f>
        <v>.</v>
      </c>
      <c r="AH33" s="258" t="str">
        <f t="shared" ref="AH33:AH95" si="35">IFERROR(M33/L33-1,".")</f>
        <v>.</v>
      </c>
      <c r="AI33" s="258" t="str">
        <f t="shared" ref="AI33:AI95" si="36">IFERROR(N33/M33-1,".")</f>
        <v>.</v>
      </c>
      <c r="AJ33" s="258" t="str">
        <f t="shared" ref="AJ33:AJ95" si="37">IFERROR(O33/N33-1,".")</f>
        <v>.</v>
      </c>
      <c r="AK33" s="258" t="str">
        <f t="shared" ref="AK33:AK95" si="38">IFERROR(P33/O33-1,".")</f>
        <v>.</v>
      </c>
      <c r="AL33" s="1056" t="str">
        <f t="shared" ref="AL33:AL95" si="39">IFERROR(Q33/P33-1,".")</f>
        <v>.</v>
      </c>
      <c r="AM33" s="3"/>
      <c r="AN33" s="1043" t="str">
        <f>IF(X33=".",".",SUM($X33:X33))</f>
        <v>.</v>
      </c>
      <c r="AO33" s="1044" t="str">
        <f>IF(Y33=".",".",SUM($X33:Y33))</f>
        <v>.</v>
      </c>
      <c r="AP33" s="1044" t="str">
        <f>IF(Z33=".",".",SUM($X33:Z33))</f>
        <v>.</v>
      </c>
      <c r="AQ33" s="1044" t="str">
        <f>IF(AA33=".",".",SUM($X33:AA33))</f>
        <v>.</v>
      </c>
      <c r="AR33" s="1044" t="str">
        <f>IF(AB33=".",".",SUM($X33:AB33))</f>
        <v>.</v>
      </c>
      <c r="AS33" s="1044" t="str">
        <f>IF(AC33=".",".",SUM($X33:AC33))</f>
        <v>.</v>
      </c>
      <c r="AT33" s="1045" t="str">
        <f>IF(AD33=".",".",SUM($X33:AD33))</f>
        <v>.</v>
      </c>
      <c r="AU33" s="3"/>
      <c r="AV33" s="1055" t="str">
        <f t="shared" ref="AV33:AV95" si="40">IFERROR(K33/$J33-1,".")</f>
        <v>.</v>
      </c>
      <c r="AW33" s="258" t="str">
        <f t="shared" ref="AW33:AW95" si="41">IFERROR(L33/$J33-1,".")</f>
        <v>.</v>
      </c>
      <c r="AX33" s="258" t="str">
        <f t="shared" ref="AX33:AX95" si="42">IFERROR(M33/$J33-1,".")</f>
        <v>.</v>
      </c>
      <c r="AY33" s="258" t="str">
        <f t="shared" ref="AY33:AY95" si="43">IFERROR(N33/$J33-1,".")</f>
        <v>.</v>
      </c>
      <c r="AZ33" s="258" t="str">
        <f t="shared" ref="AZ33:AZ95" si="44">IFERROR(O33/$J33-1,".")</f>
        <v>.</v>
      </c>
      <c r="BA33" s="258" t="str">
        <f t="shared" ref="BA33:BA95" si="45">IFERROR(P33/$J33-1,".")</f>
        <v>.</v>
      </c>
      <c r="BB33" s="1056" t="str">
        <f t="shared" ref="BB33:BB95" si="46">IFERROR(Q33/$J33-1,".")</f>
        <v>.</v>
      </c>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row>
    <row r="34" spans="1:145" x14ac:dyDescent="0.2">
      <c r="A34" s="620"/>
      <c r="B34" s="1001" t="str">
        <f t="shared" si="24"/>
        <v>Residential</v>
      </c>
      <c r="C34" s="1006" t="str">
        <f>IF('WS3 - Notional General Income'!C27="","",'WS3 - Notional General Income'!C27)</f>
        <v/>
      </c>
      <c r="D34" s="1007" t="s">
        <v>687</v>
      </c>
      <c r="E34" s="446"/>
      <c r="F34" s="446"/>
      <c r="G34" s="446"/>
      <c r="H34" s="446"/>
      <c r="I34" s="446"/>
      <c r="J34" s="1012"/>
      <c r="K34" s="1012"/>
      <c r="L34" s="1012"/>
      <c r="M34" s="1012"/>
      <c r="N34" s="1012"/>
      <c r="O34" s="1012"/>
      <c r="P34" s="1012"/>
      <c r="Q34" s="1010"/>
      <c r="R34" s="76"/>
      <c r="S34" s="3"/>
      <c r="T34" s="299"/>
      <c r="U34" s="568"/>
      <c r="V34" s="1035"/>
      <c r="W34" s="3"/>
      <c r="X34" s="1043" t="str">
        <f t="shared" si="26"/>
        <v>.</v>
      </c>
      <c r="Y34" s="1044" t="str">
        <f t="shared" si="27"/>
        <v>.</v>
      </c>
      <c r="Z34" s="1044" t="str">
        <f t="shared" si="28"/>
        <v>.</v>
      </c>
      <c r="AA34" s="1044" t="str">
        <f t="shared" si="29"/>
        <v>.</v>
      </c>
      <c r="AB34" s="1044" t="str">
        <f t="shared" si="30"/>
        <v>.</v>
      </c>
      <c r="AC34" s="1044" t="str">
        <f t="shared" si="31"/>
        <v>.</v>
      </c>
      <c r="AD34" s="1045" t="str">
        <f t="shared" si="32"/>
        <v>.</v>
      </c>
      <c r="AE34" s="3"/>
      <c r="AF34" s="1055" t="str">
        <f t="shared" si="33"/>
        <v>.</v>
      </c>
      <c r="AG34" s="258" t="str">
        <f t="shared" si="34"/>
        <v>.</v>
      </c>
      <c r="AH34" s="258" t="str">
        <f t="shared" si="35"/>
        <v>.</v>
      </c>
      <c r="AI34" s="258" t="str">
        <f t="shared" si="36"/>
        <v>.</v>
      </c>
      <c r="AJ34" s="258" t="str">
        <f t="shared" si="37"/>
        <v>.</v>
      </c>
      <c r="AK34" s="258" t="str">
        <f t="shared" si="38"/>
        <v>.</v>
      </c>
      <c r="AL34" s="1056" t="str">
        <f t="shared" si="39"/>
        <v>.</v>
      </c>
      <c r="AM34" s="3"/>
      <c r="AN34" s="1043" t="str">
        <f>IF(X34=".",".",SUM($X34:X34))</f>
        <v>.</v>
      </c>
      <c r="AO34" s="1044" t="str">
        <f>IF(Y34=".",".",SUM($X34:Y34))</f>
        <v>.</v>
      </c>
      <c r="AP34" s="1044" t="str">
        <f>IF(Z34=".",".",SUM($X34:Z34))</f>
        <v>.</v>
      </c>
      <c r="AQ34" s="1044" t="str">
        <f>IF(AA34=".",".",SUM($X34:AA34))</f>
        <v>.</v>
      </c>
      <c r="AR34" s="1044" t="str">
        <f>IF(AB34=".",".",SUM($X34:AB34))</f>
        <v>.</v>
      </c>
      <c r="AS34" s="1044" t="str">
        <f>IF(AC34=".",".",SUM($X34:AC34))</f>
        <v>.</v>
      </c>
      <c r="AT34" s="1045" t="str">
        <f>IF(AD34=".",".",SUM($X34:AD34))</f>
        <v>.</v>
      </c>
      <c r="AU34" s="3"/>
      <c r="AV34" s="1055" t="str">
        <f t="shared" si="40"/>
        <v>.</v>
      </c>
      <c r="AW34" s="258" t="str">
        <f t="shared" si="41"/>
        <v>.</v>
      </c>
      <c r="AX34" s="258" t="str">
        <f t="shared" si="42"/>
        <v>.</v>
      </c>
      <c r="AY34" s="258" t="str">
        <f t="shared" si="43"/>
        <v>.</v>
      </c>
      <c r="AZ34" s="258" t="str">
        <f t="shared" si="44"/>
        <v>.</v>
      </c>
      <c r="BA34" s="258" t="str">
        <f t="shared" si="45"/>
        <v>.</v>
      </c>
      <c r="BB34" s="1056" t="str">
        <f t="shared" si="46"/>
        <v>.</v>
      </c>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row>
    <row r="35" spans="1:145" x14ac:dyDescent="0.2">
      <c r="A35" s="620"/>
      <c r="B35" s="1001" t="str">
        <f t="shared" si="24"/>
        <v>Residential</v>
      </c>
      <c r="C35" s="1006" t="str">
        <f>IF('WS3 - Notional General Income'!C28="","",'WS3 - Notional General Income'!C28)</f>
        <v/>
      </c>
      <c r="D35" s="1007" t="s">
        <v>687</v>
      </c>
      <c r="E35" s="446"/>
      <c r="F35" s="446"/>
      <c r="G35" s="446"/>
      <c r="H35" s="446"/>
      <c r="I35" s="446"/>
      <c r="J35" s="1012"/>
      <c r="K35" s="1012"/>
      <c r="L35" s="1012"/>
      <c r="M35" s="1012"/>
      <c r="N35" s="1012"/>
      <c r="O35" s="1012"/>
      <c r="P35" s="1012"/>
      <c r="Q35" s="1010"/>
      <c r="R35" s="76"/>
      <c r="S35" s="3"/>
      <c r="T35" s="299"/>
      <c r="U35" s="568"/>
      <c r="V35" s="1035"/>
      <c r="W35" s="3"/>
      <c r="X35" s="1043" t="str">
        <f t="shared" si="26"/>
        <v>.</v>
      </c>
      <c r="Y35" s="1044" t="str">
        <f t="shared" si="27"/>
        <v>.</v>
      </c>
      <c r="Z35" s="1044" t="str">
        <f t="shared" si="28"/>
        <v>.</v>
      </c>
      <c r="AA35" s="1044" t="str">
        <f t="shared" si="29"/>
        <v>.</v>
      </c>
      <c r="AB35" s="1044" t="str">
        <f t="shared" si="30"/>
        <v>.</v>
      </c>
      <c r="AC35" s="1044" t="str">
        <f t="shared" si="31"/>
        <v>.</v>
      </c>
      <c r="AD35" s="1045" t="str">
        <f t="shared" si="32"/>
        <v>.</v>
      </c>
      <c r="AE35" s="3"/>
      <c r="AF35" s="1055" t="str">
        <f t="shared" si="33"/>
        <v>.</v>
      </c>
      <c r="AG35" s="258" t="str">
        <f t="shared" si="34"/>
        <v>.</v>
      </c>
      <c r="AH35" s="258" t="str">
        <f t="shared" si="35"/>
        <v>.</v>
      </c>
      <c r="AI35" s="258" t="str">
        <f t="shared" si="36"/>
        <v>.</v>
      </c>
      <c r="AJ35" s="258" t="str">
        <f t="shared" si="37"/>
        <v>.</v>
      </c>
      <c r="AK35" s="258" t="str">
        <f t="shared" si="38"/>
        <v>.</v>
      </c>
      <c r="AL35" s="1056" t="str">
        <f t="shared" si="39"/>
        <v>.</v>
      </c>
      <c r="AM35" s="3"/>
      <c r="AN35" s="1043" t="str">
        <f>IF(X35=".",".",SUM($X35:X35))</f>
        <v>.</v>
      </c>
      <c r="AO35" s="1044" t="str">
        <f>IF(Y35=".",".",SUM($X35:Y35))</f>
        <v>.</v>
      </c>
      <c r="AP35" s="1044" t="str">
        <f>IF(Z35=".",".",SUM($X35:Z35))</f>
        <v>.</v>
      </c>
      <c r="AQ35" s="1044" t="str">
        <f>IF(AA35=".",".",SUM($X35:AA35))</f>
        <v>.</v>
      </c>
      <c r="AR35" s="1044" t="str">
        <f>IF(AB35=".",".",SUM($X35:AB35))</f>
        <v>.</v>
      </c>
      <c r="AS35" s="1044" t="str">
        <f>IF(AC35=".",".",SUM($X35:AC35))</f>
        <v>.</v>
      </c>
      <c r="AT35" s="1045" t="str">
        <f>IF(AD35=".",".",SUM($X35:AD35))</f>
        <v>.</v>
      </c>
      <c r="AU35" s="3"/>
      <c r="AV35" s="1055" t="str">
        <f t="shared" si="40"/>
        <v>.</v>
      </c>
      <c r="AW35" s="258" t="str">
        <f t="shared" si="41"/>
        <v>.</v>
      </c>
      <c r="AX35" s="258" t="str">
        <f t="shared" si="42"/>
        <v>.</v>
      </c>
      <c r="AY35" s="258" t="str">
        <f t="shared" si="43"/>
        <v>.</v>
      </c>
      <c r="AZ35" s="258" t="str">
        <f t="shared" si="44"/>
        <v>.</v>
      </c>
      <c r="BA35" s="258" t="str">
        <f t="shared" si="45"/>
        <v>.</v>
      </c>
      <c r="BB35" s="1056" t="str">
        <f t="shared" si="46"/>
        <v>.</v>
      </c>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row>
    <row r="36" spans="1:145" x14ac:dyDescent="0.2">
      <c r="A36" s="620"/>
      <c r="B36" s="1001" t="str">
        <f t="shared" si="24"/>
        <v>Residential</v>
      </c>
      <c r="C36" s="1006" t="str">
        <f>IF('WS3 - Notional General Income'!C29="","",'WS3 - Notional General Income'!C29)</f>
        <v/>
      </c>
      <c r="D36" s="1007" t="s">
        <v>687</v>
      </c>
      <c r="E36" s="446"/>
      <c r="F36" s="446"/>
      <c r="G36" s="446"/>
      <c r="H36" s="446"/>
      <c r="I36" s="446"/>
      <c r="J36" s="1012"/>
      <c r="K36" s="1012"/>
      <c r="L36" s="1012"/>
      <c r="M36" s="1012"/>
      <c r="N36" s="1012"/>
      <c r="O36" s="1012"/>
      <c r="P36" s="1012"/>
      <c r="Q36" s="1010"/>
      <c r="R36" s="76"/>
      <c r="S36" s="3"/>
      <c r="T36" s="299"/>
      <c r="U36" s="568"/>
      <c r="V36" s="1035"/>
      <c r="W36" s="3"/>
      <c r="X36" s="1043" t="str">
        <f t="shared" si="26"/>
        <v>.</v>
      </c>
      <c r="Y36" s="1044" t="str">
        <f t="shared" si="27"/>
        <v>.</v>
      </c>
      <c r="Z36" s="1044" t="str">
        <f t="shared" si="28"/>
        <v>.</v>
      </c>
      <c r="AA36" s="1044" t="str">
        <f t="shared" si="29"/>
        <v>.</v>
      </c>
      <c r="AB36" s="1044" t="str">
        <f t="shared" si="30"/>
        <v>.</v>
      </c>
      <c r="AC36" s="1044" t="str">
        <f t="shared" si="31"/>
        <v>.</v>
      </c>
      <c r="AD36" s="1045" t="str">
        <f t="shared" si="32"/>
        <v>.</v>
      </c>
      <c r="AE36" s="3"/>
      <c r="AF36" s="1055" t="str">
        <f t="shared" si="33"/>
        <v>.</v>
      </c>
      <c r="AG36" s="258" t="str">
        <f t="shared" si="34"/>
        <v>.</v>
      </c>
      <c r="AH36" s="258" t="str">
        <f t="shared" si="35"/>
        <v>.</v>
      </c>
      <c r="AI36" s="258" t="str">
        <f t="shared" si="36"/>
        <v>.</v>
      </c>
      <c r="AJ36" s="258" t="str">
        <f t="shared" si="37"/>
        <v>.</v>
      </c>
      <c r="AK36" s="258" t="str">
        <f t="shared" si="38"/>
        <v>.</v>
      </c>
      <c r="AL36" s="1056" t="str">
        <f t="shared" si="39"/>
        <v>.</v>
      </c>
      <c r="AM36" s="3"/>
      <c r="AN36" s="1043" t="str">
        <f>IF(X36=".",".",SUM($X36:X36))</f>
        <v>.</v>
      </c>
      <c r="AO36" s="1044" t="str">
        <f>IF(Y36=".",".",SUM($X36:Y36))</f>
        <v>.</v>
      </c>
      <c r="AP36" s="1044" t="str">
        <f>IF(Z36=".",".",SUM($X36:Z36))</f>
        <v>.</v>
      </c>
      <c r="AQ36" s="1044" t="str">
        <f>IF(AA36=".",".",SUM($X36:AA36))</f>
        <v>.</v>
      </c>
      <c r="AR36" s="1044" t="str">
        <f>IF(AB36=".",".",SUM($X36:AB36))</f>
        <v>.</v>
      </c>
      <c r="AS36" s="1044" t="str">
        <f>IF(AC36=".",".",SUM($X36:AC36))</f>
        <v>.</v>
      </c>
      <c r="AT36" s="1045" t="str">
        <f>IF(AD36=".",".",SUM($X36:AD36))</f>
        <v>.</v>
      </c>
      <c r="AU36" s="3"/>
      <c r="AV36" s="1055" t="str">
        <f t="shared" si="40"/>
        <v>.</v>
      </c>
      <c r="AW36" s="258" t="str">
        <f t="shared" si="41"/>
        <v>.</v>
      </c>
      <c r="AX36" s="258" t="str">
        <f t="shared" si="42"/>
        <v>.</v>
      </c>
      <c r="AY36" s="258" t="str">
        <f t="shared" si="43"/>
        <v>.</v>
      </c>
      <c r="AZ36" s="258" t="str">
        <f t="shared" si="44"/>
        <v>.</v>
      </c>
      <c r="BA36" s="258" t="str">
        <f t="shared" si="45"/>
        <v>.</v>
      </c>
      <c r="BB36" s="1056" t="str">
        <f t="shared" si="46"/>
        <v>.</v>
      </c>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row>
    <row r="37" spans="1:145" x14ac:dyDescent="0.2">
      <c r="A37" s="620"/>
      <c r="B37" s="1001" t="str">
        <f t="shared" si="24"/>
        <v>Residential</v>
      </c>
      <c r="C37" s="1006" t="str">
        <f>IF('WS3 - Notional General Income'!C30="","",'WS3 - Notional General Income'!C30)</f>
        <v/>
      </c>
      <c r="D37" s="1007" t="s">
        <v>687</v>
      </c>
      <c r="E37" s="446"/>
      <c r="F37" s="446"/>
      <c r="G37" s="446"/>
      <c r="H37" s="446"/>
      <c r="I37" s="446"/>
      <c r="J37" s="1012"/>
      <c r="K37" s="1012"/>
      <c r="L37" s="1012"/>
      <c r="M37" s="1012"/>
      <c r="N37" s="1012"/>
      <c r="O37" s="1012"/>
      <c r="P37" s="1012"/>
      <c r="Q37" s="1010"/>
      <c r="R37" s="76"/>
      <c r="S37" s="3"/>
      <c r="T37" s="299"/>
      <c r="U37" s="568"/>
      <c r="V37" s="1035"/>
      <c r="W37" s="3"/>
      <c r="X37" s="1043" t="str">
        <f t="shared" si="26"/>
        <v>.</v>
      </c>
      <c r="Y37" s="1044" t="str">
        <f t="shared" si="27"/>
        <v>.</v>
      </c>
      <c r="Z37" s="1044" t="str">
        <f t="shared" si="28"/>
        <v>.</v>
      </c>
      <c r="AA37" s="1044" t="str">
        <f t="shared" si="29"/>
        <v>.</v>
      </c>
      <c r="AB37" s="1044" t="str">
        <f t="shared" si="30"/>
        <v>.</v>
      </c>
      <c r="AC37" s="1044" t="str">
        <f t="shared" si="31"/>
        <v>.</v>
      </c>
      <c r="AD37" s="1045" t="str">
        <f t="shared" si="32"/>
        <v>.</v>
      </c>
      <c r="AE37" s="3"/>
      <c r="AF37" s="1055" t="str">
        <f t="shared" si="33"/>
        <v>.</v>
      </c>
      <c r="AG37" s="258" t="str">
        <f t="shared" si="34"/>
        <v>.</v>
      </c>
      <c r="AH37" s="258" t="str">
        <f t="shared" si="35"/>
        <v>.</v>
      </c>
      <c r="AI37" s="258" t="str">
        <f t="shared" si="36"/>
        <v>.</v>
      </c>
      <c r="AJ37" s="258" t="str">
        <f t="shared" si="37"/>
        <v>.</v>
      </c>
      <c r="AK37" s="258" t="str">
        <f t="shared" si="38"/>
        <v>.</v>
      </c>
      <c r="AL37" s="1056" t="str">
        <f t="shared" si="39"/>
        <v>.</v>
      </c>
      <c r="AM37" s="3"/>
      <c r="AN37" s="1043" t="str">
        <f>IF(X37=".",".",SUM($X37:X37))</f>
        <v>.</v>
      </c>
      <c r="AO37" s="1044" t="str">
        <f>IF(Y37=".",".",SUM($X37:Y37))</f>
        <v>.</v>
      </c>
      <c r="AP37" s="1044" t="str">
        <f>IF(Z37=".",".",SUM($X37:Z37))</f>
        <v>.</v>
      </c>
      <c r="AQ37" s="1044" t="str">
        <f>IF(AA37=".",".",SUM($X37:AA37))</f>
        <v>.</v>
      </c>
      <c r="AR37" s="1044" t="str">
        <f>IF(AB37=".",".",SUM($X37:AB37))</f>
        <v>.</v>
      </c>
      <c r="AS37" s="1044" t="str">
        <f>IF(AC37=".",".",SUM($X37:AC37))</f>
        <v>.</v>
      </c>
      <c r="AT37" s="1045" t="str">
        <f>IF(AD37=".",".",SUM($X37:AD37))</f>
        <v>.</v>
      </c>
      <c r="AU37" s="3"/>
      <c r="AV37" s="1055" t="str">
        <f t="shared" si="40"/>
        <v>.</v>
      </c>
      <c r="AW37" s="258" t="str">
        <f t="shared" si="41"/>
        <v>.</v>
      </c>
      <c r="AX37" s="258" t="str">
        <f t="shared" si="42"/>
        <v>.</v>
      </c>
      <c r="AY37" s="258" t="str">
        <f t="shared" si="43"/>
        <v>.</v>
      </c>
      <c r="AZ37" s="258" t="str">
        <f t="shared" si="44"/>
        <v>.</v>
      </c>
      <c r="BA37" s="258" t="str">
        <f t="shared" si="45"/>
        <v>.</v>
      </c>
      <c r="BB37" s="1056" t="str">
        <f t="shared" si="46"/>
        <v>.</v>
      </c>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row>
    <row r="38" spans="1:145" x14ac:dyDescent="0.2">
      <c r="A38" s="620"/>
      <c r="B38" s="1001" t="str">
        <f t="shared" si="24"/>
        <v>Residential</v>
      </c>
      <c r="C38" s="1006" t="str">
        <f>IF('WS3 - Notional General Income'!C31="","",'WS3 - Notional General Income'!C31)</f>
        <v/>
      </c>
      <c r="D38" s="1007" t="s">
        <v>687</v>
      </c>
      <c r="E38" s="446"/>
      <c r="F38" s="446"/>
      <c r="G38" s="446"/>
      <c r="H38" s="446"/>
      <c r="I38" s="446"/>
      <c r="J38" s="1012"/>
      <c r="K38" s="1012"/>
      <c r="L38" s="1012"/>
      <c r="M38" s="1012"/>
      <c r="N38" s="1012"/>
      <c r="O38" s="1012"/>
      <c r="P38" s="1012"/>
      <c r="Q38" s="1010"/>
      <c r="R38" s="76"/>
      <c r="S38" s="3"/>
      <c r="T38" s="299"/>
      <c r="U38" s="568"/>
      <c r="V38" s="1035"/>
      <c r="W38" s="3"/>
      <c r="X38" s="1043" t="str">
        <f t="shared" si="26"/>
        <v>.</v>
      </c>
      <c r="Y38" s="1044" t="str">
        <f t="shared" si="27"/>
        <v>.</v>
      </c>
      <c r="Z38" s="1044" t="str">
        <f t="shared" si="28"/>
        <v>.</v>
      </c>
      <c r="AA38" s="1044" t="str">
        <f t="shared" si="29"/>
        <v>.</v>
      </c>
      <c r="AB38" s="1044" t="str">
        <f t="shared" si="30"/>
        <v>.</v>
      </c>
      <c r="AC38" s="1044" t="str">
        <f t="shared" si="31"/>
        <v>.</v>
      </c>
      <c r="AD38" s="1045" t="str">
        <f t="shared" si="32"/>
        <v>.</v>
      </c>
      <c r="AE38" s="3"/>
      <c r="AF38" s="1055" t="str">
        <f t="shared" si="33"/>
        <v>.</v>
      </c>
      <c r="AG38" s="258" t="str">
        <f t="shared" si="34"/>
        <v>.</v>
      </c>
      <c r="AH38" s="258" t="str">
        <f t="shared" si="35"/>
        <v>.</v>
      </c>
      <c r="AI38" s="258" t="str">
        <f t="shared" si="36"/>
        <v>.</v>
      </c>
      <c r="AJ38" s="258" t="str">
        <f t="shared" si="37"/>
        <v>.</v>
      </c>
      <c r="AK38" s="258" t="str">
        <f t="shared" si="38"/>
        <v>.</v>
      </c>
      <c r="AL38" s="1056" t="str">
        <f t="shared" si="39"/>
        <v>.</v>
      </c>
      <c r="AM38" s="3"/>
      <c r="AN38" s="1043" t="str">
        <f>IF(X38=".",".",SUM($X38:X38))</f>
        <v>.</v>
      </c>
      <c r="AO38" s="1044" t="str">
        <f>IF(Y38=".",".",SUM($X38:Y38))</f>
        <v>.</v>
      </c>
      <c r="AP38" s="1044" t="str">
        <f>IF(Z38=".",".",SUM($X38:Z38))</f>
        <v>.</v>
      </c>
      <c r="AQ38" s="1044" t="str">
        <f>IF(AA38=".",".",SUM($X38:AA38))</f>
        <v>.</v>
      </c>
      <c r="AR38" s="1044" t="str">
        <f>IF(AB38=".",".",SUM($X38:AB38))</f>
        <v>.</v>
      </c>
      <c r="AS38" s="1044" t="str">
        <f>IF(AC38=".",".",SUM($X38:AC38))</f>
        <v>.</v>
      </c>
      <c r="AT38" s="1045" t="str">
        <f>IF(AD38=".",".",SUM($X38:AD38))</f>
        <v>.</v>
      </c>
      <c r="AU38" s="3"/>
      <c r="AV38" s="1055" t="str">
        <f t="shared" si="40"/>
        <v>.</v>
      </c>
      <c r="AW38" s="258" t="str">
        <f t="shared" si="41"/>
        <v>.</v>
      </c>
      <c r="AX38" s="258" t="str">
        <f t="shared" si="42"/>
        <v>.</v>
      </c>
      <c r="AY38" s="258" t="str">
        <f t="shared" si="43"/>
        <v>.</v>
      </c>
      <c r="AZ38" s="258" t="str">
        <f t="shared" si="44"/>
        <v>.</v>
      </c>
      <c r="BA38" s="258" t="str">
        <f t="shared" si="45"/>
        <v>.</v>
      </c>
      <c r="BB38" s="1056" t="str">
        <f t="shared" si="46"/>
        <v>.</v>
      </c>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row>
    <row r="39" spans="1:145" x14ac:dyDescent="0.2">
      <c r="A39" s="620"/>
      <c r="B39" s="1001" t="str">
        <f t="shared" si="24"/>
        <v>Residential</v>
      </c>
      <c r="C39" s="1006" t="str">
        <f>IF('WS3 - Notional General Income'!C32="","",'WS3 - Notional General Income'!C32)</f>
        <v/>
      </c>
      <c r="D39" s="1007" t="s">
        <v>687</v>
      </c>
      <c r="E39" s="446"/>
      <c r="F39" s="446"/>
      <c r="G39" s="446"/>
      <c r="H39" s="446"/>
      <c r="I39" s="446"/>
      <c r="J39" s="1012"/>
      <c r="K39" s="1012"/>
      <c r="L39" s="1012"/>
      <c r="M39" s="1012"/>
      <c r="N39" s="1012"/>
      <c r="O39" s="1012"/>
      <c r="P39" s="1012"/>
      <c r="Q39" s="1010"/>
      <c r="R39" s="76"/>
      <c r="S39" s="3"/>
      <c r="T39" s="299"/>
      <c r="U39" s="568"/>
      <c r="V39" s="1035"/>
      <c r="W39" s="3"/>
      <c r="X39" s="1043" t="str">
        <f t="shared" si="26"/>
        <v>.</v>
      </c>
      <c r="Y39" s="1044" t="str">
        <f t="shared" si="27"/>
        <v>.</v>
      </c>
      <c r="Z39" s="1044" t="str">
        <f t="shared" si="28"/>
        <v>.</v>
      </c>
      <c r="AA39" s="1044" t="str">
        <f t="shared" si="29"/>
        <v>.</v>
      </c>
      <c r="AB39" s="1044" t="str">
        <f t="shared" si="30"/>
        <v>.</v>
      </c>
      <c r="AC39" s="1044" t="str">
        <f t="shared" si="31"/>
        <v>.</v>
      </c>
      <c r="AD39" s="1045" t="str">
        <f t="shared" si="32"/>
        <v>.</v>
      </c>
      <c r="AE39" s="3"/>
      <c r="AF39" s="1055" t="str">
        <f t="shared" si="33"/>
        <v>.</v>
      </c>
      <c r="AG39" s="258" t="str">
        <f t="shared" si="34"/>
        <v>.</v>
      </c>
      <c r="AH39" s="258" t="str">
        <f t="shared" si="35"/>
        <v>.</v>
      </c>
      <c r="AI39" s="258" t="str">
        <f t="shared" si="36"/>
        <v>.</v>
      </c>
      <c r="AJ39" s="258" t="str">
        <f t="shared" si="37"/>
        <v>.</v>
      </c>
      <c r="AK39" s="258" t="str">
        <f t="shared" si="38"/>
        <v>.</v>
      </c>
      <c r="AL39" s="1056" t="str">
        <f t="shared" si="39"/>
        <v>.</v>
      </c>
      <c r="AM39" s="3"/>
      <c r="AN39" s="1043" t="str">
        <f>IF(X39=".",".",SUM($X39:X39))</f>
        <v>.</v>
      </c>
      <c r="AO39" s="1044" t="str">
        <f>IF(Y39=".",".",SUM($X39:Y39))</f>
        <v>.</v>
      </c>
      <c r="AP39" s="1044" t="str">
        <f>IF(Z39=".",".",SUM($X39:Z39))</f>
        <v>.</v>
      </c>
      <c r="AQ39" s="1044" t="str">
        <f>IF(AA39=".",".",SUM($X39:AA39))</f>
        <v>.</v>
      </c>
      <c r="AR39" s="1044" t="str">
        <f>IF(AB39=".",".",SUM($X39:AB39))</f>
        <v>.</v>
      </c>
      <c r="AS39" s="1044" t="str">
        <f>IF(AC39=".",".",SUM($X39:AC39))</f>
        <v>.</v>
      </c>
      <c r="AT39" s="1045" t="str">
        <f>IF(AD39=".",".",SUM($X39:AD39))</f>
        <v>.</v>
      </c>
      <c r="AU39" s="3"/>
      <c r="AV39" s="1055" t="str">
        <f t="shared" si="40"/>
        <v>.</v>
      </c>
      <c r="AW39" s="258" t="str">
        <f t="shared" si="41"/>
        <v>.</v>
      </c>
      <c r="AX39" s="258" t="str">
        <f t="shared" si="42"/>
        <v>.</v>
      </c>
      <c r="AY39" s="258" t="str">
        <f t="shared" si="43"/>
        <v>.</v>
      </c>
      <c r="AZ39" s="258" t="str">
        <f t="shared" si="44"/>
        <v>.</v>
      </c>
      <c r="BA39" s="258" t="str">
        <f t="shared" si="45"/>
        <v>.</v>
      </c>
      <c r="BB39" s="1056" t="str">
        <f t="shared" si="46"/>
        <v>.</v>
      </c>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row>
    <row r="40" spans="1:145" x14ac:dyDescent="0.2">
      <c r="A40" s="620"/>
      <c r="B40" s="1001" t="str">
        <f t="shared" si="24"/>
        <v>Residential</v>
      </c>
      <c r="C40" s="1006" t="str">
        <f>IF('WS3 - Notional General Income'!C33="","",'WS3 - Notional General Income'!C33)</f>
        <v/>
      </c>
      <c r="D40" s="1007" t="s">
        <v>687</v>
      </c>
      <c r="E40" s="446"/>
      <c r="F40" s="446"/>
      <c r="G40" s="446"/>
      <c r="H40" s="446"/>
      <c r="I40" s="446"/>
      <c r="J40" s="1012"/>
      <c r="K40" s="1012"/>
      <c r="L40" s="1012"/>
      <c r="M40" s="1012"/>
      <c r="N40" s="1012"/>
      <c r="O40" s="1012"/>
      <c r="P40" s="1012"/>
      <c r="Q40" s="1010"/>
      <c r="R40" s="76"/>
      <c r="S40" s="3"/>
      <c r="T40" s="299"/>
      <c r="U40" s="568"/>
      <c r="V40" s="1035"/>
      <c r="W40" s="3"/>
      <c r="X40" s="1043" t="str">
        <f t="shared" si="26"/>
        <v>.</v>
      </c>
      <c r="Y40" s="1044" t="str">
        <f t="shared" si="27"/>
        <v>.</v>
      </c>
      <c r="Z40" s="1044" t="str">
        <f t="shared" si="28"/>
        <v>.</v>
      </c>
      <c r="AA40" s="1044" t="str">
        <f t="shared" si="29"/>
        <v>.</v>
      </c>
      <c r="AB40" s="1044" t="str">
        <f t="shared" si="30"/>
        <v>.</v>
      </c>
      <c r="AC40" s="1044" t="str">
        <f t="shared" si="31"/>
        <v>.</v>
      </c>
      <c r="AD40" s="1045" t="str">
        <f t="shared" si="32"/>
        <v>.</v>
      </c>
      <c r="AE40" s="3"/>
      <c r="AF40" s="1055" t="str">
        <f t="shared" si="33"/>
        <v>.</v>
      </c>
      <c r="AG40" s="258" t="str">
        <f t="shared" si="34"/>
        <v>.</v>
      </c>
      <c r="AH40" s="258" t="str">
        <f t="shared" si="35"/>
        <v>.</v>
      </c>
      <c r="AI40" s="258" t="str">
        <f t="shared" si="36"/>
        <v>.</v>
      </c>
      <c r="AJ40" s="258" t="str">
        <f t="shared" si="37"/>
        <v>.</v>
      </c>
      <c r="AK40" s="258" t="str">
        <f t="shared" si="38"/>
        <v>.</v>
      </c>
      <c r="AL40" s="1056" t="str">
        <f t="shared" si="39"/>
        <v>.</v>
      </c>
      <c r="AM40" s="3"/>
      <c r="AN40" s="1043" t="str">
        <f>IF(X40=".",".",SUM($X40:X40))</f>
        <v>.</v>
      </c>
      <c r="AO40" s="1044" t="str">
        <f>IF(Y40=".",".",SUM($X40:Y40))</f>
        <v>.</v>
      </c>
      <c r="AP40" s="1044" t="str">
        <f>IF(Z40=".",".",SUM($X40:Z40))</f>
        <v>.</v>
      </c>
      <c r="AQ40" s="1044" t="str">
        <f>IF(AA40=".",".",SUM($X40:AA40))</f>
        <v>.</v>
      </c>
      <c r="AR40" s="1044" t="str">
        <f>IF(AB40=".",".",SUM($X40:AB40))</f>
        <v>.</v>
      </c>
      <c r="AS40" s="1044" t="str">
        <f>IF(AC40=".",".",SUM($X40:AC40))</f>
        <v>.</v>
      </c>
      <c r="AT40" s="1045" t="str">
        <f>IF(AD40=".",".",SUM($X40:AD40))</f>
        <v>.</v>
      </c>
      <c r="AU40" s="3"/>
      <c r="AV40" s="1055" t="str">
        <f t="shared" si="40"/>
        <v>.</v>
      </c>
      <c r="AW40" s="258" t="str">
        <f t="shared" si="41"/>
        <v>.</v>
      </c>
      <c r="AX40" s="258" t="str">
        <f t="shared" si="42"/>
        <v>.</v>
      </c>
      <c r="AY40" s="258" t="str">
        <f t="shared" si="43"/>
        <v>.</v>
      </c>
      <c r="AZ40" s="258" t="str">
        <f t="shared" si="44"/>
        <v>.</v>
      </c>
      <c r="BA40" s="258" t="str">
        <f t="shared" si="45"/>
        <v>.</v>
      </c>
      <c r="BB40" s="1056" t="str">
        <f t="shared" si="46"/>
        <v>.</v>
      </c>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row>
    <row r="41" spans="1:145" x14ac:dyDescent="0.2">
      <c r="A41" s="620"/>
      <c r="B41" s="1001" t="str">
        <f t="shared" si="24"/>
        <v>Residential</v>
      </c>
      <c r="C41" s="1006" t="str">
        <f>IF('WS3 - Notional General Income'!C34="","",'WS3 - Notional General Income'!C34)</f>
        <v/>
      </c>
      <c r="D41" s="1007" t="s">
        <v>687</v>
      </c>
      <c r="E41" s="446"/>
      <c r="F41" s="446"/>
      <c r="G41" s="446"/>
      <c r="H41" s="446"/>
      <c r="I41" s="446"/>
      <c r="J41" s="1012"/>
      <c r="K41" s="1012"/>
      <c r="L41" s="1012"/>
      <c r="M41" s="1012"/>
      <c r="N41" s="1012"/>
      <c r="O41" s="1012"/>
      <c r="P41" s="1012"/>
      <c r="Q41" s="1010"/>
      <c r="R41" s="76"/>
      <c r="S41" s="3"/>
      <c r="T41" s="299"/>
      <c r="U41" s="568"/>
      <c r="V41" s="1035"/>
      <c r="W41" s="3"/>
      <c r="X41" s="1043" t="str">
        <f t="shared" si="26"/>
        <v>.</v>
      </c>
      <c r="Y41" s="1044" t="str">
        <f t="shared" si="27"/>
        <v>.</v>
      </c>
      <c r="Z41" s="1044" t="str">
        <f t="shared" si="28"/>
        <v>.</v>
      </c>
      <c r="AA41" s="1044" t="str">
        <f t="shared" si="29"/>
        <v>.</v>
      </c>
      <c r="AB41" s="1044" t="str">
        <f t="shared" si="30"/>
        <v>.</v>
      </c>
      <c r="AC41" s="1044" t="str">
        <f t="shared" si="31"/>
        <v>.</v>
      </c>
      <c r="AD41" s="1045" t="str">
        <f t="shared" si="32"/>
        <v>.</v>
      </c>
      <c r="AE41" s="3"/>
      <c r="AF41" s="1055" t="str">
        <f t="shared" si="33"/>
        <v>.</v>
      </c>
      <c r="AG41" s="258" t="str">
        <f t="shared" si="34"/>
        <v>.</v>
      </c>
      <c r="AH41" s="258" t="str">
        <f t="shared" si="35"/>
        <v>.</v>
      </c>
      <c r="AI41" s="258" t="str">
        <f t="shared" si="36"/>
        <v>.</v>
      </c>
      <c r="AJ41" s="258" t="str">
        <f t="shared" si="37"/>
        <v>.</v>
      </c>
      <c r="AK41" s="258" t="str">
        <f t="shared" si="38"/>
        <v>.</v>
      </c>
      <c r="AL41" s="1056" t="str">
        <f t="shared" si="39"/>
        <v>.</v>
      </c>
      <c r="AM41" s="3"/>
      <c r="AN41" s="1043" t="str">
        <f>IF(X41=".",".",SUM($X41:X41))</f>
        <v>.</v>
      </c>
      <c r="AO41" s="1044" t="str">
        <f>IF(Y41=".",".",SUM($X41:Y41))</f>
        <v>.</v>
      </c>
      <c r="AP41" s="1044" t="str">
        <f>IF(Z41=".",".",SUM($X41:Z41))</f>
        <v>.</v>
      </c>
      <c r="AQ41" s="1044" t="str">
        <f>IF(AA41=".",".",SUM($X41:AA41))</f>
        <v>.</v>
      </c>
      <c r="AR41" s="1044" t="str">
        <f>IF(AB41=".",".",SUM($X41:AB41))</f>
        <v>.</v>
      </c>
      <c r="AS41" s="1044" t="str">
        <f>IF(AC41=".",".",SUM($X41:AC41))</f>
        <v>.</v>
      </c>
      <c r="AT41" s="1045" t="str">
        <f>IF(AD41=".",".",SUM($X41:AD41))</f>
        <v>.</v>
      </c>
      <c r="AU41" s="3"/>
      <c r="AV41" s="1055" t="str">
        <f t="shared" si="40"/>
        <v>.</v>
      </c>
      <c r="AW41" s="258" t="str">
        <f t="shared" si="41"/>
        <v>.</v>
      </c>
      <c r="AX41" s="258" t="str">
        <f t="shared" si="42"/>
        <v>.</v>
      </c>
      <c r="AY41" s="258" t="str">
        <f t="shared" si="43"/>
        <v>.</v>
      </c>
      <c r="AZ41" s="258" t="str">
        <f t="shared" si="44"/>
        <v>.</v>
      </c>
      <c r="BA41" s="258" t="str">
        <f t="shared" si="45"/>
        <v>.</v>
      </c>
      <c r="BB41" s="1056" t="str">
        <f t="shared" si="46"/>
        <v>.</v>
      </c>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row>
    <row r="42" spans="1:145" x14ac:dyDescent="0.2">
      <c r="A42" s="620"/>
      <c r="B42" s="1001" t="str">
        <f t="shared" si="24"/>
        <v>Residential</v>
      </c>
      <c r="C42" s="1006" t="str">
        <f>IF('WS3 - Notional General Income'!C35="","",'WS3 - Notional General Income'!C35)</f>
        <v/>
      </c>
      <c r="D42" s="1007" t="s">
        <v>687</v>
      </c>
      <c r="E42" s="446"/>
      <c r="F42" s="446"/>
      <c r="G42" s="446"/>
      <c r="H42" s="446"/>
      <c r="I42" s="446"/>
      <c r="J42" s="1012"/>
      <c r="K42" s="1012"/>
      <c r="L42" s="1012"/>
      <c r="M42" s="1012"/>
      <c r="N42" s="1012"/>
      <c r="O42" s="1012"/>
      <c r="P42" s="1012"/>
      <c r="Q42" s="1010"/>
      <c r="R42" s="76"/>
      <c r="S42" s="3"/>
      <c r="T42" s="299"/>
      <c r="U42" s="568"/>
      <c r="V42" s="1035"/>
      <c r="W42" s="3"/>
      <c r="X42" s="1043" t="str">
        <f t="shared" si="26"/>
        <v>.</v>
      </c>
      <c r="Y42" s="1044" t="str">
        <f t="shared" si="27"/>
        <v>.</v>
      </c>
      <c r="Z42" s="1044" t="str">
        <f t="shared" si="28"/>
        <v>.</v>
      </c>
      <c r="AA42" s="1044" t="str">
        <f t="shared" si="29"/>
        <v>.</v>
      </c>
      <c r="AB42" s="1044" t="str">
        <f t="shared" si="30"/>
        <v>.</v>
      </c>
      <c r="AC42" s="1044" t="str">
        <f t="shared" si="31"/>
        <v>.</v>
      </c>
      <c r="AD42" s="1045" t="str">
        <f t="shared" si="32"/>
        <v>.</v>
      </c>
      <c r="AE42" s="3"/>
      <c r="AF42" s="1055" t="str">
        <f t="shared" si="33"/>
        <v>.</v>
      </c>
      <c r="AG42" s="258" t="str">
        <f t="shared" si="34"/>
        <v>.</v>
      </c>
      <c r="AH42" s="258" t="str">
        <f t="shared" si="35"/>
        <v>.</v>
      </c>
      <c r="AI42" s="258" t="str">
        <f t="shared" si="36"/>
        <v>.</v>
      </c>
      <c r="AJ42" s="258" t="str">
        <f t="shared" si="37"/>
        <v>.</v>
      </c>
      <c r="AK42" s="258" t="str">
        <f t="shared" si="38"/>
        <v>.</v>
      </c>
      <c r="AL42" s="1056" t="str">
        <f t="shared" si="39"/>
        <v>.</v>
      </c>
      <c r="AM42" s="3"/>
      <c r="AN42" s="1043" t="str">
        <f>IF(X42=".",".",SUM($X42:X42))</f>
        <v>.</v>
      </c>
      <c r="AO42" s="1044" t="str">
        <f>IF(Y42=".",".",SUM($X42:Y42))</f>
        <v>.</v>
      </c>
      <c r="AP42" s="1044" t="str">
        <f>IF(Z42=".",".",SUM($X42:Z42))</f>
        <v>.</v>
      </c>
      <c r="AQ42" s="1044" t="str">
        <f>IF(AA42=".",".",SUM($X42:AA42))</f>
        <v>.</v>
      </c>
      <c r="AR42" s="1044" t="str">
        <f>IF(AB42=".",".",SUM($X42:AB42))</f>
        <v>.</v>
      </c>
      <c r="AS42" s="1044" t="str">
        <f>IF(AC42=".",".",SUM($X42:AC42))</f>
        <v>.</v>
      </c>
      <c r="AT42" s="1045" t="str">
        <f>IF(AD42=".",".",SUM($X42:AD42))</f>
        <v>.</v>
      </c>
      <c r="AU42" s="3"/>
      <c r="AV42" s="1055" t="str">
        <f t="shared" si="40"/>
        <v>.</v>
      </c>
      <c r="AW42" s="258" t="str">
        <f t="shared" si="41"/>
        <v>.</v>
      </c>
      <c r="AX42" s="258" t="str">
        <f t="shared" si="42"/>
        <v>.</v>
      </c>
      <c r="AY42" s="258" t="str">
        <f t="shared" si="43"/>
        <v>.</v>
      </c>
      <c r="AZ42" s="258" t="str">
        <f t="shared" si="44"/>
        <v>.</v>
      </c>
      <c r="BA42" s="258" t="str">
        <f t="shared" si="45"/>
        <v>.</v>
      </c>
      <c r="BB42" s="1056" t="str">
        <f t="shared" si="46"/>
        <v>.</v>
      </c>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row>
    <row r="43" spans="1:145" x14ac:dyDescent="0.2">
      <c r="A43" s="620"/>
      <c r="B43" s="1001" t="str">
        <f t="shared" si="24"/>
        <v>Residential</v>
      </c>
      <c r="C43" s="1006" t="str">
        <f>IF('WS3 - Notional General Income'!C36="","",'WS3 - Notional General Income'!C36)</f>
        <v/>
      </c>
      <c r="D43" s="1007" t="s">
        <v>687</v>
      </c>
      <c r="E43" s="446"/>
      <c r="F43" s="446"/>
      <c r="G43" s="446"/>
      <c r="H43" s="446"/>
      <c r="I43" s="446"/>
      <c r="J43" s="1012"/>
      <c r="K43" s="1012"/>
      <c r="L43" s="1012"/>
      <c r="M43" s="1012"/>
      <c r="N43" s="1012"/>
      <c r="O43" s="1012"/>
      <c r="P43" s="1012"/>
      <c r="Q43" s="1010"/>
      <c r="R43" s="76"/>
      <c r="S43" s="3"/>
      <c r="T43" s="299"/>
      <c r="U43" s="568"/>
      <c r="V43" s="1035"/>
      <c r="W43" s="3"/>
      <c r="X43" s="1043" t="str">
        <f t="shared" si="26"/>
        <v>.</v>
      </c>
      <c r="Y43" s="1044" t="str">
        <f t="shared" si="27"/>
        <v>.</v>
      </c>
      <c r="Z43" s="1044" t="str">
        <f t="shared" si="28"/>
        <v>.</v>
      </c>
      <c r="AA43" s="1044" t="str">
        <f t="shared" si="29"/>
        <v>.</v>
      </c>
      <c r="AB43" s="1044" t="str">
        <f t="shared" si="30"/>
        <v>.</v>
      </c>
      <c r="AC43" s="1044" t="str">
        <f t="shared" si="31"/>
        <v>.</v>
      </c>
      <c r="AD43" s="1045" t="str">
        <f t="shared" si="32"/>
        <v>.</v>
      </c>
      <c r="AE43" s="3"/>
      <c r="AF43" s="1055" t="str">
        <f t="shared" si="33"/>
        <v>.</v>
      </c>
      <c r="AG43" s="258" t="str">
        <f t="shared" si="34"/>
        <v>.</v>
      </c>
      <c r="AH43" s="258" t="str">
        <f t="shared" si="35"/>
        <v>.</v>
      </c>
      <c r="AI43" s="258" t="str">
        <f t="shared" si="36"/>
        <v>.</v>
      </c>
      <c r="AJ43" s="258" t="str">
        <f t="shared" si="37"/>
        <v>.</v>
      </c>
      <c r="AK43" s="258" t="str">
        <f t="shared" si="38"/>
        <v>.</v>
      </c>
      <c r="AL43" s="1056" t="str">
        <f t="shared" si="39"/>
        <v>.</v>
      </c>
      <c r="AM43" s="3"/>
      <c r="AN43" s="1043" t="str">
        <f>IF(X43=".",".",SUM($X43:X43))</f>
        <v>.</v>
      </c>
      <c r="AO43" s="1044" t="str">
        <f>IF(Y43=".",".",SUM($X43:Y43))</f>
        <v>.</v>
      </c>
      <c r="AP43" s="1044" t="str">
        <f>IF(Z43=".",".",SUM($X43:Z43))</f>
        <v>.</v>
      </c>
      <c r="AQ43" s="1044" t="str">
        <f>IF(AA43=".",".",SUM($X43:AA43))</f>
        <v>.</v>
      </c>
      <c r="AR43" s="1044" t="str">
        <f>IF(AB43=".",".",SUM($X43:AB43))</f>
        <v>.</v>
      </c>
      <c r="AS43" s="1044" t="str">
        <f>IF(AC43=".",".",SUM($X43:AC43))</f>
        <v>.</v>
      </c>
      <c r="AT43" s="1045" t="str">
        <f>IF(AD43=".",".",SUM($X43:AD43))</f>
        <v>.</v>
      </c>
      <c r="AU43" s="3"/>
      <c r="AV43" s="1055" t="str">
        <f t="shared" si="40"/>
        <v>.</v>
      </c>
      <c r="AW43" s="258" t="str">
        <f t="shared" si="41"/>
        <v>.</v>
      </c>
      <c r="AX43" s="258" t="str">
        <f t="shared" si="42"/>
        <v>.</v>
      </c>
      <c r="AY43" s="258" t="str">
        <f t="shared" si="43"/>
        <v>.</v>
      </c>
      <c r="AZ43" s="258" t="str">
        <f t="shared" si="44"/>
        <v>.</v>
      </c>
      <c r="BA43" s="258" t="str">
        <f t="shared" si="45"/>
        <v>.</v>
      </c>
      <c r="BB43" s="1056" t="str">
        <f t="shared" si="46"/>
        <v>.</v>
      </c>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row>
    <row r="44" spans="1:145" x14ac:dyDescent="0.2">
      <c r="A44" s="620"/>
      <c r="B44" s="1001" t="str">
        <f t="shared" si="24"/>
        <v>Residential</v>
      </c>
      <c r="C44" s="1006" t="str">
        <f>IF('WS3 - Notional General Income'!C37="","",'WS3 - Notional General Income'!C37)</f>
        <v/>
      </c>
      <c r="D44" s="1007" t="s">
        <v>687</v>
      </c>
      <c r="E44" s="446"/>
      <c r="F44" s="446"/>
      <c r="G44" s="446"/>
      <c r="H44" s="446"/>
      <c r="I44" s="446"/>
      <c r="J44" s="1012"/>
      <c r="K44" s="1012"/>
      <c r="L44" s="1012"/>
      <c r="M44" s="1012"/>
      <c r="N44" s="1012"/>
      <c r="O44" s="1012"/>
      <c r="P44" s="1012"/>
      <c r="Q44" s="1010"/>
      <c r="R44" s="76"/>
      <c r="S44" s="3"/>
      <c r="T44" s="299"/>
      <c r="U44" s="568"/>
      <c r="V44" s="1035"/>
      <c r="W44" s="3"/>
      <c r="X44" s="1043" t="str">
        <f t="shared" si="26"/>
        <v>.</v>
      </c>
      <c r="Y44" s="1044" t="str">
        <f t="shared" si="27"/>
        <v>.</v>
      </c>
      <c r="Z44" s="1044" t="str">
        <f t="shared" si="28"/>
        <v>.</v>
      </c>
      <c r="AA44" s="1044" t="str">
        <f t="shared" si="29"/>
        <v>.</v>
      </c>
      <c r="AB44" s="1044" t="str">
        <f t="shared" si="30"/>
        <v>.</v>
      </c>
      <c r="AC44" s="1044" t="str">
        <f t="shared" si="31"/>
        <v>.</v>
      </c>
      <c r="AD44" s="1045" t="str">
        <f t="shared" si="32"/>
        <v>.</v>
      </c>
      <c r="AE44" s="3"/>
      <c r="AF44" s="1055" t="str">
        <f t="shared" si="33"/>
        <v>.</v>
      </c>
      <c r="AG44" s="258" t="str">
        <f t="shared" si="34"/>
        <v>.</v>
      </c>
      <c r="AH44" s="258" t="str">
        <f t="shared" si="35"/>
        <v>.</v>
      </c>
      <c r="AI44" s="258" t="str">
        <f t="shared" si="36"/>
        <v>.</v>
      </c>
      <c r="AJ44" s="258" t="str">
        <f t="shared" si="37"/>
        <v>.</v>
      </c>
      <c r="AK44" s="258" t="str">
        <f t="shared" si="38"/>
        <v>.</v>
      </c>
      <c r="AL44" s="1056" t="str">
        <f t="shared" si="39"/>
        <v>.</v>
      </c>
      <c r="AM44" s="3"/>
      <c r="AN44" s="1043" t="str">
        <f>IF(X44=".",".",SUM($X44:X44))</f>
        <v>.</v>
      </c>
      <c r="AO44" s="1044" t="str">
        <f>IF(Y44=".",".",SUM($X44:Y44))</f>
        <v>.</v>
      </c>
      <c r="AP44" s="1044" t="str">
        <f>IF(Z44=".",".",SUM($X44:Z44))</f>
        <v>.</v>
      </c>
      <c r="AQ44" s="1044" t="str">
        <f>IF(AA44=".",".",SUM($X44:AA44))</f>
        <v>.</v>
      </c>
      <c r="AR44" s="1044" t="str">
        <f>IF(AB44=".",".",SUM($X44:AB44))</f>
        <v>.</v>
      </c>
      <c r="AS44" s="1044" t="str">
        <f>IF(AC44=".",".",SUM($X44:AC44))</f>
        <v>.</v>
      </c>
      <c r="AT44" s="1045" t="str">
        <f>IF(AD44=".",".",SUM($X44:AD44))</f>
        <v>.</v>
      </c>
      <c r="AU44" s="3"/>
      <c r="AV44" s="1055" t="str">
        <f t="shared" si="40"/>
        <v>.</v>
      </c>
      <c r="AW44" s="258" t="str">
        <f t="shared" si="41"/>
        <v>.</v>
      </c>
      <c r="AX44" s="258" t="str">
        <f t="shared" si="42"/>
        <v>.</v>
      </c>
      <c r="AY44" s="258" t="str">
        <f t="shared" si="43"/>
        <v>.</v>
      </c>
      <c r="AZ44" s="258" t="str">
        <f t="shared" si="44"/>
        <v>.</v>
      </c>
      <c r="BA44" s="258" t="str">
        <f t="shared" si="45"/>
        <v>.</v>
      </c>
      <c r="BB44" s="1056" t="str">
        <f t="shared" si="46"/>
        <v>.</v>
      </c>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row>
    <row r="45" spans="1:145" x14ac:dyDescent="0.2">
      <c r="A45" s="620"/>
      <c r="B45" s="1001" t="str">
        <f t="shared" si="24"/>
        <v>Residential</v>
      </c>
      <c r="C45" s="1006" t="str">
        <f>IF('WS3 - Notional General Income'!C38="","",'WS3 - Notional General Income'!C38)</f>
        <v/>
      </c>
      <c r="D45" s="1007" t="s">
        <v>687</v>
      </c>
      <c r="E45" s="446"/>
      <c r="F45" s="446"/>
      <c r="G45" s="446"/>
      <c r="H45" s="446"/>
      <c r="I45" s="446"/>
      <c r="J45" s="1012"/>
      <c r="K45" s="1012"/>
      <c r="L45" s="1012"/>
      <c r="M45" s="1012"/>
      <c r="N45" s="1012"/>
      <c r="O45" s="1012"/>
      <c r="P45" s="1012"/>
      <c r="Q45" s="1010"/>
      <c r="R45" s="76"/>
      <c r="S45" s="3"/>
      <c r="T45" s="299"/>
      <c r="U45" s="568"/>
      <c r="V45" s="1035"/>
      <c r="W45" s="3"/>
      <c r="X45" s="1043" t="str">
        <f t="shared" si="26"/>
        <v>.</v>
      </c>
      <c r="Y45" s="1044" t="str">
        <f t="shared" si="27"/>
        <v>.</v>
      </c>
      <c r="Z45" s="1044" t="str">
        <f t="shared" si="28"/>
        <v>.</v>
      </c>
      <c r="AA45" s="1044" t="str">
        <f t="shared" si="29"/>
        <v>.</v>
      </c>
      <c r="AB45" s="1044" t="str">
        <f t="shared" si="30"/>
        <v>.</v>
      </c>
      <c r="AC45" s="1044" t="str">
        <f t="shared" si="31"/>
        <v>.</v>
      </c>
      <c r="AD45" s="1045" t="str">
        <f t="shared" si="32"/>
        <v>.</v>
      </c>
      <c r="AE45" s="3"/>
      <c r="AF45" s="1055" t="str">
        <f t="shared" si="33"/>
        <v>.</v>
      </c>
      <c r="AG45" s="258" t="str">
        <f t="shared" si="34"/>
        <v>.</v>
      </c>
      <c r="AH45" s="258" t="str">
        <f t="shared" si="35"/>
        <v>.</v>
      </c>
      <c r="AI45" s="258" t="str">
        <f t="shared" si="36"/>
        <v>.</v>
      </c>
      <c r="AJ45" s="258" t="str">
        <f t="shared" si="37"/>
        <v>.</v>
      </c>
      <c r="AK45" s="258" t="str">
        <f t="shared" si="38"/>
        <v>.</v>
      </c>
      <c r="AL45" s="1056" t="str">
        <f t="shared" si="39"/>
        <v>.</v>
      </c>
      <c r="AM45" s="3"/>
      <c r="AN45" s="1043" t="str">
        <f>IF(X45=".",".",SUM($X45:X45))</f>
        <v>.</v>
      </c>
      <c r="AO45" s="1044" t="str">
        <f>IF(Y45=".",".",SUM($X45:Y45))</f>
        <v>.</v>
      </c>
      <c r="AP45" s="1044" t="str">
        <f>IF(Z45=".",".",SUM($X45:Z45))</f>
        <v>.</v>
      </c>
      <c r="AQ45" s="1044" t="str">
        <f>IF(AA45=".",".",SUM($X45:AA45))</f>
        <v>.</v>
      </c>
      <c r="AR45" s="1044" t="str">
        <f>IF(AB45=".",".",SUM($X45:AB45))</f>
        <v>.</v>
      </c>
      <c r="AS45" s="1044" t="str">
        <f>IF(AC45=".",".",SUM($X45:AC45))</f>
        <v>.</v>
      </c>
      <c r="AT45" s="1045" t="str">
        <f>IF(AD45=".",".",SUM($X45:AD45))</f>
        <v>.</v>
      </c>
      <c r="AU45" s="3"/>
      <c r="AV45" s="1055" t="str">
        <f t="shared" si="40"/>
        <v>.</v>
      </c>
      <c r="AW45" s="258" t="str">
        <f t="shared" si="41"/>
        <v>.</v>
      </c>
      <c r="AX45" s="258" t="str">
        <f t="shared" si="42"/>
        <v>.</v>
      </c>
      <c r="AY45" s="258" t="str">
        <f t="shared" si="43"/>
        <v>.</v>
      </c>
      <c r="AZ45" s="258" t="str">
        <f t="shared" si="44"/>
        <v>.</v>
      </c>
      <c r="BA45" s="258" t="str">
        <f t="shared" si="45"/>
        <v>.</v>
      </c>
      <c r="BB45" s="1056" t="str">
        <f t="shared" si="46"/>
        <v>.</v>
      </c>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row>
    <row r="46" spans="1:145" x14ac:dyDescent="0.2">
      <c r="A46" s="620"/>
      <c r="B46" s="1001" t="str">
        <f t="shared" si="24"/>
        <v>Residential</v>
      </c>
      <c r="C46" s="1006" t="str">
        <f>IF('WS3 - Notional General Income'!C39="","",'WS3 - Notional General Income'!C39)</f>
        <v/>
      </c>
      <c r="D46" s="1007" t="s">
        <v>687</v>
      </c>
      <c r="E46" s="446"/>
      <c r="F46" s="446"/>
      <c r="G46" s="446"/>
      <c r="H46" s="446"/>
      <c r="I46" s="446"/>
      <c r="J46" s="1012"/>
      <c r="K46" s="1012"/>
      <c r="L46" s="1012"/>
      <c r="M46" s="1012"/>
      <c r="N46" s="1012"/>
      <c r="O46" s="1012"/>
      <c r="P46" s="1012"/>
      <c r="Q46" s="1010"/>
      <c r="R46" s="76"/>
      <c r="S46" s="3"/>
      <c r="T46" s="299"/>
      <c r="U46" s="568"/>
      <c r="V46" s="1035"/>
      <c r="W46" s="3"/>
      <c r="X46" s="1043" t="str">
        <f t="shared" si="26"/>
        <v>.</v>
      </c>
      <c r="Y46" s="1044" t="str">
        <f t="shared" si="27"/>
        <v>.</v>
      </c>
      <c r="Z46" s="1044" t="str">
        <f t="shared" si="28"/>
        <v>.</v>
      </c>
      <c r="AA46" s="1044" t="str">
        <f t="shared" si="29"/>
        <v>.</v>
      </c>
      <c r="AB46" s="1044" t="str">
        <f t="shared" si="30"/>
        <v>.</v>
      </c>
      <c r="AC46" s="1044" t="str">
        <f t="shared" si="31"/>
        <v>.</v>
      </c>
      <c r="AD46" s="1045" t="str">
        <f t="shared" si="32"/>
        <v>.</v>
      </c>
      <c r="AE46" s="3"/>
      <c r="AF46" s="1055" t="str">
        <f t="shared" si="33"/>
        <v>.</v>
      </c>
      <c r="AG46" s="258" t="str">
        <f t="shared" si="34"/>
        <v>.</v>
      </c>
      <c r="AH46" s="258" t="str">
        <f t="shared" si="35"/>
        <v>.</v>
      </c>
      <c r="AI46" s="258" t="str">
        <f t="shared" si="36"/>
        <v>.</v>
      </c>
      <c r="AJ46" s="258" t="str">
        <f t="shared" si="37"/>
        <v>.</v>
      </c>
      <c r="AK46" s="258" t="str">
        <f t="shared" si="38"/>
        <v>.</v>
      </c>
      <c r="AL46" s="1056" t="str">
        <f t="shared" si="39"/>
        <v>.</v>
      </c>
      <c r="AM46" s="3"/>
      <c r="AN46" s="1043" t="str">
        <f>IF(X46=".",".",SUM($X46:X46))</f>
        <v>.</v>
      </c>
      <c r="AO46" s="1044" t="str">
        <f>IF(Y46=".",".",SUM($X46:Y46))</f>
        <v>.</v>
      </c>
      <c r="AP46" s="1044" t="str">
        <f>IF(Z46=".",".",SUM($X46:Z46))</f>
        <v>.</v>
      </c>
      <c r="AQ46" s="1044" t="str">
        <f>IF(AA46=".",".",SUM($X46:AA46))</f>
        <v>.</v>
      </c>
      <c r="AR46" s="1044" t="str">
        <f>IF(AB46=".",".",SUM($X46:AB46))</f>
        <v>.</v>
      </c>
      <c r="AS46" s="1044" t="str">
        <f>IF(AC46=".",".",SUM($X46:AC46))</f>
        <v>.</v>
      </c>
      <c r="AT46" s="1045" t="str">
        <f>IF(AD46=".",".",SUM($X46:AD46))</f>
        <v>.</v>
      </c>
      <c r="AU46" s="3"/>
      <c r="AV46" s="1055" t="str">
        <f t="shared" si="40"/>
        <v>.</v>
      </c>
      <c r="AW46" s="258" t="str">
        <f t="shared" si="41"/>
        <v>.</v>
      </c>
      <c r="AX46" s="258" t="str">
        <f t="shared" si="42"/>
        <v>.</v>
      </c>
      <c r="AY46" s="258" t="str">
        <f t="shared" si="43"/>
        <v>.</v>
      </c>
      <c r="AZ46" s="258" t="str">
        <f t="shared" si="44"/>
        <v>.</v>
      </c>
      <c r="BA46" s="258" t="str">
        <f t="shared" si="45"/>
        <v>.</v>
      </c>
      <c r="BB46" s="1056" t="str">
        <f t="shared" si="46"/>
        <v>.</v>
      </c>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row>
    <row r="47" spans="1:145" x14ac:dyDescent="0.2">
      <c r="A47" s="620"/>
      <c r="B47" s="1001" t="str">
        <f t="shared" si="24"/>
        <v>Residential</v>
      </c>
      <c r="C47" s="1006" t="str">
        <f>IF('WS3 - Notional General Income'!C40="","",'WS3 - Notional General Income'!C40)</f>
        <v/>
      </c>
      <c r="D47" s="1007" t="s">
        <v>687</v>
      </c>
      <c r="E47" s="446"/>
      <c r="F47" s="446"/>
      <c r="G47" s="446"/>
      <c r="H47" s="446"/>
      <c r="I47" s="446"/>
      <c r="J47" s="1012"/>
      <c r="K47" s="1012"/>
      <c r="L47" s="1012"/>
      <c r="M47" s="1012"/>
      <c r="N47" s="1012"/>
      <c r="O47" s="1012"/>
      <c r="P47" s="1012"/>
      <c r="Q47" s="1010"/>
      <c r="R47" s="76"/>
      <c r="S47" s="3"/>
      <c r="T47" s="299"/>
      <c r="U47" s="568"/>
      <c r="V47" s="1035"/>
      <c r="W47" s="3"/>
      <c r="X47" s="1043" t="str">
        <f t="shared" si="26"/>
        <v>.</v>
      </c>
      <c r="Y47" s="1044" t="str">
        <f t="shared" si="27"/>
        <v>.</v>
      </c>
      <c r="Z47" s="1044" t="str">
        <f t="shared" si="28"/>
        <v>.</v>
      </c>
      <c r="AA47" s="1044" t="str">
        <f t="shared" si="29"/>
        <v>.</v>
      </c>
      <c r="AB47" s="1044" t="str">
        <f t="shared" si="30"/>
        <v>.</v>
      </c>
      <c r="AC47" s="1044" t="str">
        <f t="shared" si="31"/>
        <v>.</v>
      </c>
      <c r="AD47" s="1045" t="str">
        <f t="shared" si="32"/>
        <v>.</v>
      </c>
      <c r="AE47" s="3"/>
      <c r="AF47" s="1055" t="str">
        <f t="shared" si="33"/>
        <v>.</v>
      </c>
      <c r="AG47" s="258" t="str">
        <f t="shared" si="34"/>
        <v>.</v>
      </c>
      <c r="AH47" s="258" t="str">
        <f t="shared" si="35"/>
        <v>.</v>
      </c>
      <c r="AI47" s="258" t="str">
        <f t="shared" si="36"/>
        <v>.</v>
      </c>
      <c r="AJ47" s="258" t="str">
        <f t="shared" si="37"/>
        <v>.</v>
      </c>
      <c r="AK47" s="258" t="str">
        <f t="shared" si="38"/>
        <v>.</v>
      </c>
      <c r="AL47" s="1056" t="str">
        <f t="shared" si="39"/>
        <v>.</v>
      </c>
      <c r="AM47" s="3"/>
      <c r="AN47" s="1043" t="str">
        <f>IF(X47=".",".",SUM($X47:X47))</f>
        <v>.</v>
      </c>
      <c r="AO47" s="1044" t="str">
        <f>IF(Y47=".",".",SUM($X47:Y47))</f>
        <v>.</v>
      </c>
      <c r="AP47" s="1044" t="str">
        <f>IF(Z47=".",".",SUM($X47:Z47))</f>
        <v>.</v>
      </c>
      <c r="AQ47" s="1044" t="str">
        <f>IF(AA47=".",".",SUM($X47:AA47))</f>
        <v>.</v>
      </c>
      <c r="AR47" s="1044" t="str">
        <f>IF(AB47=".",".",SUM($X47:AB47))</f>
        <v>.</v>
      </c>
      <c r="AS47" s="1044" t="str">
        <f>IF(AC47=".",".",SUM($X47:AC47))</f>
        <v>.</v>
      </c>
      <c r="AT47" s="1045" t="str">
        <f>IF(AD47=".",".",SUM($X47:AD47))</f>
        <v>.</v>
      </c>
      <c r="AU47" s="3"/>
      <c r="AV47" s="1055" t="str">
        <f t="shared" si="40"/>
        <v>.</v>
      </c>
      <c r="AW47" s="258" t="str">
        <f t="shared" si="41"/>
        <v>.</v>
      </c>
      <c r="AX47" s="258" t="str">
        <f t="shared" si="42"/>
        <v>.</v>
      </c>
      <c r="AY47" s="258" t="str">
        <f t="shared" si="43"/>
        <v>.</v>
      </c>
      <c r="AZ47" s="258" t="str">
        <f t="shared" si="44"/>
        <v>.</v>
      </c>
      <c r="BA47" s="258" t="str">
        <f t="shared" si="45"/>
        <v>.</v>
      </c>
      <c r="BB47" s="1056" t="str">
        <f t="shared" si="46"/>
        <v>.</v>
      </c>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row>
    <row r="48" spans="1:145" x14ac:dyDescent="0.2">
      <c r="A48" s="620"/>
      <c r="B48" s="1578"/>
      <c r="C48" s="1579"/>
      <c r="D48" s="1580"/>
      <c r="E48" s="1581"/>
      <c r="F48" s="1581"/>
      <c r="G48" s="1581"/>
      <c r="H48" s="1581"/>
      <c r="I48" s="1581"/>
      <c r="J48" s="1579"/>
      <c r="K48" s="1579"/>
      <c r="L48" s="1579"/>
      <c r="M48" s="1579"/>
      <c r="N48" s="1579"/>
      <c r="O48" s="1579"/>
      <c r="P48" s="1579"/>
      <c r="Q48" s="1582"/>
      <c r="R48" s="76"/>
      <c r="S48" s="3"/>
      <c r="T48" s="299"/>
      <c r="U48" s="568"/>
      <c r="V48" s="1035"/>
      <c r="W48" s="3"/>
      <c r="X48" s="1043"/>
      <c r="Y48" s="1044"/>
      <c r="Z48" s="1044"/>
      <c r="AA48" s="1044"/>
      <c r="AB48" s="1044"/>
      <c r="AC48" s="1044"/>
      <c r="AD48" s="1045"/>
      <c r="AE48" s="3"/>
      <c r="AF48" s="1055"/>
      <c r="AG48" s="258"/>
      <c r="AH48" s="258"/>
      <c r="AI48" s="258"/>
      <c r="AJ48" s="258"/>
      <c r="AK48" s="258"/>
      <c r="AL48" s="1056"/>
      <c r="AM48" s="3"/>
      <c r="AN48" s="1043"/>
      <c r="AO48" s="1044"/>
      <c r="AP48" s="1044"/>
      <c r="AQ48" s="1044"/>
      <c r="AR48" s="1044"/>
      <c r="AS48" s="1044"/>
      <c r="AT48" s="1045"/>
      <c r="AU48" s="3"/>
      <c r="AV48" s="1055"/>
      <c r="AW48" s="258"/>
      <c r="AX48" s="258"/>
      <c r="AY48" s="258"/>
      <c r="AZ48" s="258"/>
      <c r="BA48" s="258"/>
      <c r="BB48" s="1056"/>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row>
    <row r="49" spans="1:145" x14ac:dyDescent="0.2">
      <c r="A49" s="620"/>
      <c r="B49" s="1001" t="str">
        <f>'WS4 - Yr 1 YIELD'!B39</f>
        <v>Business</v>
      </c>
      <c r="C49" s="1006" t="str">
        <f>IF('WS3 - Notional General Income'!C42="","",'WS3 - Notional General Income'!C42)</f>
        <v>Business</v>
      </c>
      <c r="D49" s="1007" t="s">
        <v>687</v>
      </c>
      <c r="E49" s="446"/>
      <c r="F49" s="446"/>
      <c r="G49" s="446"/>
      <c r="H49" s="446"/>
      <c r="I49" s="446"/>
      <c r="J49" s="1012">
        <v>1253.5</v>
      </c>
      <c r="K49" s="1012">
        <f>J49*1.15</f>
        <v>1441.5249999999999</v>
      </c>
      <c r="L49" s="1012">
        <f t="shared" ref="L49:Q53" si="47">K49*1.03</f>
        <v>1484.7707499999999</v>
      </c>
      <c r="M49" s="1012">
        <f t="shared" si="47"/>
        <v>1529.3138724999999</v>
      </c>
      <c r="N49" s="1012">
        <f t="shared" si="47"/>
        <v>1575.1932886749998</v>
      </c>
      <c r="O49" s="1012">
        <f t="shared" si="47"/>
        <v>1622.4490873352499</v>
      </c>
      <c r="P49" s="1012">
        <f t="shared" si="47"/>
        <v>1671.1225599553075</v>
      </c>
      <c r="Q49" s="1010">
        <f t="shared" si="47"/>
        <v>1721.2562367539667</v>
      </c>
      <c r="R49" s="76"/>
      <c r="S49" s="3"/>
      <c r="T49" s="299"/>
      <c r="U49" s="568"/>
      <c r="V49" s="1035"/>
      <c r="W49" s="3"/>
      <c r="X49" s="1043">
        <f t="shared" si="26"/>
        <v>188.02499999999986</v>
      </c>
      <c r="Y49" s="1044">
        <f t="shared" si="27"/>
        <v>43.245750000000044</v>
      </c>
      <c r="Z49" s="1044">
        <f t="shared" si="28"/>
        <v>44.543122499999981</v>
      </c>
      <c r="AA49" s="1044">
        <f t="shared" si="29"/>
        <v>45.87941617499996</v>
      </c>
      <c r="AB49" s="1044">
        <f t="shared" si="30"/>
        <v>47.255798660250093</v>
      </c>
      <c r="AC49" s="1044">
        <f t="shared" si="31"/>
        <v>48.67347262005751</v>
      </c>
      <c r="AD49" s="1045">
        <f t="shared" si="32"/>
        <v>50.13367679865928</v>
      </c>
      <c r="AE49" s="3"/>
      <c r="AF49" s="1055">
        <f t="shared" si="33"/>
        <v>0.14999999999999991</v>
      </c>
      <c r="AG49" s="258">
        <f t="shared" si="34"/>
        <v>3.0000000000000027E-2</v>
      </c>
      <c r="AH49" s="258">
        <f t="shared" si="35"/>
        <v>3.0000000000000027E-2</v>
      </c>
      <c r="AI49" s="258">
        <f t="shared" si="36"/>
        <v>3.0000000000000027E-2</v>
      </c>
      <c r="AJ49" s="258">
        <f t="shared" si="37"/>
        <v>3.0000000000000027E-2</v>
      </c>
      <c r="AK49" s="258">
        <f t="shared" si="38"/>
        <v>3.0000000000000027E-2</v>
      </c>
      <c r="AL49" s="1056">
        <f t="shared" si="39"/>
        <v>3.0000000000000027E-2</v>
      </c>
      <c r="AM49" s="3"/>
      <c r="AN49" s="1043">
        <f>IF(X49=".",".",SUM($X49:X49))</f>
        <v>188.02499999999986</v>
      </c>
      <c r="AO49" s="1044">
        <f>IF(Y49=".",".",SUM($X49:Y49))</f>
        <v>231.27074999999991</v>
      </c>
      <c r="AP49" s="1044">
        <f>IF(Z49=".",".",SUM($X49:Z49))</f>
        <v>275.81387249999989</v>
      </c>
      <c r="AQ49" s="1044">
        <f>IF(AA49=".",".",SUM($X49:AA49))</f>
        <v>321.69328867499985</v>
      </c>
      <c r="AR49" s="1044">
        <f>IF(AB49=".",".",SUM($X49:AB49))</f>
        <v>368.94908733524994</v>
      </c>
      <c r="AS49" s="1044">
        <f>IF(AC49=".",".",SUM($X49:AC49))</f>
        <v>417.62255995530745</v>
      </c>
      <c r="AT49" s="1045">
        <f>IF(AD49=".",".",SUM($X49:AD49))</f>
        <v>467.75623675396673</v>
      </c>
      <c r="AU49" s="3"/>
      <c r="AV49" s="1055">
        <f t="shared" si="40"/>
        <v>0.14999999999999991</v>
      </c>
      <c r="AW49" s="258">
        <f t="shared" si="41"/>
        <v>0.18449999999999989</v>
      </c>
      <c r="AX49" s="258">
        <f t="shared" si="42"/>
        <v>0.22003499999999998</v>
      </c>
      <c r="AY49" s="258">
        <f t="shared" si="43"/>
        <v>0.25663604999999978</v>
      </c>
      <c r="AZ49" s="258">
        <f t="shared" si="44"/>
        <v>0.29433513150000001</v>
      </c>
      <c r="BA49" s="258">
        <f t="shared" si="45"/>
        <v>0.33316518544499996</v>
      </c>
      <c r="BB49" s="1056">
        <f t="shared" si="46"/>
        <v>0.37316014100835004</v>
      </c>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row>
    <row r="50" spans="1:145" x14ac:dyDescent="0.2">
      <c r="A50" s="620"/>
      <c r="B50" s="1001" t="str">
        <f>B49</f>
        <v>Business</v>
      </c>
      <c r="C50" s="1006" t="str">
        <f>IF('WS3 - Notional General Income'!C43="","",'WS3 - Notional General Income'!C43)</f>
        <v>Chatswood Town Centre</v>
      </c>
      <c r="D50" s="1007" t="s">
        <v>687</v>
      </c>
      <c r="E50" s="446"/>
      <c r="F50" s="446"/>
      <c r="G50" s="446"/>
      <c r="H50" s="446"/>
      <c r="I50" s="446"/>
      <c r="J50" s="1012">
        <v>1338.5</v>
      </c>
      <c r="K50" s="1012">
        <f>J50*1.15</f>
        <v>1539.2749999999999</v>
      </c>
      <c r="L50" s="1012">
        <f t="shared" si="47"/>
        <v>1585.4532499999998</v>
      </c>
      <c r="M50" s="1012">
        <f t="shared" si="47"/>
        <v>1633.0168474999998</v>
      </c>
      <c r="N50" s="1012">
        <f t="shared" si="47"/>
        <v>1682.0073529249999</v>
      </c>
      <c r="O50" s="1012">
        <f t="shared" si="47"/>
        <v>1732.4675735127498</v>
      </c>
      <c r="P50" s="1012">
        <f t="shared" si="47"/>
        <v>1784.4416007181323</v>
      </c>
      <c r="Q50" s="1010">
        <f t="shared" si="47"/>
        <v>1837.9748487396764</v>
      </c>
      <c r="R50" s="76"/>
      <c r="S50" s="3"/>
      <c r="T50" s="299"/>
      <c r="U50" s="568"/>
      <c r="V50" s="1035"/>
      <c r="W50" s="3"/>
      <c r="X50" s="1043">
        <f t="shared" si="26"/>
        <v>200.77499999999986</v>
      </c>
      <c r="Y50" s="1044">
        <f t="shared" si="27"/>
        <v>46.178249999999935</v>
      </c>
      <c r="Z50" s="1044">
        <f t="shared" si="28"/>
        <v>47.563597500000014</v>
      </c>
      <c r="AA50" s="1044">
        <f t="shared" si="29"/>
        <v>48.990505425000038</v>
      </c>
      <c r="AB50" s="1044">
        <f t="shared" si="30"/>
        <v>50.460220587749973</v>
      </c>
      <c r="AC50" s="1044">
        <f t="shared" si="31"/>
        <v>51.974027205382527</v>
      </c>
      <c r="AD50" s="1045">
        <f t="shared" si="32"/>
        <v>53.533248021544068</v>
      </c>
      <c r="AE50" s="3"/>
      <c r="AF50" s="1055">
        <f t="shared" si="33"/>
        <v>0.14999999999999991</v>
      </c>
      <c r="AG50" s="258">
        <f t="shared" si="34"/>
        <v>3.0000000000000027E-2</v>
      </c>
      <c r="AH50" s="258">
        <f t="shared" si="35"/>
        <v>3.0000000000000027E-2</v>
      </c>
      <c r="AI50" s="258">
        <f t="shared" si="36"/>
        <v>3.0000000000000027E-2</v>
      </c>
      <c r="AJ50" s="258">
        <f t="shared" si="37"/>
        <v>3.0000000000000027E-2</v>
      </c>
      <c r="AK50" s="258">
        <f t="shared" si="38"/>
        <v>3.0000000000000027E-2</v>
      </c>
      <c r="AL50" s="1056">
        <f t="shared" si="39"/>
        <v>3.0000000000000027E-2</v>
      </c>
      <c r="AM50" s="3"/>
      <c r="AN50" s="1043">
        <f>IF(X50=".",".",SUM($X50:X50))</f>
        <v>200.77499999999986</v>
      </c>
      <c r="AO50" s="1044">
        <f>IF(Y50=".",".",SUM($X50:Y50))</f>
        <v>246.9532499999998</v>
      </c>
      <c r="AP50" s="1044">
        <f>IF(Z50=".",".",SUM($X50:Z50))</f>
        <v>294.51684749999981</v>
      </c>
      <c r="AQ50" s="1044">
        <f>IF(AA50=".",".",SUM($X50:AA50))</f>
        <v>343.50735292499985</v>
      </c>
      <c r="AR50" s="1044">
        <f>IF(AB50=".",".",SUM($X50:AB50))</f>
        <v>393.96757351274982</v>
      </c>
      <c r="AS50" s="1044">
        <f>IF(AC50=".",".",SUM($X50:AC50))</f>
        <v>445.94160071813235</v>
      </c>
      <c r="AT50" s="1045">
        <f>IF(AD50=".",".",SUM($X50:AD50))</f>
        <v>499.47484873967642</v>
      </c>
      <c r="AU50" s="3"/>
      <c r="AV50" s="1055">
        <f t="shared" si="40"/>
        <v>0.14999999999999991</v>
      </c>
      <c r="AW50" s="258">
        <f t="shared" si="41"/>
        <v>0.18449999999999989</v>
      </c>
      <c r="AX50" s="258">
        <f t="shared" si="42"/>
        <v>0.22003499999999976</v>
      </c>
      <c r="AY50" s="258">
        <f t="shared" si="43"/>
        <v>0.25663604999999978</v>
      </c>
      <c r="AZ50" s="258">
        <f t="shared" si="44"/>
        <v>0.29433513149999979</v>
      </c>
      <c r="BA50" s="258">
        <f t="shared" si="45"/>
        <v>0.33316518544499996</v>
      </c>
      <c r="BB50" s="1056">
        <f t="shared" si="46"/>
        <v>0.37316014100835004</v>
      </c>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row>
    <row r="51" spans="1:145" x14ac:dyDescent="0.2">
      <c r="A51" s="620"/>
      <c r="B51" s="1001" t="str">
        <f t="shared" ref="B51:B73" si="48">B50</f>
        <v>Business</v>
      </c>
      <c r="C51" s="1006" t="str">
        <f>IF('WS3 - Notional General Income'!C44="","",'WS3 - Notional General Income'!C44)</f>
        <v>Chatswood Major Retail - Chase</v>
      </c>
      <c r="D51" s="1007" t="s">
        <v>687</v>
      </c>
      <c r="E51" s="446"/>
      <c r="F51" s="446"/>
      <c r="G51" s="446"/>
      <c r="H51" s="446"/>
      <c r="I51" s="446"/>
      <c r="J51" s="1012">
        <v>1121.75</v>
      </c>
      <c r="K51" s="1012">
        <f>J51*1.15</f>
        <v>1290.0124999999998</v>
      </c>
      <c r="L51" s="1012">
        <f t="shared" si="47"/>
        <v>1328.7128749999999</v>
      </c>
      <c r="M51" s="1012">
        <f t="shared" si="47"/>
        <v>1368.5742612500001</v>
      </c>
      <c r="N51" s="1012">
        <f t="shared" si="47"/>
        <v>1409.6314890875001</v>
      </c>
      <c r="O51" s="1012">
        <f t="shared" si="47"/>
        <v>1451.9204337601252</v>
      </c>
      <c r="P51" s="1012">
        <f t="shared" si="47"/>
        <v>1495.478046772929</v>
      </c>
      <c r="Q51" s="1010">
        <f t="shared" si="47"/>
        <v>1540.3423881761169</v>
      </c>
      <c r="R51" s="76"/>
      <c r="S51" s="3"/>
      <c r="T51" s="299"/>
      <c r="U51" s="568"/>
      <c r="V51" s="1035"/>
      <c r="W51" s="3"/>
      <c r="X51" s="1043">
        <f t="shared" si="26"/>
        <v>168.26249999999982</v>
      </c>
      <c r="Y51" s="1044">
        <f t="shared" si="27"/>
        <v>38.700375000000122</v>
      </c>
      <c r="Z51" s="1044">
        <f t="shared" si="28"/>
        <v>39.861386250000123</v>
      </c>
      <c r="AA51" s="1044">
        <f t="shared" si="29"/>
        <v>41.057227837500022</v>
      </c>
      <c r="AB51" s="1044">
        <f t="shared" si="30"/>
        <v>42.288944672625121</v>
      </c>
      <c r="AC51" s="1044">
        <f t="shared" si="31"/>
        <v>43.557613012803813</v>
      </c>
      <c r="AD51" s="1045">
        <f t="shared" si="32"/>
        <v>44.864341403187836</v>
      </c>
      <c r="AE51" s="3"/>
      <c r="AF51" s="1055">
        <f t="shared" si="33"/>
        <v>0.14999999999999991</v>
      </c>
      <c r="AG51" s="258">
        <f t="shared" si="34"/>
        <v>3.0000000000000027E-2</v>
      </c>
      <c r="AH51" s="258">
        <f t="shared" si="35"/>
        <v>3.0000000000000027E-2</v>
      </c>
      <c r="AI51" s="258">
        <f t="shared" si="36"/>
        <v>3.0000000000000027E-2</v>
      </c>
      <c r="AJ51" s="258">
        <f t="shared" si="37"/>
        <v>3.0000000000000027E-2</v>
      </c>
      <c r="AK51" s="258">
        <f t="shared" si="38"/>
        <v>3.0000000000000027E-2</v>
      </c>
      <c r="AL51" s="1056">
        <f t="shared" si="39"/>
        <v>3.0000000000000027E-2</v>
      </c>
      <c r="AM51" s="3"/>
      <c r="AN51" s="1043">
        <f>IF(X51=".",".",SUM($X51:X51))</f>
        <v>168.26249999999982</v>
      </c>
      <c r="AO51" s="1044">
        <f>IF(Y51=".",".",SUM($X51:Y51))</f>
        <v>206.96287499999994</v>
      </c>
      <c r="AP51" s="1044">
        <f>IF(Z51=".",".",SUM($X51:Z51))</f>
        <v>246.82426125000006</v>
      </c>
      <c r="AQ51" s="1044">
        <f>IF(AA51=".",".",SUM($X51:AA51))</f>
        <v>287.88148908750009</v>
      </c>
      <c r="AR51" s="1044">
        <f>IF(AB51=".",".",SUM($X51:AB51))</f>
        <v>330.17043376012521</v>
      </c>
      <c r="AS51" s="1044">
        <f>IF(AC51=".",".",SUM($X51:AC51))</f>
        <v>373.72804677292902</v>
      </c>
      <c r="AT51" s="1045">
        <f>IF(AD51=".",".",SUM($X51:AD51))</f>
        <v>418.59238817611686</v>
      </c>
      <c r="AU51" s="3"/>
      <c r="AV51" s="1055">
        <f t="shared" si="40"/>
        <v>0.14999999999999991</v>
      </c>
      <c r="AW51" s="258">
        <f t="shared" si="41"/>
        <v>0.18449999999999989</v>
      </c>
      <c r="AX51" s="258">
        <f t="shared" si="42"/>
        <v>0.22003499999999998</v>
      </c>
      <c r="AY51" s="258">
        <f t="shared" si="43"/>
        <v>0.25663605</v>
      </c>
      <c r="AZ51" s="258">
        <f t="shared" si="44"/>
        <v>0.29433513150000024</v>
      </c>
      <c r="BA51" s="258">
        <f t="shared" si="45"/>
        <v>0.33316518544500018</v>
      </c>
      <c r="BB51" s="1056">
        <f t="shared" si="46"/>
        <v>0.37316014100835027</v>
      </c>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row>
    <row r="52" spans="1:145" x14ac:dyDescent="0.2">
      <c r="A52" s="620"/>
      <c r="B52" s="1001" t="str">
        <f t="shared" si="48"/>
        <v>Business</v>
      </c>
      <c r="C52" s="1006" t="str">
        <f>IF('WS3 - Notional General Income'!C45="","",'WS3 - Notional General Income'!C45)</f>
        <v>Chatswood Major Retail - Westfield</v>
      </c>
      <c r="D52" s="1007" t="s">
        <v>687</v>
      </c>
      <c r="E52" s="446"/>
      <c r="F52" s="446"/>
      <c r="G52" s="446"/>
      <c r="H52" s="446"/>
      <c r="I52" s="446"/>
      <c r="J52" s="1012">
        <v>1121.75</v>
      </c>
      <c r="K52" s="1012">
        <f>J52*1.15</f>
        <v>1290.0124999999998</v>
      </c>
      <c r="L52" s="1012">
        <f t="shared" si="47"/>
        <v>1328.7128749999999</v>
      </c>
      <c r="M52" s="1012">
        <f t="shared" si="47"/>
        <v>1368.5742612500001</v>
      </c>
      <c r="N52" s="1012">
        <f t="shared" si="47"/>
        <v>1409.6314890875001</v>
      </c>
      <c r="O52" s="1012">
        <f t="shared" si="47"/>
        <v>1451.9204337601252</v>
      </c>
      <c r="P52" s="1012">
        <f t="shared" si="47"/>
        <v>1495.478046772929</v>
      </c>
      <c r="Q52" s="1010">
        <f t="shared" si="47"/>
        <v>1540.3423881761169</v>
      </c>
      <c r="R52" s="76"/>
      <c r="S52" s="3"/>
      <c r="T52" s="299"/>
      <c r="U52" s="568"/>
      <c r="V52" s="1035"/>
      <c r="W52" s="3"/>
      <c r="X52" s="1043">
        <f t="shared" si="26"/>
        <v>168.26249999999982</v>
      </c>
      <c r="Y52" s="1044">
        <f t="shared" si="27"/>
        <v>38.700375000000122</v>
      </c>
      <c r="Z52" s="1044">
        <f t="shared" si="28"/>
        <v>39.861386250000123</v>
      </c>
      <c r="AA52" s="1044">
        <f t="shared" si="29"/>
        <v>41.057227837500022</v>
      </c>
      <c r="AB52" s="1044">
        <f t="shared" si="30"/>
        <v>42.288944672625121</v>
      </c>
      <c r="AC52" s="1044">
        <f t="shared" si="31"/>
        <v>43.557613012803813</v>
      </c>
      <c r="AD52" s="1045">
        <f t="shared" si="32"/>
        <v>44.864341403187836</v>
      </c>
      <c r="AE52" s="3"/>
      <c r="AF52" s="1055">
        <f t="shared" si="33"/>
        <v>0.14999999999999991</v>
      </c>
      <c r="AG52" s="258">
        <f t="shared" si="34"/>
        <v>3.0000000000000027E-2</v>
      </c>
      <c r="AH52" s="258">
        <f t="shared" si="35"/>
        <v>3.0000000000000027E-2</v>
      </c>
      <c r="AI52" s="258">
        <f t="shared" si="36"/>
        <v>3.0000000000000027E-2</v>
      </c>
      <c r="AJ52" s="258">
        <f t="shared" si="37"/>
        <v>3.0000000000000027E-2</v>
      </c>
      <c r="AK52" s="258">
        <f t="shared" si="38"/>
        <v>3.0000000000000027E-2</v>
      </c>
      <c r="AL52" s="1056">
        <f t="shared" si="39"/>
        <v>3.0000000000000027E-2</v>
      </c>
      <c r="AM52" s="3"/>
      <c r="AN52" s="1043">
        <f>IF(X52=".",".",SUM($X52:X52))</f>
        <v>168.26249999999982</v>
      </c>
      <c r="AO52" s="1044">
        <f>IF(Y52=".",".",SUM($X52:Y52))</f>
        <v>206.96287499999994</v>
      </c>
      <c r="AP52" s="1044">
        <f>IF(Z52=".",".",SUM($X52:Z52))</f>
        <v>246.82426125000006</v>
      </c>
      <c r="AQ52" s="1044">
        <f>IF(AA52=".",".",SUM($X52:AA52))</f>
        <v>287.88148908750009</v>
      </c>
      <c r="AR52" s="1044">
        <f>IF(AB52=".",".",SUM($X52:AB52))</f>
        <v>330.17043376012521</v>
      </c>
      <c r="AS52" s="1044">
        <f>IF(AC52=".",".",SUM($X52:AC52))</f>
        <v>373.72804677292902</v>
      </c>
      <c r="AT52" s="1045">
        <f>IF(AD52=".",".",SUM($X52:AD52))</f>
        <v>418.59238817611686</v>
      </c>
      <c r="AU52" s="3"/>
      <c r="AV52" s="1055">
        <f t="shared" si="40"/>
        <v>0.14999999999999991</v>
      </c>
      <c r="AW52" s="258">
        <f t="shared" si="41"/>
        <v>0.18449999999999989</v>
      </c>
      <c r="AX52" s="258">
        <f t="shared" si="42"/>
        <v>0.22003499999999998</v>
      </c>
      <c r="AY52" s="258">
        <f t="shared" si="43"/>
        <v>0.25663605</v>
      </c>
      <c r="AZ52" s="258">
        <f t="shared" si="44"/>
        <v>0.29433513150000024</v>
      </c>
      <c r="BA52" s="258">
        <f t="shared" si="45"/>
        <v>0.33316518544500018</v>
      </c>
      <c r="BB52" s="1056">
        <f t="shared" si="46"/>
        <v>0.37316014100835027</v>
      </c>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row>
    <row r="53" spans="1:145" x14ac:dyDescent="0.2">
      <c r="A53" s="620"/>
      <c r="B53" s="1001" t="str">
        <f t="shared" si="48"/>
        <v>Business</v>
      </c>
      <c r="C53" s="1006" t="str">
        <f>IF('WS3 - Notional General Income'!C46="","",'WS3 - Notional General Income'!C46)</f>
        <v>Strata Storage</v>
      </c>
      <c r="D53" s="1007" t="s">
        <v>687</v>
      </c>
      <c r="E53" s="446"/>
      <c r="F53" s="446"/>
      <c r="G53" s="446"/>
      <c r="H53" s="446"/>
      <c r="I53" s="446"/>
      <c r="J53" s="1012">
        <v>850.85</v>
      </c>
      <c r="K53" s="1012">
        <f>J53*1.15</f>
        <v>978.47749999999996</v>
      </c>
      <c r="L53" s="1012">
        <f t="shared" si="47"/>
        <v>1007.831825</v>
      </c>
      <c r="M53" s="1012">
        <f t="shared" si="47"/>
        <v>1038.06677975</v>
      </c>
      <c r="N53" s="1012">
        <f t="shared" si="47"/>
        <v>1069.2087831425001</v>
      </c>
      <c r="O53" s="1012">
        <f t="shared" si="47"/>
        <v>1101.2850466367752</v>
      </c>
      <c r="P53" s="1012">
        <f t="shared" si="47"/>
        <v>1134.3235980358784</v>
      </c>
      <c r="Q53" s="1010">
        <f t="shared" si="47"/>
        <v>1168.3533059769547</v>
      </c>
      <c r="R53" s="76"/>
      <c r="S53" s="3"/>
      <c r="T53" s="299"/>
      <c r="U53" s="568"/>
      <c r="V53" s="1035"/>
      <c r="W53" s="3"/>
      <c r="X53" s="1043">
        <f t="shared" si="26"/>
        <v>127.62749999999994</v>
      </c>
      <c r="Y53" s="1044">
        <f t="shared" si="27"/>
        <v>29.354325000000017</v>
      </c>
      <c r="Z53" s="1044">
        <f t="shared" si="28"/>
        <v>30.234954750000043</v>
      </c>
      <c r="AA53" s="1044">
        <f t="shared" si="29"/>
        <v>31.142003392500101</v>
      </c>
      <c r="AB53" s="1044">
        <f t="shared" si="30"/>
        <v>32.076263494275054</v>
      </c>
      <c r="AC53" s="1044">
        <f t="shared" si="31"/>
        <v>33.038551399103198</v>
      </c>
      <c r="AD53" s="1045">
        <f t="shared" si="32"/>
        <v>34.029707941076367</v>
      </c>
      <c r="AE53" s="3"/>
      <c r="AF53" s="1055">
        <f t="shared" si="33"/>
        <v>0.14999999999999991</v>
      </c>
      <c r="AG53" s="258">
        <f t="shared" si="34"/>
        <v>3.0000000000000027E-2</v>
      </c>
      <c r="AH53" s="258">
        <f t="shared" si="35"/>
        <v>3.0000000000000027E-2</v>
      </c>
      <c r="AI53" s="258">
        <f t="shared" si="36"/>
        <v>3.0000000000000027E-2</v>
      </c>
      <c r="AJ53" s="258">
        <f t="shared" si="37"/>
        <v>3.0000000000000027E-2</v>
      </c>
      <c r="AK53" s="258">
        <f t="shared" si="38"/>
        <v>3.0000000000000027E-2</v>
      </c>
      <c r="AL53" s="1056">
        <f t="shared" si="39"/>
        <v>3.0000000000000027E-2</v>
      </c>
      <c r="AM53" s="3"/>
      <c r="AN53" s="1043">
        <f>IF(X53=".",".",SUM($X53:X53))</f>
        <v>127.62749999999994</v>
      </c>
      <c r="AO53" s="1044">
        <f>IF(Y53=".",".",SUM($X53:Y53))</f>
        <v>156.98182499999996</v>
      </c>
      <c r="AP53" s="1044">
        <f>IF(Z53=".",".",SUM($X53:Z53))</f>
        <v>187.21677975</v>
      </c>
      <c r="AQ53" s="1044">
        <f>IF(AA53=".",".",SUM($X53:AA53))</f>
        <v>218.3587831425001</v>
      </c>
      <c r="AR53" s="1044">
        <f>IF(AB53=".",".",SUM($X53:AB53))</f>
        <v>250.43504663677516</v>
      </c>
      <c r="AS53" s="1044">
        <f>IF(AC53=".",".",SUM($X53:AC53))</f>
        <v>283.47359803587835</v>
      </c>
      <c r="AT53" s="1045">
        <f>IF(AD53=".",".",SUM($X53:AD53))</f>
        <v>317.50330597695472</v>
      </c>
      <c r="AU53" s="3"/>
      <c r="AV53" s="1055">
        <f t="shared" si="40"/>
        <v>0.14999999999999991</v>
      </c>
      <c r="AW53" s="258">
        <f t="shared" si="41"/>
        <v>0.18449999999999989</v>
      </c>
      <c r="AX53" s="258">
        <f t="shared" si="42"/>
        <v>0.22003499999999998</v>
      </c>
      <c r="AY53" s="258">
        <f t="shared" si="43"/>
        <v>0.25663605</v>
      </c>
      <c r="AZ53" s="258">
        <f t="shared" si="44"/>
        <v>0.29433513150000024</v>
      </c>
      <c r="BA53" s="258">
        <f t="shared" si="45"/>
        <v>0.33316518544500018</v>
      </c>
      <c r="BB53" s="1056">
        <f t="shared" si="46"/>
        <v>0.37316014100835004</v>
      </c>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row>
    <row r="54" spans="1:145" x14ac:dyDescent="0.2">
      <c r="A54" s="620"/>
      <c r="B54" s="1001" t="str">
        <f t="shared" si="48"/>
        <v>Business</v>
      </c>
      <c r="C54" s="1006" t="str">
        <f>IF('WS3 - Notional General Income'!C47="","",'WS3 - Notional General Income'!C47)</f>
        <v/>
      </c>
      <c r="D54" s="1007" t="s">
        <v>687</v>
      </c>
      <c r="E54" s="446"/>
      <c r="F54" s="446"/>
      <c r="G54" s="446"/>
      <c r="H54" s="446"/>
      <c r="I54" s="446"/>
      <c r="J54" s="1012"/>
      <c r="K54" s="1012"/>
      <c r="L54" s="1012"/>
      <c r="M54" s="1012"/>
      <c r="N54" s="1012"/>
      <c r="O54" s="1012"/>
      <c r="P54" s="1012"/>
      <c r="Q54" s="1010"/>
      <c r="R54" s="76"/>
      <c r="S54" s="3"/>
      <c r="T54" s="299"/>
      <c r="U54" s="568"/>
      <c r="V54" s="1035"/>
      <c r="W54" s="3"/>
      <c r="X54" s="1043" t="str">
        <f t="shared" si="26"/>
        <v>.</v>
      </c>
      <c r="Y54" s="1044" t="str">
        <f t="shared" si="27"/>
        <v>.</v>
      </c>
      <c r="Z54" s="1044" t="str">
        <f t="shared" si="28"/>
        <v>.</v>
      </c>
      <c r="AA54" s="1044" t="str">
        <f t="shared" si="29"/>
        <v>.</v>
      </c>
      <c r="AB54" s="1044" t="str">
        <f t="shared" si="30"/>
        <v>.</v>
      </c>
      <c r="AC54" s="1044" t="str">
        <f t="shared" si="31"/>
        <v>.</v>
      </c>
      <c r="AD54" s="1045" t="str">
        <f t="shared" si="32"/>
        <v>.</v>
      </c>
      <c r="AE54" s="3"/>
      <c r="AF54" s="1055" t="str">
        <f t="shared" si="33"/>
        <v>.</v>
      </c>
      <c r="AG54" s="258" t="str">
        <f t="shared" si="34"/>
        <v>.</v>
      </c>
      <c r="AH54" s="258" t="str">
        <f t="shared" si="35"/>
        <v>.</v>
      </c>
      <c r="AI54" s="258" t="str">
        <f t="shared" si="36"/>
        <v>.</v>
      </c>
      <c r="AJ54" s="258" t="str">
        <f t="shared" si="37"/>
        <v>.</v>
      </c>
      <c r="AK54" s="258" t="str">
        <f t="shared" si="38"/>
        <v>.</v>
      </c>
      <c r="AL54" s="1056" t="str">
        <f t="shared" si="39"/>
        <v>.</v>
      </c>
      <c r="AM54" s="3"/>
      <c r="AN54" s="1043" t="str">
        <f>IF(X54=".",".",SUM($X54:X54))</f>
        <v>.</v>
      </c>
      <c r="AO54" s="1044" t="str">
        <f>IF(Y54=".",".",SUM($X54:Y54))</f>
        <v>.</v>
      </c>
      <c r="AP54" s="1044" t="str">
        <f>IF(Z54=".",".",SUM($X54:Z54))</f>
        <v>.</v>
      </c>
      <c r="AQ54" s="1044" t="str">
        <f>IF(AA54=".",".",SUM($X54:AA54))</f>
        <v>.</v>
      </c>
      <c r="AR54" s="1044" t="str">
        <f>IF(AB54=".",".",SUM($X54:AB54))</f>
        <v>.</v>
      </c>
      <c r="AS54" s="1044" t="str">
        <f>IF(AC54=".",".",SUM($X54:AC54))</f>
        <v>.</v>
      </c>
      <c r="AT54" s="1045" t="str">
        <f>IF(AD54=".",".",SUM($X54:AD54))</f>
        <v>.</v>
      </c>
      <c r="AU54" s="3"/>
      <c r="AV54" s="1055" t="str">
        <f t="shared" si="40"/>
        <v>.</v>
      </c>
      <c r="AW54" s="258" t="str">
        <f t="shared" si="41"/>
        <v>.</v>
      </c>
      <c r="AX54" s="258" t="str">
        <f t="shared" si="42"/>
        <v>.</v>
      </c>
      <c r="AY54" s="258" t="str">
        <f t="shared" si="43"/>
        <v>.</v>
      </c>
      <c r="AZ54" s="258" t="str">
        <f t="shared" si="44"/>
        <v>.</v>
      </c>
      <c r="BA54" s="258" t="str">
        <f t="shared" si="45"/>
        <v>.</v>
      </c>
      <c r="BB54" s="1056" t="str">
        <f t="shared" si="46"/>
        <v>.</v>
      </c>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row>
    <row r="55" spans="1:145" x14ac:dyDescent="0.2">
      <c r="A55" s="620"/>
      <c r="B55" s="1001" t="str">
        <f t="shared" si="48"/>
        <v>Business</v>
      </c>
      <c r="C55" s="1006" t="str">
        <f>IF('WS3 - Notional General Income'!C48="","",'WS3 - Notional General Income'!C48)</f>
        <v/>
      </c>
      <c r="D55" s="1007" t="s">
        <v>687</v>
      </c>
      <c r="E55" s="446"/>
      <c r="F55" s="446"/>
      <c r="G55" s="446"/>
      <c r="H55" s="446"/>
      <c r="I55" s="446"/>
      <c r="J55" s="1012"/>
      <c r="K55" s="1012"/>
      <c r="L55" s="1012"/>
      <c r="M55" s="1012"/>
      <c r="N55" s="1012"/>
      <c r="O55" s="1012"/>
      <c r="P55" s="1012"/>
      <c r="Q55" s="1010"/>
      <c r="R55" s="76"/>
      <c r="S55" s="3"/>
      <c r="T55" s="299"/>
      <c r="U55" s="568"/>
      <c r="V55" s="1035"/>
      <c r="W55" s="3"/>
      <c r="X55" s="1043" t="str">
        <f t="shared" si="26"/>
        <v>.</v>
      </c>
      <c r="Y55" s="1044" t="str">
        <f t="shared" si="27"/>
        <v>.</v>
      </c>
      <c r="Z55" s="1044" t="str">
        <f t="shared" si="28"/>
        <v>.</v>
      </c>
      <c r="AA55" s="1044" t="str">
        <f t="shared" si="29"/>
        <v>.</v>
      </c>
      <c r="AB55" s="1044" t="str">
        <f t="shared" si="30"/>
        <v>.</v>
      </c>
      <c r="AC55" s="1044" t="str">
        <f t="shared" si="31"/>
        <v>.</v>
      </c>
      <c r="AD55" s="1045" t="str">
        <f t="shared" si="32"/>
        <v>.</v>
      </c>
      <c r="AE55" s="3"/>
      <c r="AF55" s="1055" t="str">
        <f t="shared" si="33"/>
        <v>.</v>
      </c>
      <c r="AG55" s="258" t="str">
        <f t="shared" si="34"/>
        <v>.</v>
      </c>
      <c r="AH55" s="258" t="str">
        <f t="shared" si="35"/>
        <v>.</v>
      </c>
      <c r="AI55" s="258" t="str">
        <f t="shared" si="36"/>
        <v>.</v>
      </c>
      <c r="AJ55" s="258" t="str">
        <f t="shared" si="37"/>
        <v>.</v>
      </c>
      <c r="AK55" s="258" t="str">
        <f t="shared" si="38"/>
        <v>.</v>
      </c>
      <c r="AL55" s="1056" t="str">
        <f t="shared" si="39"/>
        <v>.</v>
      </c>
      <c r="AM55" s="3"/>
      <c r="AN55" s="1043" t="str">
        <f>IF(X55=".",".",SUM($X55:X55))</f>
        <v>.</v>
      </c>
      <c r="AO55" s="1044" t="str">
        <f>IF(Y55=".",".",SUM($X55:Y55))</f>
        <v>.</v>
      </c>
      <c r="AP55" s="1044" t="str">
        <f>IF(Z55=".",".",SUM($X55:Z55))</f>
        <v>.</v>
      </c>
      <c r="AQ55" s="1044" t="str">
        <f>IF(AA55=".",".",SUM($X55:AA55))</f>
        <v>.</v>
      </c>
      <c r="AR55" s="1044" t="str">
        <f>IF(AB55=".",".",SUM($X55:AB55))</f>
        <v>.</v>
      </c>
      <c r="AS55" s="1044" t="str">
        <f>IF(AC55=".",".",SUM($X55:AC55))</f>
        <v>.</v>
      </c>
      <c r="AT55" s="1045" t="str">
        <f>IF(AD55=".",".",SUM($X55:AD55))</f>
        <v>.</v>
      </c>
      <c r="AU55" s="3"/>
      <c r="AV55" s="1055" t="str">
        <f t="shared" si="40"/>
        <v>.</v>
      </c>
      <c r="AW55" s="258" t="str">
        <f t="shared" si="41"/>
        <v>.</v>
      </c>
      <c r="AX55" s="258" t="str">
        <f t="shared" si="42"/>
        <v>.</v>
      </c>
      <c r="AY55" s="258" t="str">
        <f t="shared" si="43"/>
        <v>.</v>
      </c>
      <c r="AZ55" s="258" t="str">
        <f t="shared" si="44"/>
        <v>.</v>
      </c>
      <c r="BA55" s="258" t="str">
        <f t="shared" si="45"/>
        <v>.</v>
      </c>
      <c r="BB55" s="1056" t="str">
        <f t="shared" si="46"/>
        <v>.</v>
      </c>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row>
    <row r="56" spans="1:145" x14ac:dyDescent="0.2">
      <c r="A56" s="620"/>
      <c r="B56" s="1001" t="str">
        <f t="shared" si="48"/>
        <v>Business</v>
      </c>
      <c r="C56" s="1006" t="str">
        <f>IF('WS3 - Notional General Income'!C49="","",'WS3 - Notional General Income'!C49)</f>
        <v/>
      </c>
      <c r="D56" s="1007" t="s">
        <v>687</v>
      </c>
      <c r="E56" s="446"/>
      <c r="F56" s="446"/>
      <c r="G56" s="446"/>
      <c r="H56" s="446"/>
      <c r="I56" s="446"/>
      <c r="J56" s="1012"/>
      <c r="K56" s="1012"/>
      <c r="L56" s="1012"/>
      <c r="M56" s="1012"/>
      <c r="N56" s="1012"/>
      <c r="O56" s="1012"/>
      <c r="P56" s="1012"/>
      <c r="Q56" s="1010"/>
      <c r="R56" s="76"/>
      <c r="S56" s="3"/>
      <c r="T56" s="299"/>
      <c r="U56" s="568"/>
      <c r="V56" s="1035"/>
      <c r="W56" s="3"/>
      <c r="X56" s="1043" t="str">
        <f t="shared" si="26"/>
        <v>.</v>
      </c>
      <c r="Y56" s="1044" t="str">
        <f t="shared" si="27"/>
        <v>.</v>
      </c>
      <c r="Z56" s="1044" t="str">
        <f t="shared" si="28"/>
        <v>.</v>
      </c>
      <c r="AA56" s="1044" t="str">
        <f t="shared" si="29"/>
        <v>.</v>
      </c>
      <c r="AB56" s="1044" t="str">
        <f t="shared" si="30"/>
        <v>.</v>
      </c>
      <c r="AC56" s="1044" t="str">
        <f t="shared" si="31"/>
        <v>.</v>
      </c>
      <c r="AD56" s="1045" t="str">
        <f t="shared" si="32"/>
        <v>.</v>
      </c>
      <c r="AE56" s="3"/>
      <c r="AF56" s="1055" t="str">
        <f t="shared" si="33"/>
        <v>.</v>
      </c>
      <c r="AG56" s="258" t="str">
        <f t="shared" si="34"/>
        <v>.</v>
      </c>
      <c r="AH56" s="258" t="str">
        <f t="shared" si="35"/>
        <v>.</v>
      </c>
      <c r="AI56" s="258" t="str">
        <f t="shared" si="36"/>
        <v>.</v>
      </c>
      <c r="AJ56" s="258" t="str">
        <f t="shared" si="37"/>
        <v>.</v>
      </c>
      <c r="AK56" s="258" t="str">
        <f t="shared" si="38"/>
        <v>.</v>
      </c>
      <c r="AL56" s="1056" t="str">
        <f t="shared" si="39"/>
        <v>.</v>
      </c>
      <c r="AM56" s="3"/>
      <c r="AN56" s="1043" t="str">
        <f>IF(X56=".",".",SUM($X56:X56))</f>
        <v>.</v>
      </c>
      <c r="AO56" s="1044" t="str">
        <f>IF(Y56=".",".",SUM($X56:Y56))</f>
        <v>.</v>
      </c>
      <c r="AP56" s="1044" t="str">
        <f>IF(Z56=".",".",SUM($X56:Z56))</f>
        <v>.</v>
      </c>
      <c r="AQ56" s="1044" t="str">
        <f>IF(AA56=".",".",SUM($X56:AA56))</f>
        <v>.</v>
      </c>
      <c r="AR56" s="1044" t="str">
        <f>IF(AB56=".",".",SUM($X56:AB56))</f>
        <v>.</v>
      </c>
      <c r="AS56" s="1044" t="str">
        <f>IF(AC56=".",".",SUM($X56:AC56))</f>
        <v>.</v>
      </c>
      <c r="AT56" s="1045" t="str">
        <f>IF(AD56=".",".",SUM($X56:AD56))</f>
        <v>.</v>
      </c>
      <c r="AU56" s="3"/>
      <c r="AV56" s="1055" t="str">
        <f t="shared" si="40"/>
        <v>.</v>
      </c>
      <c r="AW56" s="258" t="str">
        <f t="shared" si="41"/>
        <v>.</v>
      </c>
      <c r="AX56" s="258" t="str">
        <f t="shared" si="42"/>
        <v>.</v>
      </c>
      <c r="AY56" s="258" t="str">
        <f t="shared" si="43"/>
        <v>.</v>
      </c>
      <c r="AZ56" s="258" t="str">
        <f t="shared" si="44"/>
        <v>.</v>
      </c>
      <c r="BA56" s="258" t="str">
        <f t="shared" si="45"/>
        <v>.</v>
      </c>
      <c r="BB56" s="1056" t="str">
        <f t="shared" si="46"/>
        <v>.</v>
      </c>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row>
    <row r="57" spans="1:145" x14ac:dyDescent="0.2">
      <c r="A57" s="620"/>
      <c r="B57" s="1001" t="str">
        <f t="shared" si="48"/>
        <v>Business</v>
      </c>
      <c r="C57" s="1006" t="str">
        <f>IF('WS3 - Notional General Income'!C50="","",'WS3 - Notional General Income'!C50)</f>
        <v/>
      </c>
      <c r="D57" s="1007" t="s">
        <v>687</v>
      </c>
      <c r="E57" s="446"/>
      <c r="F57" s="446"/>
      <c r="G57" s="446"/>
      <c r="H57" s="446"/>
      <c r="I57" s="446"/>
      <c r="J57" s="1012"/>
      <c r="K57" s="1012"/>
      <c r="L57" s="1012"/>
      <c r="M57" s="1012"/>
      <c r="N57" s="1012"/>
      <c r="O57" s="1012"/>
      <c r="P57" s="1012"/>
      <c r="Q57" s="1010"/>
      <c r="R57" s="76"/>
      <c r="S57" s="3"/>
      <c r="T57" s="299"/>
      <c r="U57" s="568"/>
      <c r="V57" s="1035"/>
      <c r="W57" s="3"/>
      <c r="X57" s="1043" t="str">
        <f t="shared" si="26"/>
        <v>.</v>
      </c>
      <c r="Y57" s="1044" t="str">
        <f t="shared" si="27"/>
        <v>.</v>
      </c>
      <c r="Z57" s="1044" t="str">
        <f t="shared" si="28"/>
        <v>.</v>
      </c>
      <c r="AA57" s="1044" t="str">
        <f t="shared" si="29"/>
        <v>.</v>
      </c>
      <c r="AB57" s="1044" t="str">
        <f t="shared" si="30"/>
        <v>.</v>
      </c>
      <c r="AC57" s="1044" t="str">
        <f t="shared" si="31"/>
        <v>.</v>
      </c>
      <c r="AD57" s="1045" t="str">
        <f t="shared" si="32"/>
        <v>.</v>
      </c>
      <c r="AE57" s="3"/>
      <c r="AF57" s="1055" t="str">
        <f t="shared" si="33"/>
        <v>.</v>
      </c>
      <c r="AG57" s="258" t="str">
        <f t="shared" si="34"/>
        <v>.</v>
      </c>
      <c r="AH57" s="258" t="str">
        <f t="shared" si="35"/>
        <v>.</v>
      </c>
      <c r="AI57" s="258" t="str">
        <f t="shared" si="36"/>
        <v>.</v>
      </c>
      <c r="AJ57" s="258" t="str">
        <f t="shared" si="37"/>
        <v>.</v>
      </c>
      <c r="AK57" s="258" t="str">
        <f t="shared" si="38"/>
        <v>.</v>
      </c>
      <c r="AL57" s="1056" t="str">
        <f t="shared" si="39"/>
        <v>.</v>
      </c>
      <c r="AM57" s="3"/>
      <c r="AN57" s="1043" t="str">
        <f>IF(X57=".",".",SUM($X57:X57))</f>
        <v>.</v>
      </c>
      <c r="AO57" s="1044" t="str">
        <f>IF(Y57=".",".",SUM($X57:Y57))</f>
        <v>.</v>
      </c>
      <c r="AP57" s="1044" t="str">
        <f>IF(Z57=".",".",SUM($X57:Z57))</f>
        <v>.</v>
      </c>
      <c r="AQ57" s="1044" t="str">
        <f>IF(AA57=".",".",SUM($X57:AA57))</f>
        <v>.</v>
      </c>
      <c r="AR57" s="1044" t="str">
        <f>IF(AB57=".",".",SUM($X57:AB57))</f>
        <v>.</v>
      </c>
      <c r="AS57" s="1044" t="str">
        <f>IF(AC57=".",".",SUM($X57:AC57))</f>
        <v>.</v>
      </c>
      <c r="AT57" s="1045" t="str">
        <f>IF(AD57=".",".",SUM($X57:AD57))</f>
        <v>.</v>
      </c>
      <c r="AU57" s="3"/>
      <c r="AV57" s="1055" t="str">
        <f t="shared" si="40"/>
        <v>.</v>
      </c>
      <c r="AW57" s="258" t="str">
        <f t="shared" si="41"/>
        <v>.</v>
      </c>
      <c r="AX57" s="258" t="str">
        <f t="shared" si="42"/>
        <v>.</v>
      </c>
      <c r="AY57" s="258" t="str">
        <f t="shared" si="43"/>
        <v>.</v>
      </c>
      <c r="AZ57" s="258" t="str">
        <f t="shared" si="44"/>
        <v>.</v>
      </c>
      <c r="BA57" s="258" t="str">
        <f t="shared" si="45"/>
        <v>.</v>
      </c>
      <c r="BB57" s="1056" t="str">
        <f t="shared" si="46"/>
        <v>.</v>
      </c>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row>
    <row r="58" spans="1:145" x14ac:dyDescent="0.2">
      <c r="A58" s="620"/>
      <c r="B58" s="1001" t="str">
        <f t="shared" si="48"/>
        <v>Business</v>
      </c>
      <c r="C58" s="1006" t="str">
        <f>IF('WS3 - Notional General Income'!C51="","",'WS3 - Notional General Income'!C51)</f>
        <v/>
      </c>
      <c r="D58" s="1007" t="s">
        <v>687</v>
      </c>
      <c r="E58" s="446"/>
      <c r="F58" s="446"/>
      <c r="G58" s="446"/>
      <c r="H58" s="446"/>
      <c r="I58" s="446"/>
      <c r="J58" s="1012"/>
      <c r="K58" s="1012"/>
      <c r="L58" s="1012"/>
      <c r="M58" s="1012"/>
      <c r="N58" s="1012"/>
      <c r="O58" s="1012"/>
      <c r="P58" s="1012"/>
      <c r="Q58" s="1010"/>
      <c r="R58" s="76"/>
      <c r="S58" s="3"/>
      <c r="T58" s="299"/>
      <c r="U58" s="568"/>
      <c r="V58" s="1035"/>
      <c r="W58" s="3"/>
      <c r="X58" s="1043" t="str">
        <f t="shared" si="26"/>
        <v>.</v>
      </c>
      <c r="Y58" s="1044" t="str">
        <f t="shared" si="27"/>
        <v>.</v>
      </c>
      <c r="Z58" s="1044" t="str">
        <f t="shared" si="28"/>
        <v>.</v>
      </c>
      <c r="AA58" s="1044" t="str">
        <f t="shared" si="29"/>
        <v>.</v>
      </c>
      <c r="AB58" s="1044" t="str">
        <f t="shared" si="30"/>
        <v>.</v>
      </c>
      <c r="AC58" s="1044" t="str">
        <f t="shared" si="31"/>
        <v>.</v>
      </c>
      <c r="AD58" s="1045" t="str">
        <f t="shared" si="32"/>
        <v>.</v>
      </c>
      <c r="AE58" s="3"/>
      <c r="AF58" s="1055" t="str">
        <f t="shared" si="33"/>
        <v>.</v>
      </c>
      <c r="AG58" s="258" t="str">
        <f t="shared" si="34"/>
        <v>.</v>
      </c>
      <c r="AH58" s="258" t="str">
        <f t="shared" si="35"/>
        <v>.</v>
      </c>
      <c r="AI58" s="258" t="str">
        <f t="shared" si="36"/>
        <v>.</v>
      </c>
      <c r="AJ58" s="258" t="str">
        <f t="shared" si="37"/>
        <v>.</v>
      </c>
      <c r="AK58" s="258" t="str">
        <f t="shared" si="38"/>
        <v>.</v>
      </c>
      <c r="AL58" s="1056" t="str">
        <f t="shared" si="39"/>
        <v>.</v>
      </c>
      <c r="AM58" s="3"/>
      <c r="AN58" s="1043" t="str">
        <f>IF(X58=".",".",SUM($X58:X58))</f>
        <v>.</v>
      </c>
      <c r="AO58" s="1044" t="str">
        <f>IF(Y58=".",".",SUM($X58:Y58))</f>
        <v>.</v>
      </c>
      <c r="AP58" s="1044" t="str">
        <f>IF(Z58=".",".",SUM($X58:Z58))</f>
        <v>.</v>
      </c>
      <c r="AQ58" s="1044" t="str">
        <f>IF(AA58=".",".",SUM($X58:AA58))</f>
        <v>.</v>
      </c>
      <c r="AR58" s="1044" t="str">
        <f>IF(AB58=".",".",SUM($X58:AB58))</f>
        <v>.</v>
      </c>
      <c r="AS58" s="1044" t="str">
        <f>IF(AC58=".",".",SUM($X58:AC58))</f>
        <v>.</v>
      </c>
      <c r="AT58" s="1045" t="str">
        <f>IF(AD58=".",".",SUM($X58:AD58))</f>
        <v>.</v>
      </c>
      <c r="AU58" s="3"/>
      <c r="AV58" s="1055" t="str">
        <f t="shared" si="40"/>
        <v>.</v>
      </c>
      <c r="AW58" s="258" t="str">
        <f t="shared" si="41"/>
        <v>.</v>
      </c>
      <c r="AX58" s="258" t="str">
        <f t="shared" si="42"/>
        <v>.</v>
      </c>
      <c r="AY58" s="258" t="str">
        <f t="shared" si="43"/>
        <v>.</v>
      </c>
      <c r="AZ58" s="258" t="str">
        <f t="shared" si="44"/>
        <v>.</v>
      </c>
      <c r="BA58" s="258" t="str">
        <f t="shared" si="45"/>
        <v>.</v>
      </c>
      <c r="BB58" s="1056" t="str">
        <f t="shared" si="46"/>
        <v>.</v>
      </c>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row>
    <row r="59" spans="1:145" x14ac:dyDescent="0.2">
      <c r="A59" s="620"/>
      <c r="B59" s="1001" t="str">
        <f t="shared" si="48"/>
        <v>Business</v>
      </c>
      <c r="C59" s="1006" t="str">
        <f>IF('WS3 - Notional General Income'!C52="","",'WS3 - Notional General Income'!C52)</f>
        <v/>
      </c>
      <c r="D59" s="1007" t="s">
        <v>687</v>
      </c>
      <c r="E59" s="446"/>
      <c r="F59" s="446"/>
      <c r="G59" s="446"/>
      <c r="H59" s="446"/>
      <c r="I59" s="446"/>
      <c r="J59" s="1012"/>
      <c r="K59" s="1012"/>
      <c r="L59" s="1012"/>
      <c r="M59" s="1012"/>
      <c r="N59" s="1012"/>
      <c r="O59" s="1012"/>
      <c r="P59" s="1012"/>
      <c r="Q59" s="1010"/>
      <c r="R59" s="76"/>
      <c r="S59" s="3"/>
      <c r="T59" s="299"/>
      <c r="U59" s="568"/>
      <c r="V59" s="1035"/>
      <c r="W59" s="3"/>
      <c r="X59" s="1043" t="str">
        <f t="shared" si="26"/>
        <v>.</v>
      </c>
      <c r="Y59" s="1044" t="str">
        <f t="shared" si="27"/>
        <v>.</v>
      </c>
      <c r="Z59" s="1044" t="str">
        <f t="shared" si="28"/>
        <v>.</v>
      </c>
      <c r="AA59" s="1044" t="str">
        <f t="shared" si="29"/>
        <v>.</v>
      </c>
      <c r="AB59" s="1044" t="str">
        <f t="shared" si="30"/>
        <v>.</v>
      </c>
      <c r="AC59" s="1044" t="str">
        <f t="shared" si="31"/>
        <v>.</v>
      </c>
      <c r="AD59" s="1045" t="str">
        <f t="shared" si="32"/>
        <v>.</v>
      </c>
      <c r="AE59" s="3"/>
      <c r="AF59" s="1055" t="str">
        <f t="shared" si="33"/>
        <v>.</v>
      </c>
      <c r="AG59" s="258" t="str">
        <f t="shared" si="34"/>
        <v>.</v>
      </c>
      <c r="AH59" s="258" t="str">
        <f t="shared" si="35"/>
        <v>.</v>
      </c>
      <c r="AI59" s="258" t="str">
        <f t="shared" si="36"/>
        <v>.</v>
      </c>
      <c r="AJ59" s="258" t="str">
        <f t="shared" si="37"/>
        <v>.</v>
      </c>
      <c r="AK59" s="258" t="str">
        <f t="shared" si="38"/>
        <v>.</v>
      </c>
      <c r="AL59" s="1056" t="str">
        <f t="shared" si="39"/>
        <v>.</v>
      </c>
      <c r="AM59" s="3"/>
      <c r="AN59" s="1043" t="str">
        <f>IF(X59=".",".",SUM($X59:X59))</f>
        <v>.</v>
      </c>
      <c r="AO59" s="1044" t="str">
        <f>IF(Y59=".",".",SUM($X59:Y59))</f>
        <v>.</v>
      </c>
      <c r="AP59" s="1044" t="str">
        <f>IF(Z59=".",".",SUM($X59:Z59))</f>
        <v>.</v>
      </c>
      <c r="AQ59" s="1044" t="str">
        <f>IF(AA59=".",".",SUM($X59:AA59))</f>
        <v>.</v>
      </c>
      <c r="AR59" s="1044" t="str">
        <f>IF(AB59=".",".",SUM($X59:AB59))</f>
        <v>.</v>
      </c>
      <c r="AS59" s="1044" t="str">
        <f>IF(AC59=".",".",SUM($X59:AC59))</f>
        <v>.</v>
      </c>
      <c r="AT59" s="1045" t="str">
        <f>IF(AD59=".",".",SUM($X59:AD59))</f>
        <v>.</v>
      </c>
      <c r="AU59" s="3"/>
      <c r="AV59" s="1055" t="str">
        <f t="shared" si="40"/>
        <v>.</v>
      </c>
      <c r="AW59" s="258" t="str">
        <f t="shared" si="41"/>
        <v>.</v>
      </c>
      <c r="AX59" s="258" t="str">
        <f t="shared" si="42"/>
        <v>.</v>
      </c>
      <c r="AY59" s="258" t="str">
        <f t="shared" si="43"/>
        <v>.</v>
      </c>
      <c r="AZ59" s="258" t="str">
        <f t="shared" si="44"/>
        <v>.</v>
      </c>
      <c r="BA59" s="258" t="str">
        <f t="shared" si="45"/>
        <v>.</v>
      </c>
      <c r="BB59" s="1056" t="str">
        <f t="shared" si="46"/>
        <v>.</v>
      </c>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row>
    <row r="60" spans="1:145" x14ac:dyDescent="0.2">
      <c r="A60" s="620"/>
      <c r="B60" s="1001" t="str">
        <f t="shared" si="48"/>
        <v>Business</v>
      </c>
      <c r="C60" s="1006" t="str">
        <f>IF('WS3 - Notional General Income'!C53="","",'WS3 - Notional General Income'!C53)</f>
        <v/>
      </c>
      <c r="D60" s="1007" t="s">
        <v>687</v>
      </c>
      <c r="E60" s="446"/>
      <c r="F60" s="446"/>
      <c r="G60" s="446"/>
      <c r="H60" s="446"/>
      <c r="I60" s="446"/>
      <c r="J60" s="1012"/>
      <c r="K60" s="1012"/>
      <c r="L60" s="1012"/>
      <c r="M60" s="1012"/>
      <c r="N60" s="1012"/>
      <c r="O60" s="1012"/>
      <c r="P60" s="1012"/>
      <c r="Q60" s="1010"/>
      <c r="R60" s="76"/>
      <c r="S60" s="3"/>
      <c r="T60" s="299"/>
      <c r="U60" s="568"/>
      <c r="V60" s="1035"/>
      <c r="W60" s="3"/>
      <c r="X60" s="1043" t="str">
        <f t="shared" si="26"/>
        <v>.</v>
      </c>
      <c r="Y60" s="1044" t="str">
        <f t="shared" si="27"/>
        <v>.</v>
      </c>
      <c r="Z60" s="1044" t="str">
        <f t="shared" si="28"/>
        <v>.</v>
      </c>
      <c r="AA60" s="1044" t="str">
        <f t="shared" si="29"/>
        <v>.</v>
      </c>
      <c r="AB60" s="1044" t="str">
        <f t="shared" si="30"/>
        <v>.</v>
      </c>
      <c r="AC60" s="1044" t="str">
        <f t="shared" si="31"/>
        <v>.</v>
      </c>
      <c r="AD60" s="1045" t="str">
        <f t="shared" si="32"/>
        <v>.</v>
      </c>
      <c r="AE60" s="3"/>
      <c r="AF60" s="1055" t="str">
        <f t="shared" si="33"/>
        <v>.</v>
      </c>
      <c r="AG60" s="258" t="str">
        <f t="shared" si="34"/>
        <v>.</v>
      </c>
      <c r="AH60" s="258" t="str">
        <f t="shared" si="35"/>
        <v>.</v>
      </c>
      <c r="AI60" s="258" t="str">
        <f t="shared" si="36"/>
        <v>.</v>
      </c>
      <c r="AJ60" s="258" t="str">
        <f t="shared" si="37"/>
        <v>.</v>
      </c>
      <c r="AK60" s="258" t="str">
        <f t="shared" si="38"/>
        <v>.</v>
      </c>
      <c r="AL60" s="1056" t="str">
        <f t="shared" si="39"/>
        <v>.</v>
      </c>
      <c r="AM60" s="3"/>
      <c r="AN60" s="1043" t="str">
        <f>IF(X60=".",".",SUM($X60:X60))</f>
        <v>.</v>
      </c>
      <c r="AO60" s="1044" t="str">
        <f>IF(Y60=".",".",SUM($X60:Y60))</f>
        <v>.</v>
      </c>
      <c r="AP60" s="1044" t="str">
        <f>IF(Z60=".",".",SUM($X60:Z60))</f>
        <v>.</v>
      </c>
      <c r="AQ60" s="1044" t="str">
        <f>IF(AA60=".",".",SUM($X60:AA60))</f>
        <v>.</v>
      </c>
      <c r="AR60" s="1044" t="str">
        <f>IF(AB60=".",".",SUM($X60:AB60))</f>
        <v>.</v>
      </c>
      <c r="AS60" s="1044" t="str">
        <f>IF(AC60=".",".",SUM($X60:AC60))</f>
        <v>.</v>
      </c>
      <c r="AT60" s="1045" t="str">
        <f>IF(AD60=".",".",SUM($X60:AD60))</f>
        <v>.</v>
      </c>
      <c r="AU60" s="3"/>
      <c r="AV60" s="1055" t="str">
        <f t="shared" si="40"/>
        <v>.</v>
      </c>
      <c r="AW60" s="258" t="str">
        <f t="shared" si="41"/>
        <v>.</v>
      </c>
      <c r="AX60" s="258" t="str">
        <f t="shared" si="42"/>
        <v>.</v>
      </c>
      <c r="AY60" s="258" t="str">
        <f t="shared" si="43"/>
        <v>.</v>
      </c>
      <c r="AZ60" s="258" t="str">
        <f t="shared" si="44"/>
        <v>.</v>
      </c>
      <c r="BA60" s="258" t="str">
        <f t="shared" si="45"/>
        <v>.</v>
      </c>
      <c r="BB60" s="1056" t="str">
        <f t="shared" si="46"/>
        <v>.</v>
      </c>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row>
    <row r="61" spans="1:145" x14ac:dyDescent="0.2">
      <c r="A61" s="620"/>
      <c r="B61" s="1001" t="str">
        <f t="shared" si="48"/>
        <v>Business</v>
      </c>
      <c r="C61" s="1006" t="str">
        <f>IF('WS3 - Notional General Income'!C54="","",'WS3 - Notional General Income'!C54)</f>
        <v/>
      </c>
      <c r="D61" s="1007" t="s">
        <v>687</v>
      </c>
      <c r="E61" s="446"/>
      <c r="F61" s="446"/>
      <c r="G61" s="446"/>
      <c r="H61" s="446"/>
      <c r="I61" s="446"/>
      <c r="J61" s="1012"/>
      <c r="K61" s="1012"/>
      <c r="L61" s="1012"/>
      <c r="M61" s="1012"/>
      <c r="N61" s="1012"/>
      <c r="O61" s="1012"/>
      <c r="P61" s="1012"/>
      <c r="Q61" s="1010"/>
      <c r="R61" s="76"/>
      <c r="S61" s="3"/>
      <c r="T61" s="299"/>
      <c r="U61" s="568"/>
      <c r="V61" s="1035"/>
      <c r="W61" s="3"/>
      <c r="X61" s="1043" t="str">
        <f t="shared" si="26"/>
        <v>.</v>
      </c>
      <c r="Y61" s="1044" t="str">
        <f t="shared" si="27"/>
        <v>.</v>
      </c>
      <c r="Z61" s="1044" t="str">
        <f t="shared" si="28"/>
        <v>.</v>
      </c>
      <c r="AA61" s="1044" t="str">
        <f t="shared" si="29"/>
        <v>.</v>
      </c>
      <c r="AB61" s="1044" t="str">
        <f t="shared" si="30"/>
        <v>.</v>
      </c>
      <c r="AC61" s="1044" t="str">
        <f t="shared" si="31"/>
        <v>.</v>
      </c>
      <c r="AD61" s="1045" t="str">
        <f t="shared" si="32"/>
        <v>.</v>
      </c>
      <c r="AE61" s="3"/>
      <c r="AF61" s="1055" t="str">
        <f t="shared" si="33"/>
        <v>.</v>
      </c>
      <c r="AG61" s="258" t="str">
        <f t="shared" si="34"/>
        <v>.</v>
      </c>
      <c r="AH61" s="258" t="str">
        <f t="shared" si="35"/>
        <v>.</v>
      </c>
      <c r="AI61" s="258" t="str">
        <f t="shared" si="36"/>
        <v>.</v>
      </c>
      <c r="AJ61" s="258" t="str">
        <f t="shared" si="37"/>
        <v>.</v>
      </c>
      <c r="AK61" s="258" t="str">
        <f t="shared" si="38"/>
        <v>.</v>
      </c>
      <c r="AL61" s="1056" t="str">
        <f t="shared" si="39"/>
        <v>.</v>
      </c>
      <c r="AM61" s="3"/>
      <c r="AN61" s="1043" t="str">
        <f>IF(X61=".",".",SUM($X61:X61))</f>
        <v>.</v>
      </c>
      <c r="AO61" s="1044" t="str">
        <f>IF(Y61=".",".",SUM($X61:Y61))</f>
        <v>.</v>
      </c>
      <c r="AP61" s="1044" t="str">
        <f>IF(Z61=".",".",SUM($X61:Z61))</f>
        <v>.</v>
      </c>
      <c r="AQ61" s="1044" t="str">
        <f>IF(AA61=".",".",SUM($X61:AA61))</f>
        <v>.</v>
      </c>
      <c r="AR61" s="1044" t="str">
        <f>IF(AB61=".",".",SUM($X61:AB61))</f>
        <v>.</v>
      </c>
      <c r="AS61" s="1044" t="str">
        <f>IF(AC61=".",".",SUM($X61:AC61))</f>
        <v>.</v>
      </c>
      <c r="AT61" s="1045" t="str">
        <f>IF(AD61=".",".",SUM($X61:AD61))</f>
        <v>.</v>
      </c>
      <c r="AU61" s="3"/>
      <c r="AV61" s="1055" t="str">
        <f t="shared" si="40"/>
        <v>.</v>
      </c>
      <c r="AW61" s="258" t="str">
        <f t="shared" si="41"/>
        <v>.</v>
      </c>
      <c r="AX61" s="258" t="str">
        <f t="shared" si="42"/>
        <v>.</v>
      </c>
      <c r="AY61" s="258" t="str">
        <f t="shared" si="43"/>
        <v>.</v>
      </c>
      <c r="AZ61" s="258" t="str">
        <f t="shared" si="44"/>
        <v>.</v>
      </c>
      <c r="BA61" s="258" t="str">
        <f t="shared" si="45"/>
        <v>.</v>
      </c>
      <c r="BB61" s="1056" t="str">
        <f t="shared" si="46"/>
        <v>.</v>
      </c>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row>
    <row r="62" spans="1:145" x14ac:dyDescent="0.2">
      <c r="A62" s="620"/>
      <c r="B62" s="1001" t="str">
        <f t="shared" si="48"/>
        <v>Business</v>
      </c>
      <c r="C62" s="1006" t="str">
        <f>IF('WS3 - Notional General Income'!C55="","",'WS3 - Notional General Income'!C55)</f>
        <v/>
      </c>
      <c r="D62" s="1007" t="s">
        <v>687</v>
      </c>
      <c r="E62" s="446"/>
      <c r="F62" s="446"/>
      <c r="G62" s="446"/>
      <c r="H62" s="446"/>
      <c r="I62" s="446"/>
      <c r="J62" s="1012"/>
      <c r="K62" s="1012"/>
      <c r="L62" s="1012"/>
      <c r="M62" s="1012"/>
      <c r="N62" s="1012"/>
      <c r="O62" s="1012"/>
      <c r="P62" s="1012"/>
      <c r="Q62" s="1010"/>
      <c r="R62" s="76"/>
      <c r="S62" s="3"/>
      <c r="T62" s="299"/>
      <c r="U62" s="568"/>
      <c r="V62" s="1035"/>
      <c r="W62" s="3"/>
      <c r="X62" s="1043" t="str">
        <f t="shared" si="26"/>
        <v>.</v>
      </c>
      <c r="Y62" s="1044" t="str">
        <f t="shared" si="27"/>
        <v>.</v>
      </c>
      <c r="Z62" s="1044" t="str">
        <f t="shared" si="28"/>
        <v>.</v>
      </c>
      <c r="AA62" s="1044" t="str">
        <f t="shared" si="29"/>
        <v>.</v>
      </c>
      <c r="AB62" s="1044" t="str">
        <f t="shared" si="30"/>
        <v>.</v>
      </c>
      <c r="AC62" s="1044" t="str">
        <f t="shared" si="31"/>
        <v>.</v>
      </c>
      <c r="AD62" s="1045" t="str">
        <f t="shared" si="32"/>
        <v>.</v>
      </c>
      <c r="AE62" s="3"/>
      <c r="AF62" s="1055" t="str">
        <f t="shared" si="33"/>
        <v>.</v>
      </c>
      <c r="AG62" s="258" t="str">
        <f t="shared" si="34"/>
        <v>.</v>
      </c>
      <c r="AH62" s="258" t="str">
        <f t="shared" si="35"/>
        <v>.</v>
      </c>
      <c r="AI62" s="258" t="str">
        <f t="shared" si="36"/>
        <v>.</v>
      </c>
      <c r="AJ62" s="258" t="str">
        <f t="shared" si="37"/>
        <v>.</v>
      </c>
      <c r="AK62" s="258" t="str">
        <f t="shared" si="38"/>
        <v>.</v>
      </c>
      <c r="AL62" s="1056" t="str">
        <f t="shared" si="39"/>
        <v>.</v>
      </c>
      <c r="AM62" s="3"/>
      <c r="AN62" s="1043" t="str">
        <f>IF(X62=".",".",SUM($X62:X62))</f>
        <v>.</v>
      </c>
      <c r="AO62" s="1044" t="str">
        <f>IF(Y62=".",".",SUM($X62:Y62))</f>
        <v>.</v>
      </c>
      <c r="AP62" s="1044" t="str">
        <f>IF(Z62=".",".",SUM($X62:Z62))</f>
        <v>.</v>
      </c>
      <c r="AQ62" s="1044" t="str">
        <f>IF(AA62=".",".",SUM($X62:AA62))</f>
        <v>.</v>
      </c>
      <c r="AR62" s="1044" t="str">
        <f>IF(AB62=".",".",SUM($X62:AB62))</f>
        <v>.</v>
      </c>
      <c r="AS62" s="1044" t="str">
        <f>IF(AC62=".",".",SUM($X62:AC62))</f>
        <v>.</v>
      </c>
      <c r="AT62" s="1045" t="str">
        <f>IF(AD62=".",".",SUM($X62:AD62))</f>
        <v>.</v>
      </c>
      <c r="AU62" s="3"/>
      <c r="AV62" s="1055" t="str">
        <f t="shared" si="40"/>
        <v>.</v>
      </c>
      <c r="AW62" s="258" t="str">
        <f t="shared" si="41"/>
        <v>.</v>
      </c>
      <c r="AX62" s="258" t="str">
        <f t="shared" si="42"/>
        <v>.</v>
      </c>
      <c r="AY62" s="258" t="str">
        <f t="shared" si="43"/>
        <v>.</v>
      </c>
      <c r="AZ62" s="258" t="str">
        <f t="shared" si="44"/>
        <v>.</v>
      </c>
      <c r="BA62" s="258" t="str">
        <f t="shared" si="45"/>
        <v>.</v>
      </c>
      <c r="BB62" s="1056" t="str">
        <f t="shared" si="46"/>
        <v>.</v>
      </c>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row>
    <row r="63" spans="1:145" x14ac:dyDescent="0.2">
      <c r="A63" s="620"/>
      <c r="B63" s="1001" t="str">
        <f t="shared" si="48"/>
        <v>Business</v>
      </c>
      <c r="C63" s="1006" t="str">
        <f>IF('WS3 - Notional General Income'!C56="","",'WS3 - Notional General Income'!C56)</f>
        <v/>
      </c>
      <c r="D63" s="1007" t="s">
        <v>687</v>
      </c>
      <c r="E63" s="446"/>
      <c r="F63" s="446"/>
      <c r="G63" s="446"/>
      <c r="H63" s="446"/>
      <c r="I63" s="446"/>
      <c r="J63" s="1012"/>
      <c r="K63" s="1012"/>
      <c r="L63" s="1012"/>
      <c r="M63" s="1012"/>
      <c r="N63" s="1012"/>
      <c r="O63" s="1012"/>
      <c r="P63" s="1012"/>
      <c r="Q63" s="1010"/>
      <c r="R63" s="76"/>
      <c r="S63" s="3"/>
      <c r="T63" s="299"/>
      <c r="U63" s="568"/>
      <c r="V63" s="1035"/>
      <c r="W63" s="3"/>
      <c r="X63" s="1043" t="str">
        <f t="shared" si="26"/>
        <v>.</v>
      </c>
      <c r="Y63" s="1044" t="str">
        <f t="shared" si="27"/>
        <v>.</v>
      </c>
      <c r="Z63" s="1044" t="str">
        <f t="shared" si="28"/>
        <v>.</v>
      </c>
      <c r="AA63" s="1044" t="str">
        <f t="shared" si="29"/>
        <v>.</v>
      </c>
      <c r="AB63" s="1044" t="str">
        <f t="shared" si="30"/>
        <v>.</v>
      </c>
      <c r="AC63" s="1044" t="str">
        <f t="shared" si="31"/>
        <v>.</v>
      </c>
      <c r="AD63" s="1045" t="str">
        <f t="shared" si="32"/>
        <v>.</v>
      </c>
      <c r="AE63" s="3"/>
      <c r="AF63" s="1055" t="str">
        <f t="shared" si="33"/>
        <v>.</v>
      </c>
      <c r="AG63" s="258" t="str">
        <f t="shared" si="34"/>
        <v>.</v>
      </c>
      <c r="AH63" s="258" t="str">
        <f t="shared" si="35"/>
        <v>.</v>
      </c>
      <c r="AI63" s="258" t="str">
        <f t="shared" si="36"/>
        <v>.</v>
      </c>
      <c r="AJ63" s="258" t="str">
        <f t="shared" si="37"/>
        <v>.</v>
      </c>
      <c r="AK63" s="258" t="str">
        <f t="shared" si="38"/>
        <v>.</v>
      </c>
      <c r="AL63" s="1056" t="str">
        <f t="shared" si="39"/>
        <v>.</v>
      </c>
      <c r="AM63" s="3"/>
      <c r="AN63" s="1043" t="str">
        <f>IF(X63=".",".",SUM($X63:X63))</f>
        <v>.</v>
      </c>
      <c r="AO63" s="1044" t="str">
        <f>IF(Y63=".",".",SUM($X63:Y63))</f>
        <v>.</v>
      </c>
      <c r="AP63" s="1044" t="str">
        <f>IF(Z63=".",".",SUM($X63:Z63))</f>
        <v>.</v>
      </c>
      <c r="AQ63" s="1044" t="str">
        <f>IF(AA63=".",".",SUM($X63:AA63))</f>
        <v>.</v>
      </c>
      <c r="AR63" s="1044" t="str">
        <f>IF(AB63=".",".",SUM($X63:AB63))</f>
        <v>.</v>
      </c>
      <c r="AS63" s="1044" t="str">
        <f>IF(AC63=".",".",SUM($X63:AC63))</f>
        <v>.</v>
      </c>
      <c r="AT63" s="1045" t="str">
        <f>IF(AD63=".",".",SUM($X63:AD63))</f>
        <v>.</v>
      </c>
      <c r="AU63" s="3"/>
      <c r="AV63" s="1055" t="str">
        <f t="shared" si="40"/>
        <v>.</v>
      </c>
      <c r="AW63" s="258" t="str">
        <f t="shared" si="41"/>
        <v>.</v>
      </c>
      <c r="AX63" s="258" t="str">
        <f t="shared" si="42"/>
        <v>.</v>
      </c>
      <c r="AY63" s="258" t="str">
        <f t="shared" si="43"/>
        <v>.</v>
      </c>
      <c r="AZ63" s="258" t="str">
        <f t="shared" si="44"/>
        <v>.</v>
      </c>
      <c r="BA63" s="258" t="str">
        <f t="shared" si="45"/>
        <v>.</v>
      </c>
      <c r="BB63" s="1056" t="str">
        <f t="shared" si="46"/>
        <v>.</v>
      </c>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row>
    <row r="64" spans="1:145" x14ac:dyDescent="0.2">
      <c r="A64" s="620"/>
      <c r="B64" s="1001" t="str">
        <f t="shared" si="48"/>
        <v>Business</v>
      </c>
      <c r="C64" s="1006" t="str">
        <f>IF('WS3 - Notional General Income'!C57="","",'WS3 - Notional General Income'!C57)</f>
        <v/>
      </c>
      <c r="D64" s="1007" t="s">
        <v>687</v>
      </c>
      <c r="E64" s="446"/>
      <c r="F64" s="446"/>
      <c r="G64" s="446"/>
      <c r="H64" s="446"/>
      <c r="I64" s="446"/>
      <c r="J64" s="1012"/>
      <c r="K64" s="1012"/>
      <c r="L64" s="1012"/>
      <c r="M64" s="1012"/>
      <c r="N64" s="1012"/>
      <c r="O64" s="1012"/>
      <c r="P64" s="1012"/>
      <c r="Q64" s="1010"/>
      <c r="R64" s="76"/>
      <c r="S64" s="3"/>
      <c r="T64" s="299"/>
      <c r="U64" s="568"/>
      <c r="V64" s="1035"/>
      <c r="W64" s="3"/>
      <c r="X64" s="1043" t="str">
        <f t="shared" si="26"/>
        <v>.</v>
      </c>
      <c r="Y64" s="1044" t="str">
        <f t="shared" si="27"/>
        <v>.</v>
      </c>
      <c r="Z64" s="1044" t="str">
        <f t="shared" si="28"/>
        <v>.</v>
      </c>
      <c r="AA64" s="1044" t="str">
        <f t="shared" si="29"/>
        <v>.</v>
      </c>
      <c r="AB64" s="1044" t="str">
        <f t="shared" si="30"/>
        <v>.</v>
      </c>
      <c r="AC64" s="1044" t="str">
        <f t="shared" si="31"/>
        <v>.</v>
      </c>
      <c r="AD64" s="1045" t="str">
        <f t="shared" si="32"/>
        <v>.</v>
      </c>
      <c r="AE64" s="3"/>
      <c r="AF64" s="1055" t="str">
        <f t="shared" si="33"/>
        <v>.</v>
      </c>
      <c r="AG64" s="258" t="str">
        <f t="shared" si="34"/>
        <v>.</v>
      </c>
      <c r="AH64" s="258" t="str">
        <f t="shared" si="35"/>
        <v>.</v>
      </c>
      <c r="AI64" s="258" t="str">
        <f t="shared" si="36"/>
        <v>.</v>
      </c>
      <c r="AJ64" s="258" t="str">
        <f t="shared" si="37"/>
        <v>.</v>
      </c>
      <c r="AK64" s="258" t="str">
        <f t="shared" si="38"/>
        <v>.</v>
      </c>
      <c r="AL64" s="1056" t="str">
        <f t="shared" si="39"/>
        <v>.</v>
      </c>
      <c r="AM64" s="3"/>
      <c r="AN64" s="1043" t="str">
        <f>IF(X64=".",".",SUM($X64:X64))</f>
        <v>.</v>
      </c>
      <c r="AO64" s="1044" t="str">
        <f>IF(Y64=".",".",SUM($X64:Y64))</f>
        <v>.</v>
      </c>
      <c r="AP64" s="1044" t="str">
        <f>IF(Z64=".",".",SUM($X64:Z64))</f>
        <v>.</v>
      </c>
      <c r="AQ64" s="1044" t="str">
        <f>IF(AA64=".",".",SUM($X64:AA64))</f>
        <v>.</v>
      </c>
      <c r="AR64" s="1044" t="str">
        <f>IF(AB64=".",".",SUM($X64:AB64))</f>
        <v>.</v>
      </c>
      <c r="AS64" s="1044" t="str">
        <f>IF(AC64=".",".",SUM($X64:AC64))</f>
        <v>.</v>
      </c>
      <c r="AT64" s="1045" t="str">
        <f>IF(AD64=".",".",SUM($X64:AD64))</f>
        <v>.</v>
      </c>
      <c r="AU64" s="3"/>
      <c r="AV64" s="1055" t="str">
        <f t="shared" si="40"/>
        <v>.</v>
      </c>
      <c r="AW64" s="258" t="str">
        <f t="shared" si="41"/>
        <v>.</v>
      </c>
      <c r="AX64" s="258" t="str">
        <f t="shared" si="42"/>
        <v>.</v>
      </c>
      <c r="AY64" s="258" t="str">
        <f t="shared" si="43"/>
        <v>.</v>
      </c>
      <c r="AZ64" s="258" t="str">
        <f t="shared" si="44"/>
        <v>.</v>
      </c>
      <c r="BA64" s="258" t="str">
        <f t="shared" si="45"/>
        <v>.</v>
      </c>
      <c r="BB64" s="1056" t="str">
        <f t="shared" si="46"/>
        <v>.</v>
      </c>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row>
    <row r="65" spans="1:145" x14ac:dyDescent="0.2">
      <c r="A65" s="620"/>
      <c r="B65" s="1001" t="str">
        <f t="shared" si="48"/>
        <v>Business</v>
      </c>
      <c r="C65" s="1006" t="str">
        <f>IF('WS3 - Notional General Income'!C58="","",'WS3 - Notional General Income'!C58)</f>
        <v/>
      </c>
      <c r="D65" s="1007" t="s">
        <v>687</v>
      </c>
      <c r="E65" s="446"/>
      <c r="F65" s="446"/>
      <c r="G65" s="446"/>
      <c r="H65" s="446"/>
      <c r="I65" s="446"/>
      <c r="J65" s="1012"/>
      <c r="K65" s="1012"/>
      <c r="L65" s="1012"/>
      <c r="M65" s="1012"/>
      <c r="N65" s="1012"/>
      <c r="O65" s="1012"/>
      <c r="P65" s="1012"/>
      <c r="Q65" s="1010"/>
      <c r="R65" s="76"/>
      <c r="S65" s="3"/>
      <c r="T65" s="299"/>
      <c r="U65" s="568"/>
      <c r="V65" s="1035"/>
      <c r="W65" s="3"/>
      <c r="X65" s="1043" t="str">
        <f t="shared" si="26"/>
        <v>.</v>
      </c>
      <c r="Y65" s="1044" t="str">
        <f t="shared" si="27"/>
        <v>.</v>
      </c>
      <c r="Z65" s="1044" t="str">
        <f t="shared" si="28"/>
        <v>.</v>
      </c>
      <c r="AA65" s="1044" t="str">
        <f t="shared" si="29"/>
        <v>.</v>
      </c>
      <c r="AB65" s="1044" t="str">
        <f t="shared" si="30"/>
        <v>.</v>
      </c>
      <c r="AC65" s="1044" t="str">
        <f t="shared" si="31"/>
        <v>.</v>
      </c>
      <c r="AD65" s="1045" t="str">
        <f t="shared" si="32"/>
        <v>.</v>
      </c>
      <c r="AE65" s="3"/>
      <c r="AF65" s="1055" t="str">
        <f t="shared" si="33"/>
        <v>.</v>
      </c>
      <c r="AG65" s="258" t="str">
        <f t="shared" si="34"/>
        <v>.</v>
      </c>
      <c r="AH65" s="258" t="str">
        <f t="shared" si="35"/>
        <v>.</v>
      </c>
      <c r="AI65" s="258" t="str">
        <f t="shared" si="36"/>
        <v>.</v>
      </c>
      <c r="AJ65" s="258" t="str">
        <f t="shared" si="37"/>
        <v>.</v>
      </c>
      <c r="AK65" s="258" t="str">
        <f t="shared" si="38"/>
        <v>.</v>
      </c>
      <c r="AL65" s="1056" t="str">
        <f t="shared" si="39"/>
        <v>.</v>
      </c>
      <c r="AM65" s="3"/>
      <c r="AN65" s="1043" t="str">
        <f>IF(X65=".",".",SUM($X65:X65))</f>
        <v>.</v>
      </c>
      <c r="AO65" s="1044" t="str">
        <f>IF(Y65=".",".",SUM($X65:Y65))</f>
        <v>.</v>
      </c>
      <c r="AP65" s="1044" t="str">
        <f>IF(Z65=".",".",SUM($X65:Z65))</f>
        <v>.</v>
      </c>
      <c r="AQ65" s="1044" t="str">
        <f>IF(AA65=".",".",SUM($X65:AA65))</f>
        <v>.</v>
      </c>
      <c r="AR65" s="1044" t="str">
        <f>IF(AB65=".",".",SUM($X65:AB65))</f>
        <v>.</v>
      </c>
      <c r="AS65" s="1044" t="str">
        <f>IF(AC65=".",".",SUM($X65:AC65))</f>
        <v>.</v>
      </c>
      <c r="AT65" s="1045" t="str">
        <f>IF(AD65=".",".",SUM($X65:AD65))</f>
        <v>.</v>
      </c>
      <c r="AU65" s="3"/>
      <c r="AV65" s="1055" t="str">
        <f t="shared" si="40"/>
        <v>.</v>
      </c>
      <c r="AW65" s="258" t="str">
        <f t="shared" si="41"/>
        <v>.</v>
      </c>
      <c r="AX65" s="258" t="str">
        <f t="shared" si="42"/>
        <v>.</v>
      </c>
      <c r="AY65" s="258" t="str">
        <f t="shared" si="43"/>
        <v>.</v>
      </c>
      <c r="AZ65" s="258" t="str">
        <f t="shared" si="44"/>
        <v>.</v>
      </c>
      <c r="BA65" s="258" t="str">
        <f t="shared" si="45"/>
        <v>.</v>
      </c>
      <c r="BB65" s="1056" t="str">
        <f t="shared" si="46"/>
        <v>.</v>
      </c>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row>
    <row r="66" spans="1:145" x14ac:dyDescent="0.2">
      <c r="A66" s="620"/>
      <c r="B66" s="1001" t="str">
        <f t="shared" si="48"/>
        <v>Business</v>
      </c>
      <c r="C66" s="1006" t="str">
        <f>IF('WS3 - Notional General Income'!C59="","",'WS3 - Notional General Income'!C59)</f>
        <v/>
      </c>
      <c r="D66" s="1007" t="s">
        <v>687</v>
      </c>
      <c r="E66" s="446"/>
      <c r="F66" s="446"/>
      <c r="G66" s="446"/>
      <c r="H66" s="446"/>
      <c r="I66" s="446"/>
      <c r="J66" s="1012"/>
      <c r="K66" s="1012"/>
      <c r="L66" s="1012"/>
      <c r="M66" s="1012"/>
      <c r="N66" s="1012"/>
      <c r="O66" s="1012"/>
      <c r="P66" s="1012"/>
      <c r="Q66" s="1010"/>
      <c r="R66" s="76"/>
      <c r="S66" s="3"/>
      <c r="T66" s="299"/>
      <c r="U66" s="568"/>
      <c r="V66" s="1035"/>
      <c r="W66" s="3"/>
      <c r="X66" s="1043" t="str">
        <f t="shared" si="26"/>
        <v>.</v>
      </c>
      <c r="Y66" s="1044" t="str">
        <f t="shared" si="27"/>
        <v>.</v>
      </c>
      <c r="Z66" s="1044" t="str">
        <f t="shared" si="28"/>
        <v>.</v>
      </c>
      <c r="AA66" s="1044" t="str">
        <f t="shared" si="29"/>
        <v>.</v>
      </c>
      <c r="AB66" s="1044" t="str">
        <f t="shared" si="30"/>
        <v>.</v>
      </c>
      <c r="AC66" s="1044" t="str">
        <f t="shared" si="31"/>
        <v>.</v>
      </c>
      <c r="AD66" s="1045" t="str">
        <f t="shared" si="32"/>
        <v>.</v>
      </c>
      <c r="AE66" s="3"/>
      <c r="AF66" s="1055" t="str">
        <f t="shared" si="33"/>
        <v>.</v>
      </c>
      <c r="AG66" s="258" t="str">
        <f t="shared" si="34"/>
        <v>.</v>
      </c>
      <c r="AH66" s="258" t="str">
        <f t="shared" si="35"/>
        <v>.</v>
      </c>
      <c r="AI66" s="258" t="str">
        <f t="shared" si="36"/>
        <v>.</v>
      </c>
      <c r="AJ66" s="258" t="str">
        <f t="shared" si="37"/>
        <v>.</v>
      </c>
      <c r="AK66" s="258" t="str">
        <f t="shared" si="38"/>
        <v>.</v>
      </c>
      <c r="AL66" s="1056" t="str">
        <f t="shared" si="39"/>
        <v>.</v>
      </c>
      <c r="AM66" s="3"/>
      <c r="AN66" s="1043" t="str">
        <f>IF(X66=".",".",SUM($X66:X66))</f>
        <v>.</v>
      </c>
      <c r="AO66" s="1044" t="str">
        <f>IF(Y66=".",".",SUM($X66:Y66))</f>
        <v>.</v>
      </c>
      <c r="AP66" s="1044" t="str">
        <f>IF(Z66=".",".",SUM($X66:Z66))</f>
        <v>.</v>
      </c>
      <c r="AQ66" s="1044" t="str">
        <f>IF(AA66=".",".",SUM($X66:AA66))</f>
        <v>.</v>
      </c>
      <c r="AR66" s="1044" t="str">
        <f>IF(AB66=".",".",SUM($X66:AB66))</f>
        <v>.</v>
      </c>
      <c r="AS66" s="1044" t="str">
        <f>IF(AC66=".",".",SUM($X66:AC66))</f>
        <v>.</v>
      </c>
      <c r="AT66" s="1045" t="str">
        <f>IF(AD66=".",".",SUM($X66:AD66))</f>
        <v>.</v>
      </c>
      <c r="AU66" s="3"/>
      <c r="AV66" s="1055" t="str">
        <f t="shared" si="40"/>
        <v>.</v>
      </c>
      <c r="AW66" s="258" t="str">
        <f t="shared" si="41"/>
        <v>.</v>
      </c>
      <c r="AX66" s="258" t="str">
        <f t="shared" si="42"/>
        <v>.</v>
      </c>
      <c r="AY66" s="258" t="str">
        <f t="shared" si="43"/>
        <v>.</v>
      </c>
      <c r="AZ66" s="258" t="str">
        <f t="shared" si="44"/>
        <v>.</v>
      </c>
      <c r="BA66" s="258" t="str">
        <f t="shared" si="45"/>
        <v>.</v>
      </c>
      <c r="BB66" s="1056" t="str">
        <f t="shared" si="46"/>
        <v>.</v>
      </c>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row>
    <row r="67" spans="1:145" x14ac:dyDescent="0.2">
      <c r="A67" s="620"/>
      <c r="B67" s="1001" t="str">
        <f t="shared" si="48"/>
        <v>Business</v>
      </c>
      <c r="C67" s="1006" t="str">
        <f>IF('WS3 - Notional General Income'!C60="","",'WS3 - Notional General Income'!C60)</f>
        <v/>
      </c>
      <c r="D67" s="1007" t="s">
        <v>687</v>
      </c>
      <c r="E67" s="446"/>
      <c r="F67" s="446"/>
      <c r="G67" s="446"/>
      <c r="H67" s="446"/>
      <c r="I67" s="446"/>
      <c r="J67" s="1012"/>
      <c r="K67" s="1012"/>
      <c r="L67" s="1012"/>
      <c r="M67" s="1012"/>
      <c r="N67" s="1012"/>
      <c r="O67" s="1012"/>
      <c r="P67" s="1012"/>
      <c r="Q67" s="1010"/>
      <c r="R67" s="76"/>
      <c r="S67" s="3"/>
      <c r="T67" s="299"/>
      <c r="U67" s="568"/>
      <c r="V67" s="1035"/>
      <c r="W67" s="3"/>
      <c r="X67" s="1043" t="str">
        <f t="shared" si="26"/>
        <v>.</v>
      </c>
      <c r="Y67" s="1044" t="str">
        <f t="shared" si="27"/>
        <v>.</v>
      </c>
      <c r="Z67" s="1044" t="str">
        <f t="shared" si="28"/>
        <v>.</v>
      </c>
      <c r="AA67" s="1044" t="str">
        <f t="shared" si="29"/>
        <v>.</v>
      </c>
      <c r="AB67" s="1044" t="str">
        <f t="shared" si="30"/>
        <v>.</v>
      </c>
      <c r="AC67" s="1044" t="str">
        <f t="shared" si="31"/>
        <v>.</v>
      </c>
      <c r="AD67" s="1045" t="str">
        <f t="shared" si="32"/>
        <v>.</v>
      </c>
      <c r="AE67" s="3"/>
      <c r="AF67" s="1055" t="str">
        <f t="shared" si="33"/>
        <v>.</v>
      </c>
      <c r="AG67" s="258" t="str">
        <f t="shared" si="34"/>
        <v>.</v>
      </c>
      <c r="AH67" s="258" t="str">
        <f t="shared" si="35"/>
        <v>.</v>
      </c>
      <c r="AI67" s="258" t="str">
        <f t="shared" si="36"/>
        <v>.</v>
      </c>
      <c r="AJ67" s="258" t="str">
        <f t="shared" si="37"/>
        <v>.</v>
      </c>
      <c r="AK67" s="258" t="str">
        <f t="shared" si="38"/>
        <v>.</v>
      </c>
      <c r="AL67" s="1056" t="str">
        <f t="shared" si="39"/>
        <v>.</v>
      </c>
      <c r="AM67" s="3"/>
      <c r="AN67" s="1043" t="str">
        <f>IF(X67=".",".",SUM($X67:X67))</f>
        <v>.</v>
      </c>
      <c r="AO67" s="1044" t="str">
        <f>IF(Y67=".",".",SUM($X67:Y67))</f>
        <v>.</v>
      </c>
      <c r="AP67" s="1044" t="str">
        <f>IF(Z67=".",".",SUM($X67:Z67))</f>
        <v>.</v>
      </c>
      <c r="AQ67" s="1044" t="str">
        <f>IF(AA67=".",".",SUM($X67:AA67))</f>
        <v>.</v>
      </c>
      <c r="AR67" s="1044" t="str">
        <f>IF(AB67=".",".",SUM($X67:AB67))</f>
        <v>.</v>
      </c>
      <c r="AS67" s="1044" t="str">
        <f>IF(AC67=".",".",SUM($X67:AC67))</f>
        <v>.</v>
      </c>
      <c r="AT67" s="1045" t="str">
        <f>IF(AD67=".",".",SUM($X67:AD67))</f>
        <v>.</v>
      </c>
      <c r="AU67" s="3"/>
      <c r="AV67" s="1055" t="str">
        <f t="shared" si="40"/>
        <v>.</v>
      </c>
      <c r="AW67" s="258" t="str">
        <f t="shared" si="41"/>
        <v>.</v>
      </c>
      <c r="AX67" s="258" t="str">
        <f t="shared" si="42"/>
        <v>.</v>
      </c>
      <c r="AY67" s="258" t="str">
        <f t="shared" si="43"/>
        <v>.</v>
      </c>
      <c r="AZ67" s="258" t="str">
        <f t="shared" si="44"/>
        <v>.</v>
      </c>
      <c r="BA67" s="258" t="str">
        <f t="shared" si="45"/>
        <v>.</v>
      </c>
      <c r="BB67" s="1056" t="str">
        <f t="shared" si="46"/>
        <v>.</v>
      </c>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row>
    <row r="68" spans="1:145" x14ac:dyDescent="0.2">
      <c r="A68" s="620"/>
      <c r="B68" s="1001" t="str">
        <f t="shared" si="48"/>
        <v>Business</v>
      </c>
      <c r="C68" s="1006" t="str">
        <f>IF('WS3 - Notional General Income'!C61="","",'WS3 - Notional General Income'!C61)</f>
        <v/>
      </c>
      <c r="D68" s="1007" t="s">
        <v>687</v>
      </c>
      <c r="E68" s="446"/>
      <c r="F68" s="446"/>
      <c r="G68" s="446"/>
      <c r="H68" s="446"/>
      <c r="I68" s="446"/>
      <c r="J68" s="1012"/>
      <c r="K68" s="1012"/>
      <c r="L68" s="1012"/>
      <c r="M68" s="1012"/>
      <c r="N68" s="1012"/>
      <c r="O68" s="1012"/>
      <c r="P68" s="1012"/>
      <c r="Q68" s="1010"/>
      <c r="R68" s="76"/>
      <c r="S68" s="3"/>
      <c r="T68" s="299"/>
      <c r="U68" s="568"/>
      <c r="V68" s="1035"/>
      <c r="W68" s="3"/>
      <c r="X68" s="1043" t="str">
        <f t="shared" si="26"/>
        <v>.</v>
      </c>
      <c r="Y68" s="1044" t="str">
        <f t="shared" si="27"/>
        <v>.</v>
      </c>
      <c r="Z68" s="1044" t="str">
        <f t="shared" si="28"/>
        <v>.</v>
      </c>
      <c r="AA68" s="1044" t="str">
        <f t="shared" si="29"/>
        <v>.</v>
      </c>
      <c r="AB68" s="1044" t="str">
        <f t="shared" si="30"/>
        <v>.</v>
      </c>
      <c r="AC68" s="1044" t="str">
        <f t="shared" si="31"/>
        <v>.</v>
      </c>
      <c r="AD68" s="1045" t="str">
        <f t="shared" si="32"/>
        <v>.</v>
      </c>
      <c r="AE68" s="3"/>
      <c r="AF68" s="1055" t="str">
        <f t="shared" si="33"/>
        <v>.</v>
      </c>
      <c r="AG68" s="258" t="str">
        <f t="shared" si="34"/>
        <v>.</v>
      </c>
      <c r="AH68" s="258" t="str">
        <f t="shared" si="35"/>
        <v>.</v>
      </c>
      <c r="AI68" s="258" t="str">
        <f t="shared" si="36"/>
        <v>.</v>
      </c>
      <c r="AJ68" s="258" t="str">
        <f t="shared" si="37"/>
        <v>.</v>
      </c>
      <c r="AK68" s="258" t="str">
        <f t="shared" si="38"/>
        <v>.</v>
      </c>
      <c r="AL68" s="1056" t="str">
        <f t="shared" si="39"/>
        <v>.</v>
      </c>
      <c r="AM68" s="3"/>
      <c r="AN68" s="1043" t="str">
        <f>IF(X68=".",".",SUM($X68:X68))</f>
        <v>.</v>
      </c>
      <c r="AO68" s="1044" t="str">
        <f>IF(Y68=".",".",SUM($X68:Y68))</f>
        <v>.</v>
      </c>
      <c r="AP68" s="1044" t="str">
        <f>IF(Z68=".",".",SUM($X68:Z68))</f>
        <v>.</v>
      </c>
      <c r="AQ68" s="1044" t="str">
        <f>IF(AA68=".",".",SUM($X68:AA68))</f>
        <v>.</v>
      </c>
      <c r="AR68" s="1044" t="str">
        <f>IF(AB68=".",".",SUM($X68:AB68))</f>
        <v>.</v>
      </c>
      <c r="AS68" s="1044" t="str">
        <f>IF(AC68=".",".",SUM($X68:AC68))</f>
        <v>.</v>
      </c>
      <c r="AT68" s="1045" t="str">
        <f>IF(AD68=".",".",SUM($X68:AD68))</f>
        <v>.</v>
      </c>
      <c r="AU68" s="3"/>
      <c r="AV68" s="1055" t="str">
        <f t="shared" si="40"/>
        <v>.</v>
      </c>
      <c r="AW68" s="258" t="str">
        <f t="shared" si="41"/>
        <v>.</v>
      </c>
      <c r="AX68" s="258" t="str">
        <f t="shared" si="42"/>
        <v>.</v>
      </c>
      <c r="AY68" s="258" t="str">
        <f t="shared" si="43"/>
        <v>.</v>
      </c>
      <c r="AZ68" s="258" t="str">
        <f t="shared" si="44"/>
        <v>.</v>
      </c>
      <c r="BA68" s="258" t="str">
        <f t="shared" si="45"/>
        <v>.</v>
      </c>
      <c r="BB68" s="1056" t="str">
        <f t="shared" si="46"/>
        <v>.</v>
      </c>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row>
    <row r="69" spans="1:145" x14ac:dyDescent="0.2">
      <c r="A69" s="620"/>
      <c r="B69" s="1001" t="str">
        <f t="shared" si="48"/>
        <v>Business</v>
      </c>
      <c r="C69" s="1006" t="str">
        <f>IF('WS3 - Notional General Income'!C62="","",'WS3 - Notional General Income'!C62)</f>
        <v/>
      </c>
      <c r="D69" s="1007" t="s">
        <v>687</v>
      </c>
      <c r="E69" s="446"/>
      <c r="F69" s="446"/>
      <c r="G69" s="446"/>
      <c r="H69" s="446"/>
      <c r="I69" s="446"/>
      <c r="J69" s="1012"/>
      <c r="K69" s="1012"/>
      <c r="L69" s="1012"/>
      <c r="M69" s="1012"/>
      <c r="N69" s="1012"/>
      <c r="O69" s="1012"/>
      <c r="P69" s="1012"/>
      <c r="Q69" s="1010"/>
      <c r="R69" s="76"/>
      <c r="S69" s="3"/>
      <c r="T69" s="299"/>
      <c r="U69" s="568"/>
      <c r="V69" s="1035"/>
      <c r="W69" s="3"/>
      <c r="X69" s="1043" t="str">
        <f t="shared" si="26"/>
        <v>.</v>
      </c>
      <c r="Y69" s="1044" t="str">
        <f t="shared" si="27"/>
        <v>.</v>
      </c>
      <c r="Z69" s="1044" t="str">
        <f t="shared" si="28"/>
        <v>.</v>
      </c>
      <c r="AA69" s="1044" t="str">
        <f t="shared" si="29"/>
        <v>.</v>
      </c>
      <c r="AB69" s="1044" t="str">
        <f t="shared" si="30"/>
        <v>.</v>
      </c>
      <c r="AC69" s="1044" t="str">
        <f t="shared" si="31"/>
        <v>.</v>
      </c>
      <c r="AD69" s="1045" t="str">
        <f t="shared" si="32"/>
        <v>.</v>
      </c>
      <c r="AE69" s="3"/>
      <c r="AF69" s="1055" t="str">
        <f t="shared" si="33"/>
        <v>.</v>
      </c>
      <c r="AG69" s="258" t="str">
        <f t="shared" si="34"/>
        <v>.</v>
      </c>
      <c r="AH69" s="258" t="str">
        <f t="shared" si="35"/>
        <v>.</v>
      </c>
      <c r="AI69" s="258" t="str">
        <f t="shared" si="36"/>
        <v>.</v>
      </c>
      <c r="AJ69" s="258" t="str">
        <f t="shared" si="37"/>
        <v>.</v>
      </c>
      <c r="AK69" s="258" t="str">
        <f t="shared" si="38"/>
        <v>.</v>
      </c>
      <c r="AL69" s="1056" t="str">
        <f t="shared" si="39"/>
        <v>.</v>
      </c>
      <c r="AM69" s="3"/>
      <c r="AN69" s="1043" t="str">
        <f>IF(X69=".",".",SUM($X69:X69))</f>
        <v>.</v>
      </c>
      <c r="AO69" s="1044" t="str">
        <f>IF(Y69=".",".",SUM($X69:Y69))</f>
        <v>.</v>
      </c>
      <c r="AP69" s="1044" t="str">
        <f>IF(Z69=".",".",SUM($X69:Z69))</f>
        <v>.</v>
      </c>
      <c r="AQ69" s="1044" t="str">
        <f>IF(AA69=".",".",SUM($X69:AA69))</f>
        <v>.</v>
      </c>
      <c r="AR69" s="1044" t="str">
        <f>IF(AB69=".",".",SUM($X69:AB69))</f>
        <v>.</v>
      </c>
      <c r="AS69" s="1044" t="str">
        <f>IF(AC69=".",".",SUM($X69:AC69))</f>
        <v>.</v>
      </c>
      <c r="AT69" s="1045" t="str">
        <f>IF(AD69=".",".",SUM($X69:AD69))</f>
        <v>.</v>
      </c>
      <c r="AU69" s="3"/>
      <c r="AV69" s="1055" t="str">
        <f t="shared" si="40"/>
        <v>.</v>
      </c>
      <c r="AW69" s="258" t="str">
        <f t="shared" si="41"/>
        <v>.</v>
      </c>
      <c r="AX69" s="258" t="str">
        <f t="shared" si="42"/>
        <v>.</v>
      </c>
      <c r="AY69" s="258" t="str">
        <f t="shared" si="43"/>
        <v>.</v>
      </c>
      <c r="AZ69" s="258" t="str">
        <f t="shared" si="44"/>
        <v>.</v>
      </c>
      <c r="BA69" s="258" t="str">
        <f t="shared" si="45"/>
        <v>.</v>
      </c>
      <c r="BB69" s="1056" t="str">
        <f t="shared" si="46"/>
        <v>.</v>
      </c>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row>
    <row r="70" spans="1:145" x14ac:dyDescent="0.2">
      <c r="A70" s="620"/>
      <c r="B70" s="1001" t="str">
        <f t="shared" si="48"/>
        <v>Business</v>
      </c>
      <c r="C70" s="1006" t="str">
        <f>IF('WS3 - Notional General Income'!C63="","",'WS3 - Notional General Income'!C63)</f>
        <v/>
      </c>
      <c r="D70" s="1007" t="s">
        <v>687</v>
      </c>
      <c r="E70" s="446"/>
      <c r="F70" s="446"/>
      <c r="G70" s="446"/>
      <c r="H70" s="446"/>
      <c r="I70" s="446"/>
      <c r="J70" s="1012"/>
      <c r="K70" s="1012"/>
      <c r="L70" s="1012"/>
      <c r="M70" s="1012"/>
      <c r="N70" s="1012"/>
      <c r="O70" s="1012"/>
      <c r="P70" s="1012"/>
      <c r="Q70" s="1010"/>
      <c r="R70" s="76"/>
      <c r="S70" s="3"/>
      <c r="T70" s="299"/>
      <c r="U70" s="568"/>
      <c r="V70" s="1035"/>
      <c r="W70" s="3"/>
      <c r="X70" s="1043" t="str">
        <f t="shared" si="26"/>
        <v>.</v>
      </c>
      <c r="Y70" s="1044" t="str">
        <f t="shared" si="27"/>
        <v>.</v>
      </c>
      <c r="Z70" s="1044" t="str">
        <f t="shared" si="28"/>
        <v>.</v>
      </c>
      <c r="AA70" s="1044" t="str">
        <f t="shared" si="29"/>
        <v>.</v>
      </c>
      <c r="AB70" s="1044" t="str">
        <f t="shared" si="30"/>
        <v>.</v>
      </c>
      <c r="AC70" s="1044" t="str">
        <f t="shared" si="31"/>
        <v>.</v>
      </c>
      <c r="AD70" s="1045" t="str">
        <f t="shared" si="32"/>
        <v>.</v>
      </c>
      <c r="AE70" s="3"/>
      <c r="AF70" s="1055" t="str">
        <f t="shared" si="33"/>
        <v>.</v>
      </c>
      <c r="AG70" s="258" t="str">
        <f t="shared" si="34"/>
        <v>.</v>
      </c>
      <c r="AH70" s="258" t="str">
        <f t="shared" si="35"/>
        <v>.</v>
      </c>
      <c r="AI70" s="258" t="str">
        <f t="shared" si="36"/>
        <v>.</v>
      </c>
      <c r="AJ70" s="258" t="str">
        <f t="shared" si="37"/>
        <v>.</v>
      </c>
      <c r="AK70" s="258" t="str">
        <f t="shared" si="38"/>
        <v>.</v>
      </c>
      <c r="AL70" s="1056" t="str">
        <f t="shared" si="39"/>
        <v>.</v>
      </c>
      <c r="AM70" s="3"/>
      <c r="AN70" s="1043" t="str">
        <f>IF(X70=".",".",SUM($X70:X70))</f>
        <v>.</v>
      </c>
      <c r="AO70" s="1044" t="str">
        <f>IF(Y70=".",".",SUM($X70:Y70))</f>
        <v>.</v>
      </c>
      <c r="AP70" s="1044" t="str">
        <f>IF(Z70=".",".",SUM($X70:Z70))</f>
        <v>.</v>
      </c>
      <c r="AQ70" s="1044" t="str">
        <f>IF(AA70=".",".",SUM($X70:AA70))</f>
        <v>.</v>
      </c>
      <c r="AR70" s="1044" t="str">
        <f>IF(AB70=".",".",SUM($X70:AB70))</f>
        <v>.</v>
      </c>
      <c r="AS70" s="1044" t="str">
        <f>IF(AC70=".",".",SUM($X70:AC70))</f>
        <v>.</v>
      </c>
      <c r="AT70" s="1045" t="str">
        <f>IF(AD70=".",".",SUM($X70:AD70))</f>
        <v>.</v>
      </c>
      <c r="AU70" s="3"/>
      <c r="AV70" s="1055" t="str">
        <f t="shared" si="40"/>
        <v>.</v>
      </c>
      <c r="AW70" s="258" t="str">
        <f t="shared" si="41"/>
        <v>.</v>
      </c>
      <c r="AX70" s="258" t="str">
        <f t="shared" si="42"/>
        <v>.</v>
      </c>
      <c r="AY70" s="258" t="str">
        <f t="shared" si="43"/>
        <v>.</v>
      </c>
      <c r="AZ70" s="258" t="str">
        <f t="shared" si="44"/>
        <v>.</v>
      </c>
      <c r="BA70" s="258" t="str">
        <f t="shared" si="45"/>
        <v>.</v>
      </c>
      <c r="BB70" s="1056" t="str">
        <f t="shared" si="46"/>
        <v>.</v>
      </c>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row>
    <row r="71" spans="1:145" x14ac:dyDescent="0.2">
      <c r="A71" s="620"/>
      <c r="B71" s="1001" t="str">
        <f t="shared" si="48"/>
        <v>Business</v>
      </c>
      <c r="C71" s="1006" t="str">
        <f>IF('WS3 - Notional General Income'!C64="","",'WS3 - Notional General Income'!C64)</f>
        <v/>
      </c>
      <c r="D71" s="1007" t="s">
        <v>687</v>
      </c>
      <c r="E71" s="446"/>
      <c r="F71" s="446"/>
      <c r="G71" s="446"/>
      <c r="H71" s="446"/>
      <c r="I71" s="446"/>
      <c r="J71" s="1012"/>
      <c r="K71" s="1012"/>
      <c r="L71" s="1012"/>
      <c r="M71" s="1012"/>
      <c r="N71" s="1012"/>
      <c r="O71" s="1012"/>
      <c r="P71" s="1012"/>
      <c r="Q71" s="1010"/>
      <c r="R71" s="76"/>
      <c r="S71" s="3"/>
      <c r="T71" s="299"/>
      <c r="U71" s="568"/>
      <c r="V71" s="1035"/>
      <c r="W71" s="3"/>
      <c r="X71" s="1043" t="str">
        <f t="shared" si="26"/>
        <v>.</v>
      </c>
      <c r="Y71" s="1044" t="str">
        <f t="shared" si="27"/>
        <v>.</v>
      </c>
      <c r="Z71" s="1044" t="str">
        <f t="shared" si="28"/>
        <v>.</v>
      </c>
      <c r="AA71" s="1044" t="str">
        <f t="shared" si="29"/>
        <v>.</v>
      </c>
      <c r="AB71" s="1044" t="str">
        <f t="shared" si="30"/>
        <v>.</v>
      </c>
      <c r="AC71" s="1044" t="str">
        <f t="shared" si="31"/>
        <v>.</v>
      </c>
      <c r="AD71" s="1045" t="str">
        <f t="shared" si="32"/>
        <v>.</v>
      </c>
      <c r="AE71" s="3"/>
      <c r="AF71" s="1055" t="str">
        <f t="shared" si="33"/>
        <v>.</v>
      </c>
      <c r="AG71" s="258" t="str">
        <f t="shared" si="34"/>
        <v>.</v>
      </c>
      <c r="AH71" s="258" t="str">
        <f t="shared" si="35"/>
        <v>.</v>
      </c>
      <c r="AI71" s="258" t="str">
        <f t="shared" si="36"/>
        <v>.</v>
      </c>
      <c r="AJ71" s="258" t="str">
        <f t="shared" si="37"/>
        <v>.</v>
      </c>
      <c r="AK71" s="258" t="str">
        <f t="shared" si="38"/>
        <v>.</v>
      </c>
      <c r="AL71" s="1056" t="str">
        <f t="shared" si="39"/>
        <v>.</v>
      </c>
      <c r="AM71" s="3"/>
      <c r="AN71" s="1043" t="str">
        <f>IF(X71=".",".",SUM($X71:X71))</f>
        <v>.</v>
      </c>
      <c r="AO71" s="1044" t="str">
        <f>IF(Y71=".",".",SUM($X71:Y71))</f>
        <v>.</v>
      </c>
      <c r="AP71" s="1044" t="str">
        <f>IF(Z71=".",".",SUM($X71:Z71))</f>
        <v>.</v>
      </c>
      <c r="AQ71" s="1044" t="str">
        <f>IF(AA71=".",".",SUM($X71:AA71))</f>
        <v>.</v>
      </c>
      <c r="AR71" s="1044" t="str">
        <f>IF(AB71=".",".",SUM($X71:AB71))</f>
        <v>.</v>
      </c>
      <c r="AS71" s="1044" t="str">
        <f>IF(AC71=".",".",SUM($X71:AC71))</f>
        <v>.</v>
      </c>
      <c r="AT71" s="1045" t="str">
        <f>IF(AD71=".",".",SUM($X71:AD71))</f>
        <v>.</v>
      </c>
      <c r="AU71" s="3"/>
      <c r="AV71" s="1055" t="str">
        <f t="shared" si="40"/>
        <v>.</v>
      </c>
      <c r="AW71" s="258" t="str">
        <f t="shared" si="41"/>
        <v>.</v>
      </c>
      <c r="AX71" s="258" t="str">
        <f t="shared" si="42"/>
        <v>.</v>
      </c>
      <c r="AY71" s="258" t="str">
        <f t="shared" si="43"/>
        <v>.</v>
      </c>
      <c r="AZ71" s="258" t="str">
        <f t="shared" si="44"/>
        <v>.</v>
      </c>
      <c r="BA71" s="258" t="str">
        <f t="shared" si="45"/>
        <v>.</v>
      </c>
      <c r="BB71" s="1056" t="str">
        <f t="shared" si="46"/>
        <v>.</v>
      </c>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row>
    <row r="72" spans="1:145" x14ac:dyDescent="0.2">
      <c r="A72" s="620"/>
      <c r="B72" s="1001" t="str">
        <f t="shared" si="48"/>
        <v>Business</v>
      </c>
      <c r="C72" s="1006" t="str">
        <f>IF('WS3 - Notional General Income'!C65="","",'WS3 - Notional General Income'!C65)</f>
        <v/>
      </c>
      <c r="D72" s="1007" t="s">
        <v>687</v>
      </c>
      <c r="E72" s="446"/>
      <c r="F72" s="446"/>
      <c r="G72" s="446"/>
      <c r="H72" s="446"/>
      <c r="I72" s="446"/>
      <c r="J72" s="1012"/>
      <c r="K72" s="1012"/>
      <c r="L72" s="1012"/>
      <c r="M72" s="1012"/>
      <c r="N72" s="1012"/>
      <c r="O72" s="1012"/>
      <c r="P72" s="1012"/>
      <c r="Q72" s="1010"/>
      <c r="R72" s="76"/>
      <c r="S72" s="3"/>
      <c r="T72" s="299"/>
      <c r="U72" s="568"/>
      <c r="V72" s="1035"/>
      <c r="W72" s="3"/>
      <c r="X72" s="1043" t="str">
        <f t="shared" si="26"/>
        <v>.</v>
      </c>
      <c r="Y72" s="1044" t="str">
        <f t="shared" si="27"/>
        <v>.</v>
      </c>
      <c r="Z72" s="1044" t="str">
        <f t="shared" si="28"/>
        <v>.</v>
      </c>
      <c r="AA72" s="1044" t="str">
        <f t="shared" si="29"/>
        <v>.</v>
      </c>
      <c r="AB72" s="1044" t="str">
        <f t="shared" si="30"/>
        <v>.</v>
      </c>
      <c r="AC72" s="1044" t="str">
        <f t="shared" si="31"/>
        <v>.</v>
      </c>
      <c r="AD72" s="1045" t="str">
        <f t="shared" si="32"/>
        <v>.</v>
      </c>
      <c r="AE72" s="3"/>
      <c r="AF72" s="1055" t="str">
        <f t="shared" si="33"/>
        <v>.</v>
      </c>
      <c r="AG72" s="258" t="str">
        <f t="shared" si="34"/>
        <v>.</v>
      </c>
      <c r="AH72" s="258" t="str">
        <f t="shared" si="35"/>
        <v>.</v>
      </c>
      <c r="AI72" s="258" t="str">
        <f t="shared" si="36"/>
        <v>.</v>
      </c>
      <c r="AJ72" s="258" t="str">
        <f t="shared" si="37"/>
        <v>.</v>
      </c>
      <c r="AK72" s="258" t="str">
        <f t="shared" si="38"/>
        <v>.</v>
      </c>
      <c r="AL72" s="1056" t="str">
        <f t="shared" si="39"/>
        <v>.</v>
      </c>
      <c r="AM72" s="3"/>
      <c r="AN72" s="1043" t="str">
        <f>IF(X72=".",".",SUM($X72:X72))</f>
        <v>.</v>
      </c>
      <c r="AO72" s="1044" t="str">
        <f>IF(Y72=".",".",SUM($X72:Y72))</f>
        <v>.</v>
      </c>
      <c r="AP72" s="1044" t="str">
        <f>IF(Z72=".",".",SUM($X72:Z72))</f>
        <v>.</v>
      </c>
      <c r="AQ72" s="1044" t="str">
        <f>IF(AA72=".",".",SUM($X72:AA72))</f>
        <v>.</v>
      </c>
      <c r="AR72" s="1044" t="str">
        <f>IF(AB72=".",".",SUM($X72:AB72))</f>
        <v>.</v>
      </c>
      <c r="AS72" s="1044" t="str">
        <f>IF(AC72=".",".",SUM($X72:AC72))</f>
        <v>.</v>
      </c>
      <c r="AT72" s="1045" t="str">
        <f>IF(AD72=".",".",SUM($X72:AD72))</f>
        <v>.</v>
      </c>
      <c r="AU72" s="3"/>
      <c r="AV72" s="1055" t="str">
        <f t="shared" si="40"/>
        <v>.</v>
      </c>
      <c r="AW72" s="258" t="str">
        <f t="shared" si="41"/>
        <v>.</v>
      </c>
      <c r="AX72" s="258" t="str">
        <f t="shared" si="42"/>
        <v>.</v>
      </c>
      <c r="AY72" s="258" t="str">
        <f t="shared" si="43"/>
        <v>.</v>
      </c>
      <c r="AZ72" s="258" t="str">
        <f t="shared" si="44"/>
        <v>.</v>
      </c>
      <c r="BA72" s="258" t="str">
        <f t="shared" si="45"/>
        <v>.</v>
      </c>
      <c r="BB72" s="1056" t="str">
        <f t="shared" si="46"/>
        <v>.</v>
      </c>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row>
    <row r="73" spans="1:145" x14ac:dyDescent="0.2">
      <c r="A73" s="620"/>
      <c r="B73" s="1001" t="str">
        <f t="shared" si="48"/>
        <v>Business</v>
      </c>
      <c r="C73" s="1006" t="str">
        <f>IF('WS3 - Notional General Income'!C66="","",'WS3 - Notional General Income'!C66)</f>
        <v/>
      </c>
      <c r="D73" s="1007" t="s">
        <v>687</v>
      </c>
      <c r="E73" s="446"/>
      <c r="F73" s="446"/>
      <c r="G73" s="446"/>
      <c r="H73" s="446"/>
      <c r="I73" s="446"/>
      <c r="J73" s="1012"/>
      <c r="K73" s="1012"/>
      <c r="L73" s="1012"/>
      <c r="M73" s="1012"/>
      <c r="N73" s="1012"/>
      <c r="O73" s="1012"/>
      <c r="P73" s="1012"/>
      <c r="Q73" s="1010"/>
      <c r="R73" s="76"/>
      <c r="S73" s="3"/>
      <c r="T73" s="299"/>
      <c r="U73" s="568"/>
      <c r="V73" s="1035"/>
      <c r="W73" s="3"/>
      <c r="X73" s="1043" t="str">
        <f t="shared" si="26"/>
        <v>.</v>
      </c>
      <c r="Y73" s="1044" t="str">
        <f t="shared" si="27"/>
        <v>.</v>
      </c>
      <c r="Z73" s="1044" t="str">
        <f t="shared" si="28"/>
        <v>.</v>
      </c>
      <c r="AA73" s="1044" t="str">
        <f t="shared" si="29"/>
        <v>.</v>
      </c>
      <c r="AB73" s="1044" t="str">
        <f t="shared" si="30"/>
        <v>.</v>
      </c>
      <c r="AC73" s="1044" t="str">
        <f t="shared" si="31"/>
        <v>.</v>
      </c>
      <c r="AD73" s="1045" t="str">
        <f t="shared" si="32"/>
        <v>.</v>
      </c>
      <c r="AE73" s="3"/>
      <c r="AF73" s="1055" t="str">
        <f t="shared" si="33"/>
        <v>.</v>
      </c>
      <c r="AG73" s="258" t="str">
        <f t="shared" si="34"/>
        <v>.</v>
      </c>
      <c r="AH73" s="258" t="str">
        <f t="shared" si="35"/>
        <v>.</v>
      </c>
      <c r="AI73" s="258" t="str">
        <f t="shared" si="36"/>
        <v>.</v>
      </c>
      <c r="AJ73" s="258" t="str">
        <f t="shared" si="37"/>
        <v>.</v>
      </c>
      <c r="AK73" s="258" t="str">
        <f t="shared" si="38"/>
        <v>.</v>
      </c>
      <c r="AL73" s="1056" t="str">
        <f t="shared" si="39"/>
        <v>.</v>
      </c>
      <c r="AM73" s="3"/>
      <c r="AN73" s="1043" t="str">
        <f>IF(X73=".",".",SUM($X73:X73))</f>
        <v>.</v>
      </c>
      <c r="AO73" s="1044" t="str">
        <f>IF(Y73=".",".",SUM($X73:Y73))</f>
        <v>.</v>
      </c>
      <c r="AP73" s="1044" t="str">
        <f>IF(Z73=".",".",SUM($X73:Z73))</f>
        <v>.</v>
      </c>
      <c r="AQ73" s="1044" t="str">
        <f>IF(AA73=".",".",SUM($X73:AA73))</f>
        <v>.</v>
      </c>
      <c r="AR73" s="1044" t="str">
        <f>IF(AB73=".",".",SUM($X73:AB73))</f>
        <v>.</v>
      </c>
      <c r="AS73" s="1044" t="str">
        <f>IF(AC73=".",".",SUM($X73:AC73))</f>
        <v>.</v>
      </c>
      <c r="AT73" s="1045" t="str">
        <f>IF(AD73=".",".",SUM($X73:AD73))</f>
        <v>.</v>
      </c>
      <c r="AU73" s="3"/>
      <c r="AV73" s="1055" t="str">
        <f t="shared" si="40"/>
        <v>.</v>
      </c>
      <c r="AW73" s="258" t="str">
        <f t="shared" si="41"/>
        <v>.</v>
      </c>
      <c r="AX73" s="258" t="str">
        <f t="shared" si="42"/>
        <v>.</v>
      </c>
      <c r="AY73" s="258" t="str">
        <f t="shared" si="43"/>
        <v>.</v>
      </c>
      <c r="AZ73" s="258" t="str">
        <f t="shared" si="44"/>
        <v>.</v>
      </c>
      <c r="BA73" s="258" t="str">
        <f t="shared" si="45"/>
        <v>.</v>
      </c>
      <c r="BB73" s="1056" t="str">
        <f t="shared" si="46"/>
        <v>.</v>
      </c>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row>
    <row r="74" spans="1:145" x14ac:dyDescent="0.2">
      <c r="A74" s="620"/>
      <c r="B74" s="1578"/>
      <c r="C74" s="1579"/>
      <c r="D74" s="1580"/>
      <c r="E74" s="1581"/>
      <c r="F74" s="1581"/>
      <c r="G74" s="1581"/>
      <c r="H74" s="1581"/>
      <c r="I74" s="1581"/>
      <c r="J74" s="1579"/>
      <c r="K74" s="1579"/>
      <c r="L74" s="1579"/>
      <c r="M74" s="1579"/>
      <c r="N74" s="1579"/>
      <c r="O74" s="1579"/>
      <c r="P74" s="1579"/>
      <c r="Q74" s="1582"/>
      <c r="R74" s="76"/>
      <c r="S74" s="3"/>
      <c r="T74" s="299"/>
      <c r="U74" s="568"/>
      <c r="V74" s="1035"/>
      <c r="W74" s="3"/>
      <c r="X74" s="1043"/>
      <c r="Y74" s="1044"/>
      <c r="Z74" s="1044"/>
      <c r="AA74" s="1044"/>
      <c r="AB74" s="1044"/>
      <c r="AC74" s="1044"/>
      <c r="AD74" s="1045"/>
      <c r="AE74" s="3"/>
      <c r="AF74" s="1055"/>
      <c r="AG74" s="258"/>
      <c r="AH74" s="258"/>
      <c r="AI74" s="258"/>
      <c r="AJ74" s="258"/>
      <c r="AK74" s="258"/>
      <c r="AL74" s="1056"/>
      <c r="AM74" s="3"/>
      <c r="AN74" s="1043"/>
      <c r="AO74" s="1044"/>
      <c r="AP74" s="1044"/>
      <c r="AQ74" s="1044"/>
      <c r="AR74" s="1044"/>
      <c r="AS74" s="1044"/>
      <c r="AT74" s="1045"/>
      <c r="AU74" s="3"/>
      <c r="AV74" s="1055"/>
      <c r="AW74" s="258"/>
      <c r="AX74" s="258"/>
      <c r="AY74" s="258"/>
      <c r="AZ74" s="258"/>
      <c r="BA74" s="258"/>
      <c r="BB74" s="1056"/>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row>
    <row r="75" spans="1:145" x14ac:dyDescent="0.2">
      <c r="A75" s="620"/>
      <c r="B75" s="1001" t="str">
        <f>'WS4 - Yr 1 YIELD'!B65</f>
        <v>Farmland</v>
      </c>
      <c r="C75" s="1006" t="str">
        <f>IF('WS3 - Notional General Income'!C68="","",'WS3 - Notional General Income'!C68)</f>
        <v>Farmland</v>
      </c>
      <c r="D75" s="1007" t="s">
        <v>687</v>
      </c>
      <c r="E75" s="446"/>
      <c r="F75" s="446"/>
      <c r="G75" s="446"/>
      <c r="H75" s="446"/>
      <c r="I75" s="446"/>
      <c r="J75" s="1012"/>
      <c r="K75" s="1012"/>
      <c r="L75" s="1012"/>
      <c r="M75" s="1012"/>
      <c r="N75" s="1012"/>
      <c r="O75" s="1012"/>
      <c r="P75" s="1012"/>
      <c r="Q75" s="1010"/>
      <c r="R75" s="76"/>
      <c r="S75" s="3"/>
      <c r="T75" s="299"/>
      <c r="U75" s="568"/>
      <c r="V75" s="1035"/>
      <c r="W75" s="3"/>
      <c r="X75" s="1043" t="str">
        <f t="shared" si="26"/>
        <v>.</v>
      </c>
      <c r="Y75" s="1044" t="str">
        <f t="shared" si="27"/>
        <v>.</v>
      </c>
      <c r="Z75" s="1044" t="str">
        <f t="shared" si="28"/>
        <v>.</v>
      </c>
      <c r="AA75" s="1044" t="str">
        <f t="shared" si="29"/>
        <v>.</v>
      </c>
      <c r="AB75" s="1044" t="str">
        <f t="shared" si="30"/>
        <v>.</v>
      </c>
      <c r="AC75" s="1044" t="str">
        <f t="shared" si="31"/>
        <v>.</v>
      </c>
      <c r="AD75" s="1045" t="str">
        <f t="shared" si="32"/>
        <v>.</v>
      </c>
      <c r="AE75" s="3"/>
      <c r="AF75" s="1055" t="str">
        <f t="shared" si="33"/>
        <v>.</v>
      </c>
      <c r="AG75" s="258" t="str">
        <f t="shared" si="34"/>
        <v>.</v>
      </c>
      <c r="AH75" s="258" t="str">
        <f t="shared" si="35"/>
        <v>.</v>
      </c>
      <c r="AI75" s="258" t="str">
        <f t="shared" si="36"/>
        <v>.</v>
      </c>
      <c r="AJ75" s="258" t="str">
        <f t="shared" si="37"/>
        <v>.</v>
      </c>
      <c r="AK75" s="258" t="str">
        <f t="shared" si="38"/>
        <v>.</v>
      </c>
      <c r="AL75" s="1056" t="str">
        <f t="shared" si="39"/>
        <v>.</v>
      </c>
      <c r="AM75" s="3"/>
      <c r="AN75" s="1043" t="str">
        <f>IF(X75=".",".",SUM($X75:X75))</f>
        <v>.</v>
      </c>
      <c r="AO75" s="1044" t="str">
        <f>IF(Y75=".",".",SUM($X75:Y75))</f>
        <v>.</v>
      </c>
      <c r="AP75" s="1044" t="str">
        <f>IF(Z75=".",".",SUM($X75:Z75))</f>
        <v>.</v>
      </c>
      <c r="AQ75" s="1044" t="str">
        <f>IF(AA75=".",".",SUM($X75:AA75))</f>
        <v>.</v>
      </c>
      <c r="AR75" s="1044" t="str">
        <f>IF(AB75=".",".",SUM($X75:AB75))</f>
        <v>.</v>
      </c>
      <c r="AS75" s="1044" t="str">
        <f>IF(AC75=".",".",SUM($X75:AC75))</f>
        <v>.</v>
      </c>
      <c r="AT75" s="1045" t="str">
        <f>IF(AD75=".",".",SUM($X75:AD75))</f>
        <v>.</v>
      </c>
      <c r="AU75" s="3"/>
      <c r="AV75" s="1055" t="str">
        <f t="shared" si="40"/>
        <v>.</v>
      </c>
      <c r="AW75" s="258" t="str">
        <f t="shared" si="41"/>
        <v>.</v>
      </c>
      <c r="AX75" s="258" t="str">
        <f t="shared" si="42"/>
        <v>.</v>
      </c>
      <c r="AY75" s="258" t="str">
        <f t="shared" si="43"/>
        <v>.</v>
      </c>
      <c r="AZ75" s="258" t="str">
        <f t="shared" si="44"/>
        <v>.</v>
      </c>
      <c r="BA75" s="258" t="str">
        <f t="shared" si="45"/>
        <v>.</v>
      </c>
      <c r="BB75" s="1056" t="str">
        <f t="shared" si="46"/>
        <v>.</v>
      </c>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row>
    <row r="76" spans="1:145" x14ac:dyDescent="0.2">
      <c r="A76" s="620"/>
      <c r="B76" s="1001" t="str">
        <f t="shared" ref="B76:B84" si="49">B75</f>
        <v>Farmland</v>
      </c>
      <c r="C76" s="1006" t="str">
        <f>IF('WS3 - Notional General Income'!C69="","",'WS3 - Notional General Income'!C69)</f>
        <v/>
      </c>
      <c r="D76" s="1007" t="s">
        <v>687</v>
      </c>
      <c r="E76" s="446"/>
      <c r="F76" s="446"/>
      <c r="G76" s="446"/>
      <c r="H76" s="446"/>
      <c r="I76" s="446"/>
      <c r="J76" s="1012"/>
      <c r="K76" s="1012"/>
      <c r="L76" s="1012"/>
      <c r="M76" s="1012"/>
      <c r="N76" s="1012"/>
      <c r="O76" s="1012"/>
      <c r="P76" s="1012"/>
      <c r="Q76" s="1010"/>
      <c r="R76" s="76"/>
      <c r="S76" s="3"/>
      <c r="T76" s="299"/>
      <c r="U76" s="568"/>
      <c r="V76" s="1035"/>
      <c r="W76" s="3"/>
      <c r="X76" s="1043" t="str">
        <f t="shared" si="26"/>
        <v>.</v>
      </c>
      <c r="Y76" s="1044" t="str">
        <f t="shared" si="27"/>
        <v>.</v>
      </c>
      <c r="Z76" s="1044" t="str">
        <f t="shared" si="28"/>
        <v>.</v>
      </c>
      <c r="AA76" s="1044" t="str">
        <f t="shared" si="29"/>
        <v>.</v>
      </c>
      <c r="AB76" s="1044" t="str">
        <f t="shared" si="30"/>
        <v>.</v>
      </c>
      <c r="AC76" s="1044" t="str">
        <f t="shared" si="31"/>
        <v>.</v>
      </c>
      <c r="AD76" s="1045" t="str">
        <f t="shared" si="32"/>
        <v>.</v>
      </c>
      <c r="AE76" s="3"/>
      <c r="AF76" s="1055" t="str">
        <f t="shared" si="33"/>
        <v>.</v>
      </c>
      <c r="AG76" s="258" t="str">
        <f t="shared" si="34"/>
        <v>.</v>
      </c>
      <c r="AH76" s="258" t="str">
        <f t="shared" si="35"/>
        <v>.</v>
      </c>
      <c r="AI76" s="258" t="str">
        <f t="shared" si="36"/>
        <v>.</v>
      </c>
      <c r="AJ76" s="258" t="str">
        <f t="shared" si="37"/>
        <v>.</v>
      </c>
      <c r="AK76" s="258" t="str">
        <f t="shared" si="38"/>
        <v>.</v>
      </c>
      <c r="AL76" s="1056" t="str">
        <f t="shared" si="39"/>
        <v>.</v>
      </c>
      <c r="AM76" s="3"/>
      <c r="AN76" s="1043" t="str">
        <f>IF(X76=".",".",SUM($X76:X76))</f>
        <v>.</v>
      </c>
      <c r="AO76" s="1044" t="str">
        <f>IF(Y76=".",".",SUM($X76:Y76))</f>
        <v>.</v>
      </c>
      <c r="AP76" s="1044" t="str">
        <f>IF(Z76=".",".",SUM($X76:Z76))</f>
        <v>.</v>
      </c>
      <c r="AQ76" s="1044" t="str">
        <f>IF(AA76=".",".",SUM($X76:AA76))</f>
        <v>.</v>
      </c>
      <c r="AR76" s="1044" t="str">
        <f>IF(AB76=".",".",SUM($X76:AB76))</f>
        <v>.</v>
      </c>
      <c r="AS76" s="1044" t="str">
        <f>IF(AC76=".",".",SUM($X76:AC76))</f>
        <v>.</v>
      </c>
      <c r="AT76" s="1045" t="str">
        <f>IF(AD76=".",".",SUM($X76:AD76))</f>
        <v>.</v>
      </c>
      <c r="AU76" s="3"/>
      <c r="AV76" s="1055" t="str">
        <f t="shared" si="40"/>
        <v>.</v>
      </c>
      <c r="AW76" s="258" t="str">
        <f t="shared" si="41"/>
        <v>.</v>
      </c>
      <c r="AX76" s="258" t="str">
        <f t="shared" si="42"/>
        <v>.</v>
      </c>
      <c r="AY76" s="258" t="str">
        <f t="shared" si="43"/>
        <v>.</v>
      </c>
      <c r="AZ76" s="258" t="str">
        <f t="shared" si="44"/>
        <v>.</v>
      </c>
      <c r="BA76" s="258" t="str">
        <f t="shared" si="45"/>
        <v>.</v>
      </c>
      <c r="BB76" s="1056" t="str">
        <f t="shared" si="46"/>
        <v>.</v>
      </c>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row>
    <row r="77" spans="1:145" x14ac:dyDescent="0.2">
      <c r="A77" s="620"/>
      <c r="B77" s="1001" t="str">
        <f t="shared" si="49"/>
        <v>Farmland</v>
      </c>
      <c r="C77" s="1006" t="str">
        <f>IF('WS3 - Notional General Income'!C70="","",'WS3 - Notional General Income'!C70)</f>
        <v/>
      </c>
      <c r="D77" s="1007" t="s">
        <v>687</v>
      </c>
      <c r="E77" s="446"/>
      <c r="F77" s="446"/>
      <c r="G77" s="446"/>
      <c r="H77" s="446"/>
      <c r="I77" s="446"/>
      <c r="J77" s="1012"/>
      <c r="K77" s="1012"/>
      <c r="L77" s="1012"/>
      <c r="M77" s="1012"/>
      <c r="N77" s="1012"/>
      <c r="O77" s="1012"/>
      <c r="P77" s="1012"/>
      <c r="Q77" s="1010"/>
      <c r="R77" s="76"/>
      <c r="S77" s="3"/>
      <c r="T77" s="299"/>
      <c r="U77" s="568"/>
      <c r="V77" s="1035"/>
      <c r="W77" s="3"/>
      <c r="X77" s="1043" t="str">
        <f t="shared" si="26"/>
        <v>.</v>
      </c>
      <c r="Y77" s="1044" t="str">
        <f t="shared" si="27"/>
        <v>.</v>
      </c>
      <c r="Z77" s="1044" t="str">
        <f t="shared" si="28"/>
        <v>.</v>
      </c>
      <c r="AA77" s="1044" t="str">
        <f t="shared" si="29"/>
        <v>.</v>
      </c>
      <c r="AB77" s="1044" t="str">
        <f t="shared" si="30"/>
        <v>.</v>
      </c>
      <c r="AC77" s="1044" t="str">
        <f t="shared" si="31"/>
        <v>.</v>
      </c>
      <c r="AD77" s="1045" t="str">
        <f t="shared" si="32"/>
        <v>.</v>
      </c>
      <c r="AE77" s="3"/>
      <c r="AF77" s="1055" t="str">
        <f t="shared" si="33"/>
        <v>.</v>
      </c>
      <c r="AG77" s="258" t="str">
        <f t="shared" si="34"/>
        <v>.</v>
      </c>
      <c r="AH77" s="258" t="str">
        <f t="shared" si="35"/>
        <v>.</v>
      </c>
      <c r="AI77" s="258" t="str">
        <f t="shared" si="36"/>
        <v>.</v>
      </c>
      <c r="AJ77" s="258" t="str">
        <f t="shared" si="37"/>
        <v>.</v>
      </c>
      <c r="AK77" s="258" t="str">
        <f t="shared" si="38"/>
        <v>.</v>
      </c>
      <c r="AL77" s="1056" t="str">
        <f t="shared" si="39"/>
        <v>.</v>
      </c>
      <c r="AM77" s="3"/>
      <c r="AN77" s="1043" t="str">
        <f>IF(X77=".",".",SUM($X77:X77))</f>
        <v>.</v>
      </c>
      <c r="AO77" s="1044" t="str">
        <f>IF(Y77=".",".",SUM($X77:Y77))</f>
        <v>.</v>
      </c>
      <c r="AP77" s="1044" t="str">
        <f>IF(Z77=".",".",SUM($X77:Z77))</f>
        <v>.</v>
      </c>
      <c r="AQ77" s="1044" t="str">
        <f>IF(AA77=".",".",SUM($X77:AA77))</f>
        <v>.</v>
      </c>
      <c r="AR77" s="1044" t="str">
        <f>IF(AB77=".",".",SUM($X77:AB77))</f>
        <v>.</v>
      </c>
      <c r="AS77" s="1044" t="str">
        <f>IF(AC77=".",".",SUM($X77:AC77))</f>
        <v>.</v>
      </c>
      <c r="AT77" s="1045" t="str">
        <f>IF(AD77=".",".",SUM($X77:AD77))</f>
        <v>.</v>
      </c>
      <c r="AU77" s="3"/>
      <c r="AV77" s="1055" t="str">
        <f t="shared" si="40"/>
        <v>.</v>
      </c>
      <c r="AW77" s="258" t="str">
        <f t="shared" si="41"/>
        <v>.</v>
      </c>
      <c r="AX77" s="258" t="str">
        <f t="shared" si="42"/>
        <v>.</v>
      </c>
      <c r="AY77" s="258" t="str">
        <f t="shared" si="43"/>
        <v>.</v>
      </c>
      <c r="AZ77" s="258" t="str">
        <f t="shared" si="44"/>
        <v>.</v>
      </c>
      <c r="BA77" s="258" t="str">
        <f t="shared" si="45"/>
        <v>.</v>
      </c>
      <c r="BB77" s="1056" t="str">
        <f t="shared" si="46"/>
        <v>.</v>
      </c>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row>
    <row r="78" spans="1:145" x14ac:dyDescent="0.2">
      <c r="A78" s="620"/>
      <c r="B78" s="1001" t="str">
        <f t="shared" si="49"/>
        <v>Farmland</v>
      </c>
      <c r="C78" s="1006" t="str">
        <f>IF('WS3 - Notional General Income'!C71="","",'WS3 - Notional General Income'!C71)</f>
        <v/>
      </c>
      <c r="D78" s="1007" t="s">
        <v>687</v>
      </c>
      <c r="E78" s="446"/>
      <c r="F78" s="446"/>
      <c r="G78" s="446"/>
      <c r="H78" s="446"/>
      <c r="I78" s="446"/>
      <c r="J78" s="1012"/>
      <c r="K78" s="1012"/>
      <c r="L78" s="1012"/>
      <c r="M78" s="1012"/>
      <c r="N78" s="1012"/>
      <c r="O78" s="1012"/>
      <c r="P78" s="1012"/>
      <c r="Q78" s="1010"/>
      <c r="R78" s="76"/>
      <c r="S78" s="3"/>
      <c r="T78" s="299"/>
      <c r="U78" s="568"/>
      <c r="V78" s="1035"/>
      <c r="W78" s="3"/>
      <c r="X78" s="1043" t="str">
        <f t="shared" si="26"/>
        <v>.</v>
      </c>
      <c r="Y78" s="1044" t="str">
        <f t="shared" si="27"/>
        <v>.</v>
      </c>
      <c r="Z78" s="1044" t="str">
        <f t="shared" si="28"/>
        <v>.</v>
      </c>
      <c r="AA78" s="1044" t="str">
        <f t="shared" si="29"/>
        <v>.</v>
      </c>
      <c r="AB78" s="1044" t="str">
        <f t="shared" si="30"/>
        <v>.</v>
      </c>
      <c r="AC78" s="1044" t="str">
        <f t="shared" si="31"/>
        <v>.</v>
      </c>
      <c r="AD78" s="1045" t="str">
        <f t="shared" si="32"/>
        <v>.</v>
      </c>
      <c r="AE78" s="3"/>
      <c r="AF78" s="1055" t="str">
        <f t="shared" si="33"/>
        <v>.</v>
      </c>
      <c r="AG78" s="258" t="str">
        <f t="shared" si="34"/>
        <v>.</v>
      </c>
      <c r="AH78" s="258" t="str">
        <f t="shared" si="35"/>
        <v>.</v>
      </c>
      <c r="AI78" s="258" t="str">
        <f t="shared" si="36"/>
        <v>.</v>
      </c>
      <c r="AJ78" s="258" t="str">
        <f t="shared" si="37"/>
        <v>.</v>
      </c>
      <c r="AK78" s="258" t="str">
        <f t="shared" si="38"/>
        <v>.</v>
      </c>
      <c r="AL78" s="1056" t="str">
        <f t="shared" si="39"/>
        <v>.</v>
      </c>
      <c r="AM78" s="3"/>
      <c r="AN78" s="1043" t="str">
        <f>IF(X78=".",".",SUM($X78:X78))</f>
        <v>.</v>
      </c>
      <c r="AO78" s="1044" t="str">
        <f>IF(Y78=".",".",SUM($X78:Y78))</f>
        <v>.</v>
      </c>
      <c r="AP78" s="1044" t="str">
        <f>IF(Z78=".",".",SUM($X78:Z78))</f>
        <v>.</v>
      </c>
      <c r="AQ78" s="1044" t="str">
        <f>IF(AA78=".",".",SUM($X78:AA78))</f>
        <v>.</v>
      </c>
      <c r="AR78" s="1044" t="str">
        <f>IF(AB78=".",".",SUM($X78:AB78))</f>
        <v>.</v>
      </c>
      <c r="AS78" s="1044" t="str">
        <f>IF(AC78=".",".",SUM($X78:AC78))</f>
        <v>.</v>
      </c>
      <c r="AT78" s="1045" t="str">
        <f>IF(AD78=".",".",SUM($X78:AD78))</f>
        <v>.</v>
      </c>
      <c r="AU78" s="3"/>
      <c r="AV78" s="1055" t="str">
        <f t="shared" si="40"/>
        <v>.</v>
      </c>
      <c r="AW78" s="258" t="str">
        <f t="shared" si="41"/>
        <v>.</v>
      </c>
      <c r="AX78" s="258" t="str">
        <f t="shared" si="42"/>
        <v>.</v>
      </c>
      <c r="AY78" s="258" t="str">
        <f t="shared" si="43"/>
        <v>.</v>
      </c>
      <c r="AZ78" s="258" t="str">
        <f t="shared" si="44"/>
        <v>.</v>
      </c>
      <c r="BA78" s="258" t="str">
        <f t="shared" si="45"/>
        <v>.</v>
      </c>
      <c r="BB78" s="1056" t="str">
        <f t="shared" si="46"/>
        <v>.</v>
      </c>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row>
    <row r="79" spans="1:145" x14ac:dyDescent="0.2">
      <c r="A79" s="620"/>
      <c r="B79" s="1001" t="str">
        <f t="shared" si="49"/>
        <v>Farmland</v>
      </c>
      <c r="C79" s="1006" t="str">
        <f>IF('WS3 - Notional General Income'!C72="","",'WS3 - Notional General Income'!C72)</f>
        <v/>
      </c>
      <c r="D79" s="1007" t="s">
        <v>687</v>
      </c>
      <c r="E79" s="446"/>
      <c r="F79" s="446"/>
      <c r="G79" s="446"/>
      <c r="H79" s="446"/>
      <c r="I79" s="446"/>
      <c r="J79" s="1012"/>
      <c r="K79" s="1012"/>
      <c r="L79" s="1012"/>
      <c r="M79" s="1012"/>
      <c r="N79" s="1012"/>
      <c r="O79" s="1012"/>
      <c r="P79" s="1012"/>
      <c r="Q79" s="1010"/>
      <c r="R79" s="76"/>
      <c r="S79" s="3"/>
      <c r="T79" s="299"/>
      <c r="U79" s="568"/>
      <c r="V79" s="1035"/>
      <c r="W79" s="3"/>
      <c r="X79" s="1043" t="str">
        <f t="shared" si="26"/>
        <v>.</v>
      </c>
      <c r="Y79" s="1044" t="str">
        <f t="shared" si="27"/>
        <v>.</v>
      </c>
      <c r="Z79" s="1044" t="str">
        <f t="shared" si="28"/>
        <v>.</v>
      </c>
      <c r="AA79" s="1044" t="str">
        <f t="shared" si="29"/>
        <v>.</v>
      </c>
      <c r="AB79" s="1044" t="str">
        <f t="shared" si="30"/>
        <v>.</v>
      </c>
      <c r="AC79" s="1044" t="str">
        <f t="shared" si="31"/>
        <v>.</v>
      </c>
      <c r="AD79" s="1045" t="str">
        <f t="shared" si="32"/>
        <v>.</v>
      </c>
      <c r="AE79" s="3"/>
      <c r="AF79" s="1055" t="str">
        <f t="shared" si="33"/>
        <v>.</v>
      </c>
      <c r="AG79" s="258" t="str">
        <f t="shared" si="34"/>
        <v>.</v>
      </c>
      <c r="AH79" s="258" t="str">
        <f t="shared" si="35"/>
        <v>.</v>
      </c>
      <c r="AI79" s="258" t="str">
        <f t="shared" si="36"/>
        <v>.</v>
      </c>
      <c r="AJ79" s="258" t="str">
        <f t="shared" si="37"/>
        <v>.</v>
      </c>
      <c r="AK79" s="258" t="str">
        <f t="shared" si="38"/>
        <v>.</v>
      </c>
      <c r="AL79" s="1056" t="str">
        <f t="shared" si="39"/>
        <v>.</v>
      </c>
      <c r="AM79" s="3"/>
      <c r="AN79" s="1043" t="str">
        <f>IF(X79=".",".",SUM($X79:X79))</f>
        <v>.</v>
      </c>
      <c r="AO79" s="1044" t="str">
        <f>IF(Y79=".",".",SUM($X79:Y79))</f>
        <v>.</v>
      </c>
      <c r="AP79" s="1044" t="str">
        <f>IF(Z79=".",".",SUM($X79:Z79))</f>
        <v>.</v>
      </c>
      <c r="AQ79" s="1044" t="str">
        <f>IF(AA79=".",".",SUM($X79:AA79))</f>
        <v>.</v>
      </c>
      <c r="AR79" s="1044" t="str">
        <f>IF(AB79=".",".",SUM($X79:AB79))</f>
        <v>.</v>
      </c>
      <c r="AS79" s="1044" t="str">
        <f>IF(AC79=".",".",SUM($X79:AC79))</f>
        <v>.</v>
      </c>
      <c r="AT79" s="1045" t="str">
        <f>IF(AD79=".",".",SUM($X79:AD79))</f>
        <v>.</v>
      </c>
      <c r="AU79" s="3"/>
      <c r="AV79" s="1055" t="str">
        <f t="shared" si="40"/>
        <v>.</v>
      </c>
      <c r="AW79" s="258" t="str">
        <f t="shared" si="41"/>
        <v>.</v>
      </c>
      <c r="AX79" s="258" t="str">
        <f t="shared" si="42"/>
        <v>.</v>
      </c>
      <c r="AY79" s="258" t="str">
        <f t="shared" si="43"/>
        <v>.</v>
      </c>
      <c r="AZ79" s="258" t="str">
        <f t="shared" si="44"/>
        <v>.</v>
      </c>
      <c r="BA79" s="258" t="str">
        <f t="shared" si="45"/>
        <v>.</v>
      </c>
      <c r="BB79" s="1056" t="str">
        <f t="shared" si="46"/>
        <v>.</v>
      </c>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row>
    <row r="80" spans="1:145" x14ac:dyDescent="0.2">
      <c r="A80" s="620"/>
      <c r="B80" s="1001" t="str">
        <f t="shared" si="49"/>
        <v>Farmland</v>
      </c>
      <c r="C80" s="1006" t="str">
        <f>IF('WS3 - Notional General Income'!C73="","",'WS3 - Notional General Income'!C73)</f>
        <v/>
      </c>
      <c r="D80" s="1007" t="s">
        <v>687</v>
      </c>
      <c r="E80" s="446"/>
      <c r="F80" s="446"/>
      <c r="G80" s="446"/>
      <c r="H80" s="446"/>
      <c r="I80" s="446"/>
      <c r="J80" s="1012"/>
      <c r="K80" s="1012"/>
      <c r="L80" s="1012"/>
      <c r="M80" s="1012"/>
      <c r="N80" s="1012"/>
      <c r="O80" s="1012"/>
      <c r="P80" s="1012"/>
      <c r="Q80" s="1010"/>
      <c r="R80" s="76"/>
      <c r="S80" s="3"/>
      <c r="T80" s="299"/>
      <c r="U80" s="568"/>
      <c r="V80" s="1035"/>
      <c r="W80" s="3"/>
      <c r="X80" s="1043" t="str">
        <f t="shared" si="26"/>
        <v>.</v>
      </c>
      <c r="Y80" s="1044" t="str">
        <f t="shared" si="27"/>
        <v>.</v>
      </c>
      <c r="Z80" s="1044" t="str">
        <f t="shared" si="28"/>
        <v>.</v>
      </c>
      <c r="AA80" s="1044" t="str">
        <f t="shared" si="29"/>
        <v>.</v>
      </c>
      <c r="AB80" s="1044" t="str">
        <f t="shared" si="30"/>
        <v>.</v>
      </c>
      <c r="AC80" s="1044" t="str">
        <f t="shared" si="31"/>
        <v>.</v>
      </c>
      <c r="AD80" s="1045" t="str">
        <f t="shared" si="32"/>
        <v>.</v>
      </c>
      <c r="AE80" s="3"/>
      <c r="AF80" s="1055" t="str">
        <f t="shared" si="33"/>
        <v>.</v>
      </c>
      <c r="AG80" s="258" t="str">
        <f t="shared" si="34"/>
        <v>.</v>
      </c>
      <c r="AH80" s="258" t="str">
        <f t="shared" si="35"/>
        <v>.</v>
      </c>
      <c r="AI80" s="258" t="str">
        <f t="shared" si="36"/>
        <v>.</v>
      </c>
      <c r="AJ80" s="258" t="str">
        <f t="shared" si="37"/>
        <v>.</v>
      </c>
      <c r="AK80" s="258" t="str">
        <f t="shared" si="38"/>
        <v>.</v>
      </c>
      <c r="AL80" s="1056" t="str">
        <f t="shared" si="39"/>
        <v>.</v>
      </c>
      <c r="AM80" s="3"/>
      <c r="AN80" s="1043" t="str">
        <f>IF(X80=".",".",SUM($X80:X80))</f>
        <v>.</v>
      </c>
      <c r="AO80" s="1044" t="str">
        <f>IF(Y80=".",".",SUM($X80:Y80))</f>
        <v>.</v>
      </c>
      <c r="AP80" s="1044" t="str">
        <f>IF(Z80=".",".",SUM($X80:Z80))</f>
        <v>.</v>
      </c>
      <c r="AQ80" s="1044" t="str">
        <f>IF(AA80=".",".",SUM($X80:AA80))</f>
        <v>.</v>
      </c>
      <c r="AR80" s="1044" t="str">
        <f>IF(AB80=".",".",SUM($X80:AB80))</f>
        <v>.</v>
      </c>
      <c r="AS80" s="1044" t="str">
        <f>IF(AC80=".",".",SUM($X80:AC80))</f>
        <v>.</v>
      </c>
      <c r="AT80" s="1045" t="str">
        <f>IF(AD80=".",".",SUM($X80:AD80))</f>
        <v>.</v>
      </c>
      <c r="AU80" s="3"/>
      <c r="AV80" s="1055" t="str">
        <f t="shared" si="40"/>
        <v>.</v>
      </c>
      <c r="AW80" s="258" t="str">
        <f t="shared" si="41"/>
        <v>.</v>
      </c>
      <c r="AX80" s="258" t="str">
        <f t="shared" si="42"/>
        <v>.</v>
      </c>
      <c r="AY80" s="258" t="str">
        <f t="shared" si="43"/>
        <v>.</v>
      </c>
      <c r="AZ80" s="258" t="str">
        <f t="shared" si="44"/>
        <v>.</v>
      </c>
      <c r="BA80" s="258" t="str">
        <f t="shared" si="45"/>
        <v>.</v>
      </c>
      <c r="BB80" s="1056" t="str">
        <f t="shared" si="46"/>
        <v>.</v>
      </c>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row>
    <row r="81" spans="1:145" x14ac:dyDescent="0.2">
      <c r="A81" s="620"/>
      <c r="B81" s="1001" t="str">
        <f t="shared" si="49"/>
        <v>Farmland</v>
      </c>
      <c r="C81" s="1006" t="str">
        <f>IF('WS3 - Notional General Income'!C74="","",'WS3 - Notional General Income'!C74)</f>
        <v/>
      </c>
      <c r="D81" s="1007" t="s">
        <v>687</v>
      </c>
      <c r="E81" s="446"/>
      <c r="F81" s="446"/>
      <c r="G81" s="446"/>
      <c r="H81" s="446"/>
      <c r="I81" s="446"/>
      <c r="J81" s="1012"/>
      <c r="K81" s="1012"/>
      <c r="L81" s="1012"/>
      <c r="M81" s="1012"/>
      <c r="N81" s="1012"/>
      <c r="O81" s="1012"/>
      <c r="P81" s="1012"/>
      <c r="Q81" s="1010"/>
      <c r="R81" s="76"/>
      <c r="S81" s="3"/>
      <c r="T81" s="299"/>
      <c r="U81" s="568"/>
      <c r="V81" s="1035"/>
      <c r="W81" s="3"/>
      <c r="X81" s="1043" t="str">
        <f t="shared" si="26"/>
        <v>.</v>
      </c>
      <c r="Y81" s="1044" t="str">
        <f t="shared" si="27"/>
        <v>.</v>
      </c>
      <c r="Z81" s="1044" t="str">
        <f t="shared" si="28"/>
        <v>.</v>
      </c>
      <c r="AA81" s="1044" t="str">
        <f t="shared" si="29"/>
        <v>.</v>
      </c>
      <c r="AB81" s="1044" t="str">
        <f t="shared" si="30"/>
        <v>.</v>
      </c>
      <c r="AC81" s="1044" t="str">
        <f t="shared" si="31"/>
        <v>.</v>
      </c>
      <c r="AD81" s="1045" t="str">
        <f t="shared" si="32"/>
        <v>.</v>
      </c>
      <c r="AE81" s="3"/>
      <c r="AF81" s="1055" t="str">
        <f t="shared" si="33"/>
        <v>.</v>
      </c>
      <c r="AG81" s="258" t="str">
        <f t="shared" si="34"/>
        <v>.</v>
      </c>
      <c r="AH81" s="258" t="str">
        <f t="shared" si="35"/>
        <v>.</v>
      </c>
      <c r="AI81" s="258" t="str">
        <f t="shared" si="36"/>
        <v>.</v>
      </c>
      <c r="AJ81" s="258" t="str">
        <f t="shared" si="37"/>
        <v>.</v>
      </c>
      <c r="AK81" s="258" t="str">
        <f t="shared" si="38"/>
        <v>.</v>
      </c>
      <c r="AL81" s="1056" t="str">
        <f t="shared" si="39"/>
        <v>.</v>
      </c>
      <c r="AM81" s="3"/>
      <c r="AN81" s="1043" t="str">
        <f>IF(X81=".",".",SUM($X81:X81))</f>
        <v>.</v>
      </c>
      <c r="AO81" s="1044" t="str">
        <f>IF(Y81=".",".",SUM($X81:Y81))</f>
        <v>.</v>
      </c>
      <c r="AP81" s="1044" t="str">
        <f>IF(Z81=".",".",SUM($X81:Z81))</f>
        <v>.</v>
      </c>
      <c r="AQ81" s="1044" t="str">
        <f>IF(AA81=".",".",SUM($X81:AA81))</f>
        <v>.</v>
      </c>
      <c r="AR81" s="1044" t="str">
        <f>IF(AB81=".",".",SUM($X81:AB81))</f>
        <v>.</v>
      </c>
      <c r="AS81" s="1044" t="str">
        <f>IF(AC81=".",".",SUM($X81:AC81))</f>
        <v>.</v>
      </c>
      <c r="AT81" s="1045" t="str">
        <f>IF(AD81=".",".",SUM($X81:AD81))</f>
        <v>.</v>
      </c>
      <c r="AU81" s="3"/>
      <c r="AV81" s="1055" t="str">
        <f t="shared" si="40"/>
        <v>.</v>
      </c>
      <c r="AW81" s="258" t="str">
        <f t="shared" si="41"/>
        <v>.</v>
      </c>
      <c r="AX81" s="258" t="str">
        <f t="shared" si="42"/>
        <v>.</v>
      </c>
      <c r="AY81" s="258" t="str">
        <f t="shared" si="43"/>
        <v>.</v>
      </c>
      <c r="AZ81" s="258" t="str">
        <f t="shared" si="44"/>
        <v>.</v>
      </c>
      <c r="BA81" s="258" t="str">
        <f t="shared" si="45"/>
        <v>.</v>
      </c>
      <c r="BB81" s="1056" t="str">
        <f t="shared" si="46"/>
        <v>.</v>
      </c>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row>
    <row r="82" spans="1:145" x14ac:dyDescent="0.2">
      <c r="A82" s="620"/>
      <c r="B82" s="1001" t="str">
        <f t="shared" si="49"/>
        <v>Farmland</v>
      </c>
      <c r="C82" s="1006" t="str">
        <f>IF('WS3 - Notional General Income'!C75="","",'WS3 - Notional General Income'!C75)</f>
        <v/>
      </c>
      <c r="D82" s="1007" t="s">
        <v>687</v>
      </c>
      <c r="E82" s="446"/>
      <c r="F82" s="446"/>
      <c r="G82" s="446"/>
      <c r="H82" s="446"/>
      <c r="I82" s="446"/>
      <c r="J82" s="1012"/>
      <c r="K82" s="1012"/>
      <c r="L82" s="1012"/>
      <c r="M82" s="1012"/>
      <c r="N82" s="1012"/>
      <c r="O82" s="1012"/>
      <c r="P82" s="1012"/>
      <c r="Q82" s="1010"/>
      <c r="R82" s="76"/>
      <c r="S82" s="3"/>
      <c r="T82" s="299"/>
      <c r="U82" s="568"/>
      <c r="V82" s="1035"/>
      <c r="W82" s="3"/>
      <c r="X82" s="1043" t="str">
        <f t="shared" si="26"/>
        <v>.</v>
      </c>
      <c r="Y82" s="1044" t="str">
        <f t="shared" si="27"/>
        <v>.</v>
      </c>
      <c r="Z82" s="1044" t="str">
        <f t="shared" si="28"/>
        <v>.</v>
      </c>
      <c r="AA82" s="1044" t="str">
        <f t="shared" si="29"/>
        <v>.</v>
      </c>
      <c r="AB82" s="1044" t="str">
        <f t="shared" si="30"/>
        <v>.</v>
      </c>
      <c r="AC82" s="1044" t="str">
        <f t="shared" si="31"/>
        <v>.</v>
      </c>
      <c r="AD82" s="1045" t="str">
        <f t="shared" si="32"/>
        <v>.</v>
      </c>
      <c r="AE82" s="3"/>
      <c r="AF82" s="1055" t="str">
        <f t="shared" si="33"/>
        <v>.</v>
      </c>
      <c r="AG82" s="258" t="str">
        <f t="shared" si="34"/>
        <v>.</v>
      </c>
      <c r="AH82" s="258" t="str">
        <f t="shared" si="35"/>
        <v>.</v>
      </c>
      <c r="AI82" s="258" t="str">
        <f t="shared" si="36"/>
        <v>.</v>
      </c>
      <c r="AJ82" s="258" t="str">
        <f t="shared" si="37"/>
        <v>.</v>
      </c>
      <c r="AK82" s="258" t="str">
        <f t="shared" si="38"/>
        <v>.</v>
      </c>
      <c r="AL82" s="1056" t="str">
        <f t="shared" si="39"/>
        <v>.</v>
      </c>
      <c r="AM82" s="3"/>
      <c r="AN82" s="1043" t="str">
        <f>IF(X82=".",".",SUM($X82:X82))</f>
        <v>.</v>
      </c>
      <c r="AO82" s="1044" t="str">
        <f>IF(Y82=".",".",SUM($X82:Y82))</f>
        <v>.</v>
      </c>
      <c r="AP82" s="1044" t="str">
        <f>IF(Z82=".",".",SUM($X82:Z82))</f>
        <v>.</v>
      </c>
      <c r="AQ82" s="1044" t="str">
        <f>IF(AA82=".",".",SUM($X82:AA82))</f>
        <v>.</v>
      </c>
      <c r="AR82" s="1044" t="str">
        <f>IF(AB82=".",".",SUM($X82:AB82))</f>
        <v>.</v>
      </c>
      <c r="AS82" s="1044" t="str">
        <f>IF(AC82=".",".",SUM($X82:AC82))</f>
        <v>.</v>
      </c>
      <c r="AT82" s="1045" t="str">
        <f>IF(AD82=".",".",SUM($X82:AD82))</f>
        <v>.</v>
      </c>
      <c r="AU82" s="3"/>
      <c r="AV82" s="1055" t="str">
        <f t="shared" si="40"/>
        <v>.</v>
      </c>
      <c r="AW82" s="258" t="str">
        <f t="shared" si="41"/>
        <v>.</v>
      </c>
      <c r="AX82" s="258" t="str">
        <f t="shared" si="42"/>
        <v>.</v>
      </c>
      <c r="AY82" s="258" t="str">
        <f t="shared" si="43"/>
        <v>.</v>
      </c>
      <c r="AZ82" s="258" t="str">
        <f t="shared" si="44"/>
        <v>.</v>
      </c>
      <c r="BA82" s="258" t="str">
        <f t="shared" si="45"/>
        <v>.</v>
      </c>
      <c r="BB82" s="1056" t="str">
        <f t="shared" si="46"/>
        <v>.</v>
      </c>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row>
    <row r="83" spans="1:145" x14ac:dyDescent="0.2">
      <c r="A83" s="620"/>
      <c r="B83" s="1001" t="str">
        <f t="shared" si="49"/>
        <v>Farmland</v>
      </c>
      <c r="C83" s="1006" t="str">
        <f>IF('WS3 - Notional General Income'!C76="","",'WS3 - Notional General Income'!C76)</f>
        <v/>
      </c>
      <c r="D83" s="1007" t="s">
        <v>687</v>
      </c>
      <c r="E83" s="446"/>
      <c r="F83" s="446"/>
      <c r="G83" s="446"/>
      <c r="H83" s="446"/>
      <c r="I83" s="446"/>
      <c r="J83" s="1012"/>
      <c r="K83" s="1012"/>
      <c r="L83" s="1012"/>
      <c r="M83" s="1012"/>
      <c r="N83" s="1012"/>
      <c r="O83" s="1012"/>
      <c r="P83" s="1012"/>
      <c r="Q83" s="1010"/>
      <c r="R83" s="76"/>
      <c r="S83" s="3"/>
      <c r="T83" s="299"/>
      <c r="U83" s="568"/>
      <c r="V83" s="1035"/>
      <c r="W83" s="3"/>
      <c r="X83" s="1043" t="str">
        <f t="shared" si="26"/>
        <v>.</v>
      </c>
      <c r="Y83" s="1044" t="str">
        <f t="shared" si="27"/>
        <v>.</v>
      </c>
      <c r="Z83" s="1044" t="str">
        <f t="shared" si="28"/>
        <v>.</v>
      </c>
      <c r="AA83" s="1044" t="str">
        <f t="shared" si="29"/>
        <v>.</v>
      </c>
      <c r="AB83" s="1044" t="str">
        <f t="shared" si="30"/>
        <v>.</v>
      </c>
      <c r="AC83" s="1044" t="str">
        <f t="shared" si="31"/>
        <v>.</v>
      </c>
      <c r="AD83" s="1045" t="str">
        <f t="shared" si="32"/>
        <v>.</v>
      </c>
      <c r="AE83" s="3"/>
      <c r="AF83" s="1055" t="str">
        <f t="shared" si="33"/>
        <v>.</v>
      </c>
      <c r="AG83" s="258" t="str">
        <f t="shared" si="34"/>
        <v>.</v>
      </c>
      <c r="AH83" s="258" t="str">
        <f t="shared" si="35"/>
        <v>.</v>
      </c>
      <c r="AI83" s="258" t="str">
        <f t="shared" si="36"/>
        <v>.</v>
      </c>
      <c r="AJ83" s="258" t="str">
        <f t="shared" si="37"/>
        <v>.</v>
      </c>
      <c r="AK83" s="258" t="str">
        <f t="shared" si="38"/>
        <v>.</v>
      </c>
      <c r="AL83" s="1056" t="str">
        <f t="shared" si="39"/>
        <v>.</v>
      </c>
      <c r="AM83" s="3"/>
      <c r="AN83" s="1043" t="str">
        <f>IF(X83=".",".",SUM($X83:X83))</f>
        <v>.</v>
      </c>
      <c r="AO83" s="1044" t="str">
        <f>IF(Y83=".",".",SUM($X83:Y83))</f>
        <v>.</v>
      </c>
      <c r="AP83" s="1044" t="str">
        <f>IF(Z83=".",".",SUM($X83:Z83))</f>
        <v>.</v>
      </c>
      <c r="AQ83" s="1044" t="str">
        <f>IF(AA83=".",".",SUM($X83:AA83))</f>
        <v>.</v>
      </c>
      <c r="AR83" s="1044" t="str">
        <f>IF(AB83=".",".",SUM($X83:AB83))</f>
        <v>.</v>
      </c>
      <c r="AS83" s="1044" t="str">
        <f>IF(AC83=".",".",SUM($X83:AC83))</f>
        <v>.</v>
      </c>
      <c r="AT83" s="1045" t="str">
        <f>IF(AD83=".",".",SUM($X83:AD83))</f>
        <v>.</v>
      </c>
      <c r="AU83" s="3"/>
      <c r="AV83" s="1055" t="str">
        <f t="shared" si="40"/>
        <v>.</v>
      </c>
      <c r="AW83" s="258" t="str">
        <f t="shared" si="41"/>
        <v>.</v>
      </c>
      <c r="AX83" s="258" t="str">
        <f t="shared" si="42"/>
        <v>.</v>
      </c>
      <c r="AY83" s="258" t="str">
        <f t="shared" si="43"/>
        <v>.</v>
      </c>
      <c r="AZ83" s="258" t="str">
        <f t="shared" si="44"/>
        <v>.</v>
      </c>
      <c r="BA83" s="258" t="str">
        <f t="shared" si="45"/>
        <v>.</v>
      </c>
      <c r="BB83" s="1056" t="str">
        <f t="shared" si="46"/>
        <v>.</v>
      </c>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row>
    <row r="84" spans="1:145" x14ac:dyDescent="0.2">
      <c r="A84" s="620"/>
      <c r="B84" s="1001" t="str">
        <f t="shared" si="49"/>
        <v>Farmland</v>
      </c>
      <c r="C84" s="1006" t="str">
        <f>IF('WS3 - Notional General Income'!C77="","",'WS3 - Notional General Income'!C77)</f>
        <v/>
      </c>
      <c r="D84" s="1007" t="s">
        <v>687</v>
      </c>
      <c r="E84" s="446"/>
      <c r="F84" s="446"/>
      <c r="G84" s="446"/>
      <c r="H84" s="446"/>
      <c r="I84" s="446"/>
      <c r="J84" s="1012"/>
      <c r="K84" s="1012"/>
      <c r="L84" s="1012"/>
      <c r="M84" s="1012"/>
      <c r="N84" s="1012"/>
      <c r="O84" s="1012"/>
      <c r="P84" s="1012"/>
      <c r="Q84" s="1010"/>
      <c r="R84" s="76"/>
      <c r="S84" s="3"/>
      <c r="T84" s="299"/>
      <c r="U84" s="568"/>
      <c r="V84" s="1035"/>
      <c r="W84" s="3"/>
      <c r="X84" s="1043" t="str">
        <f t="shared" si="26"/>
        <v>.</v>
      </c>
      <c r="Y84" s="1044" t="str">
        <f t="shared" si="27"/>
        <v>.</v>
      </c>
      <c r="Z84" s="1044" t="str">
        <f t="shared" si="28"/>
        <v>.</v>
      </c>
      <c r="AA84" s="1044" t="str">
        <f t="shared" si="29"/>
        <v>.</v>
      </c>
      <c r="AB84" s="1044" t="str">
        <f t="shared" si="30"/>
        <v>.</v>
      </c>
      <c r="AC84" s="1044" t="str">
        <f t="shared" si="31"/>
        <v>.</v>
      </c>
      <c r="AD84" s="1045" t="str">
        <f t="shared" si="32"/>
        <v>.</v>
      </c>
      <c r="AE84" s="3"/>
      <c r="AF84" s="1055" t="str">
        <f t="shared" si="33"/>
        <v>.</v>
      </c>
      <c r="AG84" s="258" t="str">
        <f t="shared" si="34"/>
        <v>.</v>
      </c>
      <c r="AH84" s="258" t="str">
        <f t="shared" si="35"/>
        <v>.</v>
      </c>
      <c r="AI84" s="258" t="str">
        <f t="shared" si="36"/>
        <v>.</v>
      </c>
      <c r="AJ84" s="258" t="str">
        <f t="shared" si="37"/>
        <v>.</v>
      </c>
      <c r="AK84" s="258" t="str">
        <f t="shared" si="38"/>
        <v>.</v>
      </c>
      <c r="AL84" s="1056" t="str">
        <f t="shared" si="39"/>
        <v>.</v>
      </c>
      <c r="AM84" s="3"/>
      <c r="AN84" s="1043" t="str">
        <f>IF(X84=".",".",SUM($X84:X84))</f>
        <v>.</v>
      </c>
      <c r="AO84" s="1044" t="str">
        <f>IF(Y84=".",".",SUM($X84:Y84))</f>
        <v>.</v>
      </c>
      <c r="AP84" s="1044" t="str">
        <f>IF(Z84=".",".",SUM($X84:Z84))</f>
        <v>.</v>
      </c>
      <c r="AQ84" s="1044" t="str">
        <f>IF(AA84=".",".",SUM($X84:AA84))</f>
        <v>.</v>
      </c>
      <c r="AR84" s="1044" t="str">
        <f>IF(AB84=".",".",SUM($X84:AB84))</f>
        <v>.</v>
      </c>
      <c r="AS84" s="1044" t="str">
        <f>IF(AC84=".",".",SUM($X84:AC84))</f>
        <v>.</v>
      </c>
      <c r="AT84" s="1045" t="str">
        <f>IF(AD84=".",".",SUM($X84:AD84))</f>
        <v>.</v>
      </c>
      <c r="AU84" s="3"/>
      <c r="AV84" s="1055" t="str">
        <f t="shared" si="40"/>
        <v>.</v>
      </c>
      <c r="AW84" s="258" t="str">
        <f t="shared" si="41"/>
        <v>.</v>
      </c>
      <c r="AX84" s="258" t="str">
        <f t="shared" si="42"/>
        <v>.</v>
      </c>
      <c r="AY84" s="258" t="str">
        <f t="shared" si="43"/>
        <v>.</v>
      </c>
      <c r="AZ84" s="258" t="str">
        <f t="shared" si="44"/>
        <v>.</v>
      </c>
      <c r="BA84" s="258" t="str">
        <f t="shared" si="45"/>
        <v>.</v>
      </c>
      <c r="BB84" s="1056" t="str">
        <f t="shared" si="46"/>
        <v>.</v>
      </c>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row>
    <row r="85" spans="1:145" x14ac:dyDescent="0.2">
      <c r="A85" s="620"/>
      <c r="B85" s="1578"/>
      <c r="C85" s="1579"/>
      <c r="D85" s="1580"/>
      <c r="E85" s="1581"/>
      <c r="F85" s="1581"/>
      <c r="G85" s="1581"/>
      <c r="H85" s="1581"/>
      <c r="I85" s="1581"/>
      <c r="J85" s="1579"/>
      <c r="K85" s="1579"/>
      <c r="L85" s="1579"/>
      <c r="M85" s="1579"/>
      <c r="N85" s="1579"/>
      <c r="O85" s="1579"/>
      <c r="P85" s="1579"/>
      <c r="Q85" s="1582"/>
      <c r="R85" s="76"/>
      <c r="S85" s="3"/>
      <c r="T85" s="299"/>
      <c r="U85" s="568"/>
      <c r="V85" s="1035"/>
      <c r="W85" s="3"/>
      <c r="X85" s="1043"/>
      <c r="Y85" s="1044"/>
      <c r="Z85" s="1044"/>
      <c r="AA85" s="1044"/>
      <c r="AB85" s="1044"/>
      <c r="AC85" s="1044"/>
      <c r="AD85" s="1045"/>
      <c r="AE85" s="3"/>
      <c r="AF85" s="1055"/>
      <c r="AG85" s="258"/>
      <c r="AH85" s="258"/>
      <c r="AI85" s="258"/>
      <c r="AJ85" s="258"/>
      <c r="AK85" s="258"/>
      <c r="AL85" s="1056"/>
      <c r="AM85" s="3"/>
      <c r="AN85" s="1043"/>
      <c r="AO85" s="1044"/>
      <c r="AP85" s="1044"/>
      <c r="AQ85" s="1044"/>
      <c r="AR85" s="1044"/>
      <c r="AS85" s="1044"/>
      <c r="AT85" s="1045"/>
      <c r="AU85" s="3"/>
      <c r="AV85" s="1055"/>
      <c r="AW85" s="258"/>
      <c r="AX85" s="258"/>
      <c r="AY85" s="258"/>
      <c r="AZ85" s="258"/>
      <c r="BA85" s="258"/>
      <c r="BB85" s="1056"/>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row>
    <row r="86" spans="1:145" x14ac:dyDescent="0.2">
      <c r="A86" s="620"/>
      <c r="B86" s="1001" t="str">
        <f>'WS4 - Yr 1 YIELD'!B76</f>
        <v>Mining</v>
      </c>
      <c r="C86" s="1006" t="str">
        <f>IF('WS3 - Notional General Income'!C79="","",'WS3 - Notional General Income'!C79)</f>
        <v/>
      </c>
      <c r="D86" s="1007" t="s">
        <v>687</v>
      </c>
      <c r="E86" s="446"/>
      <c r="F86" s="446"/>
      <c r="G86" s="446"/>
      <c r="H86" s="446"/>
      <c r="I86" s="446"/>
      <c r="J86" s="1012"/>
      <c r="K86" s="1012"/>
      <c r="L86" s="1012"/>
      <c r="M86" s="1012"/>
      <c r="N86" s="1012"/>
      <c r="O86" s="1012"/>
      <c r="P86" s="1012"/>
      <c r="Q86" s="1010"/>
      <c r="R86" s="76"/>
      <c r="S86" s="3"/>
      <c r="T86" s="299"/>
      <c r="U86" s="568"/>
      <c r="V86" s="1035"/>
      <c r="W86" s="3"/>
      <c r="X86" s="1043" t="str">
        <f t="shared" si="26"/>
        <v>.</v>
      </c>
      <c r="Y86" s="1044" t="str">
        <f t="shared" si="27"/>
        <v>.</v>
      </c>
      <c r="Z86" s="1044" t="str">
        <f t="shared" si="28"/>
        <v>.</v>
      </c>
      <c r="AA86" s="1044" t="str">
        <f t="shared" si="29"/>
        <v>.</v>
      </c>
      <c r="AB86" s="1044" t="str">
        <f t="shared" si="30"/>
        <v>.</v>
      </c>
      <c r="AC86" s="1044" t="str">
        <f t="shared" si="31"/>
        <v>.</v>
      </c>
      <c r="AD86" s="1045" t="str">
        <f t="shared" si="32"/>
        <v>.</v>
      </c>
      <c r="AE86" s="3"/>
      <c r="AF86" s="1055" t="str">
        <f t="shared" si="33"/>
        <v>.</v>
      </c>
      <c r="AG86" s="258" t="str">
        <f t="shared" si="34"/>
        <v>.</v>
      </c>
      <c r="AH86" s="258" t="str">
        <f t="shared" si="35"/>
        <v>.</v>
      </c>
      <c r="AI86" s="258" t="str">
        <f t="shared" si="36"/>
        <v>.</v>
      </c>
      <c r="AJ86" s="258" t="str">
        <f t="shared" si="37"/>
        <v>.</v>
      </c>
      <c r="AK86" s="258" t="str">
        <f t="shared" si="38"/>
        <v>.</v>
      </c>
      <c r="AL86" s="1056" t="str">
        <f t="shared" si="39"/>
        <v>.</v>
      </c>
      <c r="AM86" s="3"/>
      <c r="AN86" s="1043" t="str">
        <f>IF(X86=".",".",SUM($X86:X86))</f>
        <v>.</v>
      </c>
      <c r="AO86" s="1044" t="str">
        <f>IF(Y86=".",".",SUM($X86:Y86))</f>
        <v>.</v>
      </c>
      <c r="AP86" s="1044" t="str">
        <f>IF(Z86=".",".",SUM($X86:Z86))</f>
        <v>.</v>
      </c>
      <c r="AQ86" s="1044" t="str">
        <f>IF(AA86=".",".",SUM($X86:AA86))</f>
        <v>.</v>
      </c>
      <c r="AR86" s="1044" t="str">
        <f>IF(AB86=".",".",SUM($X86:AB86))</f>
        <v>.</v>
      </c>
      <c r="AS86" s="1044" t="str">
        <f>IF(AC86=".",".",SUM($X86:AC86))</f>
        <v>.</v>
      </c>
      <c r="AT86" s="1045" t="str">
        <f>IF(AD86=".",".",SUM($X86:AD86))</f>
        <v>.</v>
      </c>
      <c r="AU86" s="3"/>
      <c r="AV86" s="1055" t="str">
        <f t="shared" si="40"/>
        <v>.</v>
      </c>
      <c r="AW86" s="258" t="str">
        <f t="shared" si="41"/>
        <v>.</v>
      </c>
      <c r="AX86" s="258" t="str">
        <f t="shared" si="42"/>
        <v>.</v>
      </c>
      <c r="AY86" s="258" t="str">
        <f t="shared" si="43"/>
        <v>.</v>
      </c>
      <c r="AZ86" s="258" t="str">
        <f t="shared" si="44"/>
        <v>.</v>
      </c>
      <c r="BA86" s="258" t="str">
        <f t="shared" si="45"/>
        <v>.</v>
      </c>
      <c r="BB86" s="1056" t="str">
        <f t="shared" si="46"/>
        <v>.</v>
      </c>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row>
    <row r="87" spans="1:145" x14ac:dyDescent="0.2">
      <c r="A87" s="620"/>
      <c r="B87" s="1001" t="str">
        <f>B86</f>
        <v>Mining</v>
      </c>
      <c r="C87" s="1006" t="str">
        <f>IF('WS3 - Notional General Income'!C80="","",'WS3 - Notional General Income'!C80)</f>
        <v/>
      </c>
      <c r="D87" s="1007" t="s">
        <v>687</v>
      </c>
      <c r="E87" s="446"/>
      <c r="F87" s="446"/>
      <c r="G87" s="446"/>
      <c r="H87" s="446"/>
      <c r="I87" s="446"/>
      <c r="J87" s="1012"/>
      <c r="K87" s="1012"/>
      <c r="L87" s="1012"/>
      <c r="M87" s="1012"/>
      <c r="N87" s="1012"/>
      <c r="O87" s="1012"/>
      <c r="P87" s="1012"/>
      <c r="Q87" s="1010"/>
      <c r="R87" s="76"/>
      <c r="S87" s="3"/>
      <c r="T87" s="299"/>
      <c r="U87" s="568"/>
      <c r="V87" s="1035"/>
      <c r="W87" s="3"/>
      <c r="X87" s="1043" t="str">
        <f t="shared" si="26"/>
        <v>.</v>
      </c>
      <c r="Y87" s="1044" t="str">
        <f t="shared" si="27"/>
        <v>.</v>
      </c>
      <c r="Z87" s="1044" t="str">
        <f t="shared" si="28"/>
        <v>.</v>
      </c>
      <c r="AA87" s="1044" t="str">
        <f t="shared" si="29"/>
        <v>.</v>
      </c>
      <c r="AB87" s="1044" t="str">
        <f t="shared" si="30"/>
        <v>.</v>
      </c>
      <c r="AC87" s="1044" t="str">
        <f t="shared" si="31"/>
        <v>.</v>
      </c>
      <c r="AD87" s="1045" t="str">
        <f t="shared" si="32"/>
        <v>.</v>
      </c>
      <c r="AE87" s="3"/>
      <c r="AF87" s="1055" t="str">
        <f t="shared" si="33"/>
        <v>.</v>
      </c>
      <c r="AG87" s="258" t="str">
        <f t="shared" si="34"/>
        <v>.</v>
      </c>
      <c r="AH87" s="258" t="str">
        <f t="shared" si="35"/>
        <v>.</v>
      </c>
      <c r="AI87" s="258" t="str">
        <f t="shared" si="36"/>
        <v>.</v>
      </c>
      <c r="AJ87" s="258" t="str">
        <f t="shared" si="37"/>
        <v>.</v>
      </c>
      <c r="AK87" s="258" t="str">
        <f t="shared" si="38"/>
        <v>.</v>
      </c>
      <c r="AL87" s="1056" t="str">
        <f t="shared" si="39"/>
        <v>.</v>
      </c>
      <c r="AM87" s="3"/>
      <c r="AN87" s="1043" t="str">
        <f>IF(X87=".",".",SUM($X87:X87))</f>
        <v>.</v>
      </c>
      <c r="AO87" s="1044" t="str">
        <f>IF(Y87=".",".",SUM($X87:Y87))</f>
        <v>.</v>
      </c>
      <c r="AP87" s="1044" t="str">
        <f>IF(Z87=".",".",SUM($X87:Z87))</f>
        <v>.</v>
      </c>
      <c r="AQ87" s="1044" t="str">
        <f>IF(AA87=".",".",SUM($X87:AA87))</f>
        <v>.</v>
      </c>
      <c r="AR87" s="1044" t="str">
        <f>IF(AB87=".",".",SUM($X87:AB87))</f>
        <v>.</v>
      </c>
      <c r="AS87" s="1044" t="str">
        <f>IF(AC87=".",".",SUM($X87:AC87))</f>
        <v>.</v>
      </c>
      <c r="AT87" s="1045" t="str">
        <f>IF(AD87=".",".",SUM($X87:AD87))</f>
        <v>.</v>
      </c>
      <c r="AU87" s="3"/>
      <c r="AV87" s="1055" t="str">
        <f t="shared" si="40"/>
        <v>.</v>
      </c>
      <c r="AW87" s="258" t="str">
        <f t="shared" si="41"/>
        <v>.</v>
      </c>
      <c r="AX87" s="258" t="str">
        <f t="shared" si="42"/>
        <v>.</v>
      </c>
      <c r="AY87" s="258" t="str">
        <f t="shared" si="43"/>
        <v>.</v>
      </c>
      <c r="AZ87" s="258" t="str">
        <f t="shared" si="44"/>
        <v>.</v>
      </c>
      <c r="BA87" s="258" t="str">
        <f t="shared" si="45"/>
        <v>.</v>
      </c>
      <c r="BB87" s="1056" t="str">
        <f t="shared" si="46"/>
        <v>.</v>
      </c>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row>
    <row r="88" spans="1:145" x14ac:dyDescent="0.2">
      <c r="A88" s="620"/>
      <c r="B88" s="1001" t="str">
        <f t="shared" ref="B88:B95" si="50">B87</f>
        <v>Mining</v>
      </c>
      <c r="C88" s="1006" t="str">
        <f>IF('WS3 - Notional General Income'!C81="","",'WS3 - Notional General Income'!C81)</f>
        <v/>
      </c>
      <c r="D88" s="1007" t="s">
        <v>687</v>
      </c>
      <c r="E88" s="446"/>
      <c r="F88" s="446"/>
      <c r="G88" s="446"/>
      <c r="H88" s="446"/>
      <c r="I88" s="446"/>
      <c r="J88" s="1012"/>
      <c r="K88" s="1012"/>
      <c r="L88" s="1012"/>
      <c r="M88" s="1012"/>
      <c r="N88" s="1012"/>
      <c r="O88" s="1012"/>
      <c r="P88" s="1012"/>
      <c r="Q88" s="1010"/>
      <c r="R88" s="76"/>
      <c r="S88" s="3"/>
      <c r="T88" s="299"/>
      <c r="U88" s="568"/>
      <c r="V88" s="1035"/>
      <c r="W88" s="3"/>
      <c r="X88" s="1043" t="str">
        <f t="shared" si="26"/>
        <v>.</v>
      </c>
      <c r="Y88" s="1044" t="str">
        <f t="shared" si="27"/>
        <v>.</v>
      </c>
      <c r="Z88" s="1044" t="str">
        <f t="shared" si="28"/>
        <v>.</v>
      </c>
      <c r="AA88" s="1044" t="str">
        <f t="shared" si="29"/>
        <v>.</v>
      </c>
      <c r="AB88" s="1044" t="str">
        <f t="shared" si="30"/>
        <v>.</v>
      </c>
      <c r="AC88" s="1044" t="str">
        <f t="shared" si="31"/>
        <v>.</v>
      </c>
      <c r="AD88" s="1045" t="str">
        <f t="shared" si="32"/>
        <v>.</v>
      </c>
      <c r="AE88" s="3"/>
      <c r="AF88" s="1055" t="str">
        <f t="shared" si="33"/>
        <v>.</v>
      </c>
      <c r="AG88" s="258" t="str">
        <f t="shared" si="34"/>
        <v>.</v>
      </c>
      <c r="AH88" s="258" t="str">
        <f t="shared" si="35"/>
        <v>.</v>
      </c>
      <c r="AI88" s="258" t="str">
        <f t="shared" si="36"/>
        <v>.</v>
      </c>
      <c r="AJ88" s="258" t="str">
        <f t="shared" si="37"/>
        <v>.</v>
      </c>
      <c r="AK88" s="258" t="str">
        <f t="shared" si="38"/>
        <v>.</v>
      </c>
      <c r="AL88" s="1056" t="str">
        <f t="shared" si="39"/>
        <v>.</v>
      </c>
      <c r="AM88" s="3"/>
      <c r="AN88" s="1043" t="str">
        <f>IF(X88=".",".",SUM($X88:X88))</f>
        <v>.</v>
      </c>
      <c r="AO88" s="1044" t="str">
        <f>IF(Y88=".",".",SUM($X88:Y88))</f>
        <v>.</v>
      </c>
      <c r="AP88" s="1044" t="str">
        <f>IF(Z88=".",".",SUM($X88:Z88))</f>
        <v>.</v>
      </c>
      <c r="AQ88" s="1044" t="str">
        <f>IF(AA88=".",".",SUM($X88:AA88))</f>
        <v>.</v>
      </c>
      <c r="AR88" s="1044" t="str">
        <f>IF(AB88=".",".",SUM($X88:AB88))</f>
        <v>.</v>
      </c>
      <c r="AS88" s="1044" t="str">
        <f>IF(AC88=".",".",SUM($X88:AC88))</f>
        <v>.</v>
      </c>
      <c r="AT88" s="1045" t="str">
        <f>IF(AD88=".",".",SUM($X88:AD88))</f>
        <v>.</v>
      </c>
      <c r="AU88" s="3"/>
      <c r="AV88" s="1055" t="str">
        <f t="shared" si="40"/>
        <v>.</v>
      </c>
      <c r="AW88" s="258" t="str">
        <f t="shared" si="41"/>
        <v>.</v>
      </c>
      <c r="AX88" s="258" t="str">
        <f t="shared" si="42"/>
        <v>.</v>
      </c>
      <c r="AY88" s="258" t="str">
        <f t="shared" si="43"/>
        <v>.</v>
      </c>
      <c r="AZ88" s="258" t="str">
        <f t="shared" si="44"/>
        <v>.</v>
      </c>
      <c r="BA88" s="258" t="str">
        <f t="shared" si="45"/>
        <v>.</v>
      </c>
      <c r="BB88" s="1056" t="str">
        <f t="shared" si="46"/>
        <v>.</v>
      </c>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row>
    <row r="89" spans="1:145" x14ac:dyDescent="0.2">
      <c r="A89" s="620"/>
      <c r="B89" s="1001" t="str">
        <f t="shared" si="50"/>
        <v>Mining</v>
      </c>
      <c r="C89" s="1006" t="str">
        <f>IF('WS3 - Notional General Income'!C82="","",'WS3 - Notional General Income'!C82)</f>
        <v/>
      </c>
      <c r="D89" s="1007" t="s">
        <v>687</v>
      </c>
      <c r="E89" s="446"/>
      <c r="F89" s="446"/>
      <c r="G89" s="446"/>
      <c r="H89" s="446"/>
      <c r="I89" s="446"/>
      <c r="J89" s="1012"/>
      <c r="K89" s="1012"/>
      <c r="L89" s="1012"/>
      <c r="M89" s="1012"/>
      <c r="N89" s="1012"/>
      <c r="O89" s="1012"/>
      <c r="P89" s="1012"/>
      <c r="Q89" s="1010"/>
      <c r="R89" s="76"/>
      <c r="S89" s="3"/>
      <c r="T89" s="299"/>
      <c r="U89" s="568"/>
      <c r="V89" s="1035"/>
      <c r="W89" s="3"/>
      <c r="X89" s="1043" t="str">
        <f t="shared" si="26"/>
        <v>.</v>
      </c>
      <c r="Y89" s="1044" t="str">
        <f t="shared" si="27"/>
        <v>.</v>
      </c>
      <c r="Z89" s="1044" t="str">
        <f t="shared" si="28"/>
        <v>.</v>
      </c>
      <c r="AA89" s="1044" t="str">
        <f t="shared" si="29"/>
        <v>.</v>
      </c>
      <c r="AB89" s="1044" t="str">
        <f t="shared" si="30"/>
        <v>.</v>
      </c>
      <c r="AC89" s="1044" t="str">
        <f t="shared" si="31"/>
        <v>.</v>
      </c>
      <c r="AD89" s="1045" t="str">
        <f t="shared" si="32"/>
        <v>.</v>
      </c>
      <c r="AE89" s="3"/>
      <c r="AF89" s="1055" t="str">
        <f t="shared" si="33"/>
        <v>.</v>
      </c>
      <c r="AG89" s="258" t="str">
        <f t="shared" si="34"/>
        <v>.</v>
      </c>
      <c r="AH89" s="258" t="str">
        <f t="shared" si="35"/>
        <v>.</v>
      </c>
      <c r="AI89" s="258" t="str">
        <f t="shared" si="36"/>
        <v>.</v>
      </c>
      <c r="AJ89" s="258" t="str">
        <f t="shared" si="37"/>
        <v>.</v>
      </c>
      <c r="AK89" s="258" t="str">
        <f t="shared" si="38"/>
        <v>.</v>
      </c>
      <c r="AL89" s="1056" t="str">
        <f t="shared" si="39"/>
        <v>.</v>
      </c>
      <c r="AM89" s="3"/>
      <c r="AN89" s="1043" t="str">
        <f>IF(X89=".",".",SUM($X89:X89))</f>
        <v>.</v>
      </c>
      <c r="AO89" s="1044" t="str">
        <f>IF(Y89=".",".",SUM($X89:Y89))</f>
        <v>.</v>
      </c>
      <c r="AP89" s="1044" t="str">
        <f>IF(Z89=".",".",SUM($X89:Z89))</f>
        <v>.</v>
      </c>
      <c r="AQ89" s="1044" t="str">
        <f>IF(AA89=".",".",SUM($X89:AA89))</f>
        <v>.</v>
      </c>
      <c r="AR89" s="1044" t="str">
        <f>IF(AB89=".",".",SUM($X89:AB89))</f>
        <v>.</v>
      </c>
      <c r="AS89" s="1044" t="str">
        <f>IF(AC89=".",".",SUM($X89:AC89))</f>
        <v>.</v>
      </c>
      <c r="AT89" s="1045" t="str">
        <f>IF(AD89=".",".",SUM($X89:AD89))</f>
        <v>.</v>
      </c>
      <c r="AU89" s="3"/>
      <c r="AV89" s="1055" t="str">
        <f t="shared" si="40"/>
        <v>.</v>
      </c>
      <c r="AW89" s="258" t="str">
        <f t="shared" si="41"/>
        <v>.</v>
      </c>
      <c r="AX89" s="258" t="str">
        <f t="shared" si="42"/>
        <v>.</v>
      </c>
      <c r="AY89" s="258" t="str">
        <f t="shared" si="43"/>
        <v>.</v>
      </c>
      <c r="AZ89" s="258" t="str">
        <f t="shared" si="44"/>
        <v>.</v>
      </c>
      <c r="BA89" s="258" t="str">
        <f t="shared" si="45"/>
        <v>.</v>
      </c>
      <c r="BB89" s="1056" t="str">
        <f t="shared" si="46"/>
        <v>.</v>
      </c>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row>
    <row r="90" spans="1:145" x14ac:dyDescent="0.2">
      <c r="A90" s="620"/>
      <c r="B90" s="1001" t="str">
        <f t="shared" si="50"/>
        <v>Mining</v>
      </c>
      <c r="C90" s="1006" t="str">
        <f>IF('WS3 - Notional General Income'!C83="","",'WS3 - Notional General Income'!C83)</f>
        <v/>
      </c>
      <c r="D90" s="1007" t="s">
        <v>687</v>
      </c>
      <c r="E90" s="446"/>
      <c r="F90" s="446"/>
      <c r="G90" s="446"/>
      <c r="H90" s="446"/>
      <c r="I90" s="446"/>
      <c r="J90" s="1012"/>
      <c r="K90" s="1012"/>
      <c r="L90" s="1012"/>
      <c r="M90" s="1012"/>
      <c r="N90" s="1012"/>
      <c r="O90" s="1012"/>
      <c r="P90" s="1012"/>
      <c r="Q90" s="1010"/>
      <c r="R90" s="76"/>
      <c r="S90" s="3"/>
      <c r="T90" s="299"/>
      <c r="U90" s="568"/>
      <c r="V90" s="1035"/>
      <c r="W90" s="3"/>
      <c r="X90" s="1043" t="str">
        <f t="shared" si="26"/>
        <v>.</v>
      </c>
      <c r="Y90" s="1044" t="str">
        <f t="shared" si="27"/>
        <v>.</v>
      </c>
      <c r="Z90" s="1044" t="str">
        <f t="shared" si="28"/>
        <v>.</v>
      </c>
      <c r="AA90" s="1044" t="str">
        <f t="shared" si="29"/>
        <v>.</v>
      </c>
      <c r="AB90" s="1044" t="str">
        <f t="shared" si="30"/>
        <v>.</v>
      </c>
      <c r="AC90" s="1044" t="str">
        <f t="shared" si="31"/>
        <v>.</v>
      </c>
      <c r="AD90" s="1045" t="str">
        <f t="shared" si="32"/>
        <v>.</v>
      </c>
      <c r="AE90" s="3"/>
      <c r="AF90" s="1055" t="str">
        <f t="shared" si="33"/>
        <v>.</v>
      </c>
      <c r="AG90" s="258" t="str">
        <f t="shared" si="34"/>
        <v>.</v>
      </c>
      <c r="AH90" s="258" t="str">
        <f t="shared" si="35"/>
        <v>.</v>
      </c>
      <c r="AI90" s="258" t="str">
        <f t="shared" si="36"/>
        <v>.</v>
      </c>
      <c r="AJ90" s="258" t="str">
        <f t="shared" si="37"/>
        <v>.</v>
      </c>
      <c r="AK90" s="258" t="str">
        <f t="shared" si="38"/>
        <v>.</v>
      </c>
      <c r="AL90" s="1056" t="str">
        <f t="shared" si="39"/>
        <v>.</v>
      </c>
      <c r="AM90" s="3"/>
      <c r="AN90" s="1043" t="str">
        <f>IF(X90=".",".",SUM($X90:X90))</f>
        <v>.</v>
      </c>
      <c r="AO90" s="1044" t="str">
        <f>IF(Y90=".",".",SUM($X90:Y90))</f>
        <v>.</v>
      </c>
      <c r="AP90" s="1044" t="str">
        <f>IF(Z90=".",".",SUM($X90:Z90))</f>
        <v>.</v>
      </c>
      <c r="AQ90" s="1044" t="str">
        <f>IF(AA90=".",".",SUM($X90:AA90))</f>
        <v>.</v>
      </c>
      <c r="AR90" s="1044" t="str">
        <f>IF(AB90=".",".",SUM($X90:AB90))</f>
        <v>.</v>
      </c>
      <c r="AS90" s="1044" t="str">
        <f>IF(AC90=".",".",SUM($X90:AC90))</f>
        <v>.</v>
      </c>
      <c r="AT90" s="1045" t="str">
        <f>IF(AD90=".",".",SUM($X90:AD90))</f>
        <v>.</v>
      </c>
      <c r="AU90" s="3"/>
      <c r="AV90" s="1055" t="str">
        <f t="shared" si="40"/>
        <v>.</v>
      </c>
      <c r="AW90" s="258" t="str">
        <f t="shared" si="41"/>
        <v>.</v>
      </c>
      <c r="AX90" s="258" t="str">
        <f t="shared" si="42"/>
        <v>.</v>
      </c>
      <c r="AY90" s="258" t="str">
        <f t="shared" si="43"/>
        <v>.</v>
      </c>
      <c r="AZ90" s="258" t="str">
        <f t="shared" si="44"/>
        <v>.</v>
      </c>
      <c r="BA90" s="258" t="str">
        <f t="shared" si="45"/>
        <v>.</v>
      </c>
      <c r="BB90" s="1056" t="str">
        <f t="shared" si="46"/>
        <v>.</v>
      </c>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row>
    <row r="91" spans="1:145" x14ac:dyDescent="0.2">
      <c r="A91" s="620"/>
      <c r="B91" s="1001" t="str">
        <f t="shared" si="50"/>
        <v>Mining</v>
      </c>
      <c r="C91" s="1006" t="str">
        <f>IF('WS3 - Notional General Income'!C84="","",'WS3 - Notional General Income'!C84)</f>
        <v/>
      </c>
      <c r="D91" s="1007" t="s">
        <v>687</v>
      </c>
      <c r="E91" s="446"/>
      <c r="F91" s="446"/>
      <c r="G91" s="446"/>
      <c r="H91" s="446"/>
      <c r="I91" s="446"/>
      <c r="J91" s="1012"/>
      <c r="K91" s="1012"/>
      <c r="L91" s="1012"/>
      <c r="M91" s="1012"/>
      <c r="N91" s="1012"/>
      <c r="O91" s="1012"/>
      <c r="P91" s="1012"/>
      <c r="Q91" s="1010"/>
      <c r="R91" s="76"/>
      <c r="S91" s="3"/>
      <c r="T91" s="299"/>
      <c r="U91" s="568"/>
      <c r="V91" s="1035"/>
      <c r="W91" s="3"/>
      <c r="X91" s="1043" t="str">
        <f t="shared" si="26"/>
        <v>.</v>
      </c>
      <c r="Y91" s="1044" t="str">
        <f t="shared" si="27"/>
        <v>.</v>
      </c>
      <c r="Z91" s="1044" t="str">
        <f t="shared" si="28"/>
        <v>.</v>
      </c>
      <c r="AA91" s="1044" t="str">
        <f t="shared" si="29"/>
        <v>.</v>
      </c>
      <c r="AB91" s="1044" t="str">
        <f t="shared" si="30"/>
        <v>.</v>
      </c>
      <c r="AC91" s="1044" t="str">
        <f t="shared" si="31"/>
        <v>.</v>
      </c>
      <c r="AD91" s="1045" t="str">
        <f t="shared" si="32"/>
        <v>.</v>
      </c>
      <c r="AE91" s="3"/>
      <c r="AF91" s="1055" t="str">
        <f t="shared" si="33"/>
        <v>.</v>
      </c>
      <c r="AG91" s="258" t="str">
        <f t="shared" si="34"/>
        <v>.</v>
      </c>
      <c r="AH91" s="258" t="str">
        <f t="shared" si="35"/>
        <v>.</v>
      </c>
      <c r="AI91" s="258" t="str">
        <f t="shared" si="36"/>
        <v>.</v>
      </c>
      <c r="AJ91" s="258" t="str">
        <f t="shared" si="37"/>
        <v>.</v>
      </c>
      <c r="AK91" s="258" t="str">
        <f t="shared" si="38"/>
        <v>.</v>
      </c>
      <c r="AL91" s="1056" t="str">
        <f t="shared" si="39"/>
        <v>.</v>
      </c>
      <c r="AM91" s="3"/>
      <c r="AN91" s="1043" t="str">
        <f>IF(X91=".",".",SUM($X91:X91))</f>
        <v>.</v>
      </c>
      <c r="AO91" s="1044" t="str">
        <f>IF(Y91=".",".",SUM($X91:Y91))</f>
        <v>.</v>
      </c>
      <c r="AP91" s="1044" t="str">
        <f>IF(Z91=".",".",SUM($X91:Z91))</f>
        <v>.</v>
      </c>
      <c r="AQ91" s="1044" t="str">
        <f>IF(AA91=".",".",SUM($X91:AA91))</f>
        <v>.</v>
      </c>
      <c r="AR91" s="1044" t="str">
        <f>IF(AB91=".",".",SUM($X91:AB91))</f>
        <v>.</v>
      </c>
      <c r="AS91" s="1044" t="str">
        <f>IF(AC91=".",".",SUM($X91:AC91))</f>
        <v>.</v>
      </c>
      <c r="AT91" s="1045" t="str">
        <f>IF(AD91=".",".",SUM($X91:AD91))</f>
        <v>.</v>
      </c>
      <c r="AU91" s="3"/>
      <c r="AV91" s="1055" t="str">
        <f t="shared" si="40"/>
        <v>.</v>
      </c>
      <c r="AW91" s="258" t="str">
        <f t="shared" si="41"/>
        <v>.</v>
      </c>
      <c r="AX91" s="258" t="str">
        <f t="shared" si="42"/>
        <v>.</v>
      </c>
      <c r="AY91" s="258" t="str">
        <f t="shared" si="43"/>
        <v>.</v>
      </c>
      <c r="AZ91" s="258" t="str">
        <f t="shared" si="44"/>
        <v>.</v>
      </c>
      <c r="BA91" s="258" t="str">
        <f t="shared" si="45"/>
        <v>.</v>
      </c>
      <c r="BB91" s="1056" t="str">
        <f t="shared" si="46"/>
        <v>.</v>
      </c>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row>
    <row r="92" spans="1:145" x14ac:dyDescent="0.2">
      <c r="A92" s="620"/>
      <c r="B92" s="1001" t="str">
        <f t="shared" si="50"/>
        <v>Mining</v>
      </c>
      <c r="C92" s="1006" t="str">
        <f>IF('WS3 - Notional General Income'!C85="","",'WS3 - Notional General Income'!C85)</f>
        <v/>
      </c>
      <c r="D92" s="1007" t="s">
        <v>687</v>
      </c>
      <c r="E92" s="446"/>
      <c r="F92" s="446"/>
      <c r="G92" s="446"/>
      <c r="H92" s="446"/>
      <c r="I92" s="446"/>
      <c r="J92" s="1012"/>
      <c r="K92" s="1012"/>
      <c r="L92" s="1012"/>
      <c r="M92" s="1012"/>
      <c r="N92" s="1012"/>
      <c r="O92" s="1012"/>
      <c r="P92" s="1012"/>
      <c r="Q92" s="1010"/>
      <c r="R92" s="76"/>
      <c r="S92" s="3"/>
      <c r="T92" s="299"/>
      <c r="U92" s="568"/>
      <c r="V92" s="1035"/>
      <c r="W92" s="3"/>
      <c r="X92" s="1043" t="str">
        <f t="shared" si="26"/>
        <v>.</v>
      </c>
      <c r="Y92" s="1044" t="str">
        <f t="shared" si="27"/>
        <v>.</v>
      </c>
      <c r="Z92" s="1044" t="str">
        <f t="shared" si="28"/>
        <v>.</v>
      </c>
      <c r="AA92" s="1044" t="str">
        <f t="shared" si="29"/>
        <v>.</v>
      </c>
      <c r="AB92" s="1044" t="str">
        <f t="shared" si="30"/>
        <v>.</v>
      </c>
      <c r="AC92" s="1044" t="str">
        <f t="shared" si="31"/>
        <v>.</v>
      </c>
      <c r="AD92" s="1045" t="str">
        <f t="shared" si="32"/>
        <v>.</v>
      </c>
      <c r="AE92" s="3"/>
      <c r="AF92" s="1055" t="str">
        <f t="shared" si="33"/>
        <v>.</v>
      </c>
      <c r="AG92" s="258" t="str">
        <f t="shared" si="34"/>
        <v>.</v>
      </c>
      <c r="AH92" s="258" t="str">
        <f t="shared" si="35"/>
        <v>.</v>
      </c>
      <c r="AI92" s="258" t="str">
        <f t="shared" si="36"/>
        <v>.</v>
      </c>
      <c r="AJ92" s="258" t="str">
        <f t="shared" si="37"/>
        <v>.</v>
      </c>
      <c r="AK92" s="258" t="str">
        <f t="shared" si="38"/>
        <v>.</v>
      </c>
      <c r="AL92" s="1056" t="str">
        <f t="shared" si="39"/>
        <v>.</v>
      </c>
      <c r="AM92" s="3"/>
      <c r="AN92" s="1043" t="str">
        <f>IF(X92=".",".",SUM($X92:X92))</f>
        <v>.</v>
      </c>
      <c r="AO92" s="1044" t="str">
        <f>IF(Y92=".",".",SUM($X92:Y92))</f>
        <v>.</v>
      </c>
      <c r="AP92" s="1044" t="str">
        <f>IF(Z92=".",".",SUM($X92:Z92))</f>
        <v>.</v>
      </c>
      <c r="AQ92" s="1044" t="str">
        <f>IF(AA92=".",".",SUM($X92:AA92))</f>
        <v>.</v>
      </c>
      <c r="AR92" s="1044" t="str">
        <f>IF(AB92=".",".",SUM($X92:AB92))</f>
        <v>.</v>
      </c>
      <c r="AS92" s="1044" t="str">
        <f>IF(AC92=".",".",SUM($X92:AC92))</f>
        <v>.</v>
      </c>
      <c r="AT92" s="1045" t="str">
        <f>IF(AD92=".",".",SUM($X92:AD92))</f>
        <v>.</v>
      </c>
      <c r="AU92" s="3"/>
      <c r="AV92" s="1055" t="str">
        <f t="shared" si="40"/>
        <v>.</v>
      </c>
      <c r="AW92" s="258" t="str">
        <f t="shared" si="41"/>
        <v>.</v>
      </c>
      <c r="AX92" s="258" t="str">
        <f t="shared" si="42"/>
        <v>.</v>
      </c>
      <c r="AY92" s="258" t="str">
        <f t="shared" si="43"/>
        <v>.</v>
      </c>
      <c r="AZ92" s="258" t="str">
        <f t="shared" si="44"/>
        <v>.</v>
      </c>
      <c r="BA92" s="258" t="str">
        <f t="shared" si="45"/>
        <v>.</v>
      </c>
      <c r="BB92" s="1056" t="str">
        <f t="shared" si="46"/>
        <v>.</v>
      </c>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row>
    <row r="93" spans="1:145" x14ac:dyDescent="0.2">
      <c r="A93" s="620"/>
      <c r="B93" s="1001" t="str">
        <f t="shared" si="50"/>
        <v>Mining</v>
      </c>
      <c r="C93" s="1006" t="str">
        <f>IF('WS3 - Notional General Income'!C86="","",'WS3 - Notional General Income'!C86)</f>
        <v/>
      </c>
      <c r="D93" s="1007" t="s">
        <v>687</v>
      </c>
      <c r="E93" s="446"/>
      <c r="F93" s="446"/>
      <c r="G93" s="446"/>
      <c r="H93" s="446"/>
      <c r="I93" s="446"/>
      <c r="J93" s="1012"/>
      <c r="K93" s="1012"/>
      <c r="L93" s="1012"/>
      <c r="M93" s="1012"/>
      <c r="N93" s="1012"/>
      <c r="O93" s="1012"/>
      <c r="P93" s="1012"/>
      <c r="Q93" s="1010"/>
      <c r="R93" s="76"/>
      <c r="S93" s="3"/>
      <c r="T93" s="299"/>
      <c r="U93" s="568"/>
      <c r="V93" s="1035"/>
      <c r="W93" s="3"/>
      <c r="X93" s="1043" t="str">
        <f t="shared" si="26"/>
        <v>.</v>
      </c>
      <c r="Y93" s="1044" t="str">
        <f t="shared" si="27"/>
        <v>.</v>
      </c>
      <c r="Z93" s="1044" t="str">
        <f t="shared" si="28"/>
        <v>.</v>
      </c>
      <c r="AA93" s="1044" t="str">
        <f t="shared" si="29"/>
        <v>.</v>
      </c>
      <c r="AB93" s="1044" t="str">
        <f t="shared" si="30"/>
        <v>.</v>
      </c>
      <c r="AC93" s="1044" t="str">
        <f t="shared" si="31"/>
        <v>.</v>
      </c>
      <c r="AD93" s="1045" t="str">
        <f t="shared" si="32"/>
        <v>.</v>
      </c>
      <c r="AE93" s="3"/>
      <c r="AF93" s="1055" t="str">
        <f t="shared" si="33"/>
        <v>.</v>
      </c>
      <c r="AG93" s="258" t="str">
        <f t="shared" si="34"/>
        <v>.</v>
      </c>
      <c r="AH93" s="258" t="str">
        <f t="shared" si="35"/>
        <v>.</v>
      </c>
      <c r="AI93" s="258" t="str">
        <f t="shared" si="36"/>
        <v>.</v>
      </c>
      <c r="AJ93" s="258" t="str">
        <f t="shared" si="37"/>
        <v>.</v>
      </c>
      <c r="AK93" s="258" t="str">
        <f t="shared" si="38"/>
        <v>.</v>
      </c>
      <c r="AL93" s="1056" t="str">
        <f t="shared" si="39"/>
        <v>.</v>
      </c>
      <c r="AM93" s="3"/>
      <c r="AN93" s="1043" t="str">
        <f>IF(X93=".",".",SUM($X93:X93))</f>
        <v>.</v>
      </c>
      <c r="AO93" s="1044" t="str">
        <f>IF(Y93=".",".",SUM($X93:Y93))</f>
        <v>.</v>
      </c>
      <c r="AP93" s="1044" t="str">
        <f>IF(Z93=".",".",SUM($X93:Z93))</f>
        <v>.</v>
      </c>
      <c r="AQ93" s="1044" t="str">
        <f>IF(AA93=".",".",SUM($X93:AA93))</f>
        <v>.</v>
      </c>
      <c r="AR93" s="1044" t="str">
        <f>IF(AB93=".",".",SUM($X93:AB93))</f>
        <v>.</v>
      </c>
      <c r="AS93" s="1044" t="str">
        <f>IF(AC93=".",".",SUM($X93:AC93))</f>
        <v>.</v>
      </c>
      <c r="AT93" s="1045" t="str">
        <f>IF(AD93=".",".",SUM($X93:AD93))</f>
        <v>.</v>
      </c>
      <c r="AU93" s="3"/>
      <c r="AV93" s="1055" t="str">
        <f t="shared" si="40"/>
        <v>.</v>
      </c>
      <c r="AW93" s="258" t="str">
        <f t="shared" si="41"/>
        <v>.</v>
      </c>
      <c r="AX93" s="258" t="str">
        <f t="shared" si="42"/>
        <v>.</v>
      </c>
      <c r="AY93" s="258" t="str">
        <f t="shared" si="43"/>
        <v>.</v>
      </c>
      <c r="AZ93" s="258" t="str">
        <f t="shared" si="44"/>
        <v>.</v>
      </c>
      <c r="BA93" s="258" t="str">
        <f t="shared" si="45"/>
        <v>.</v>
      </c>
      <c r="BB93" s="1056" t="str">
        <f t="shared" si="46"/>
        <v>.</v>
      </c>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row>
    <row r="94" spans="1:145" x14ac:dyDescent="0.2">
      <c r="A94" s="620"/>
      <c r="B94" s="1001" t="str">
        <f t="shared" si="50"/>
        <v>Mining</v>
      </c>
      <c r="C94" s="1006" t="str">
        <f>IF('WS3 - Notional General Income'!C87="","",'WS3 - Notional General Income'!C87)</f>
        <v/>
      </c>
      <c r="D94" s="1007" t="s">
        <v>687</v>
      </c>
      <c r="E94" s="446"/>
      <c r="F94" s="446"/>
      <c r="G94" s="446"/>
      <c r="H94" s="446"/>
      <c r="I94" s="446"/>
      <c r="J94" s="1012"/>
      <c r="K94" s="1012"/>
      <c r="L94" s="1012"/>
      <c r="M94" s="1012"/>
      <c r="N94" s="1012"/>
      <c r="O94" s="1012"/>
      <c r="P94" s="1012"/>
      <c r="Q94" s="1010"/>
      <c r="R94" s="76"/>
      <c r="S94" s="3"/>
      <c r="T94" s="299"/>
      <c r="U94" s="568"/>
      <c r="V94" s="1035"/>
      <c r="W94" s="3"/>
      <c r="X94" s="1043" t="str">
        <f t="shared" si="26"/>
        <v>.</v>
      </c>
      <c r="Y94" s="1044" t="str">
        <f t="shared" si="27"/>
        <v>.</v>
      </c>
      <c r="Z94" s="1044" t="str">
        <f t="shared" si="28"/>
        <v>.</v>
      </c>
      <c r="AA94" s="1044" t="str">
        <f t="shared" si="29"/>
        <v>.</v>
      </c>
      <c r="AB94" s="1044" t="str">
        <f t="shared" si="30"/>
        <v>.</v>
      </c>
      <c r="AC94" s="1044" t="str">
        <f t="shared" si="31"/>
        <v>.</v>
      </c>
      <c r="AD94" s="1045" t="str">
        <f t="shared" si="32"/>
        <v>.</v>
      </c>
      <c r="AE94" s="3"/>
      <c r="AF94" s="1055" t="str">
        <f t="shared" si="33"/>
        <v>.</v>
      </c>
      <c r="AG94" s="258" t="str">
        <f t="shared" si="34"/>
        <v>.</v>
      </c>
      <c r="AH94" s="258" t="str">
        <f t="shared" si="35"/>
        <v>.</v>
      </c>
      <c r="AI94" s="258" t="str">
        <f t="shared" si="36"/>
        <v>.</v>
      </c>
      <c r="AJ94" s="258" t="str">
        <f t="shared" si="37"/>
        <v>.</v>
      </c>
      <c r="AK94" s="258" t="str">
        <f t="shared" si="38"/>
        <v>.</v>
      </c>
      <c r="AL94" s="1056" t="str">
        <f t="shared" si="39"/>
        <v>.</v>
      </c>
      <c r="AM94" s="3"/>
      <c r="AN94" s="1043" t="str">
        <f>IF(X94=".",".",SUM($X94:X94))</f>
        <v>.</v>
      </c>
      <c r="AO94" s="1044" t="str">
        <f>IF(Y94=".",".",SUM($X94:Y94))</f>
        <v>.</v>
      </c>
      <c r="AP94" s="1044" t="str">
        <f>IF(Z94=".",".",SUM($X94:Z94))</f>
        <v>.</v>
      </c>
      <c r="AQ94" s="1044" t="str">
        <f>IF(AA94=".",".",SUM($X94:AA94))</f>
        <v>.</v>
      </c>
      <c r="AR94" s="1044" t="str">
        <f>IF(AB94=".",".",SUM($X94:AB94))</f>
        <v>.</v>
      </c>
      <c r="AS94" s="1044" t="str">
        <f>IF(AC94=".",".",SUM($X94:AC94))</f>
        <v>.</v>
      </c>
      <c r="AT94" s="1045" t="str">
        <f>IF(AD94=".",".",SUM($X94:AD94))</f>
        <v>.</v>
      </c>
      <c r="AU94" s="3"/>
      <c r="AV94" s="1055" t="str">
        <f t="shared" si="40"/>
        <v>.</v>
      </c>
      <c r="AW94" s="258" t="str">
        <f t="shared" si="41"/>
        <v>.</v>
      </c>
      <c r="AX94" s="258" t="str">
        <f t="shared" si="42"/>
        <v>.</v>
      </c>
      <c r="AY94" s="258" t="str">
        <f t="shared" si="43"/>
        <v>.</v>
      </c>
      <c r="AZ94" s="258" t="str">
        <f t="shared" si="44"/>
        <v>.</v>
      </c>
      <c r="BA94" s="258" t="str">
        <f t="shared" si="45"/>
        <v>.</v>
      </c>
      <c r="BB94" s="1056" t="str">
        <f t="shared" si="46"/>
        <v>.</v>
      </c>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row>
    <row r="95" spans="1:145" x14ac:dyDescent="0.2">
      <c r="A95" s="620"/>
      <c r="B95" s="1002" t="str">
        <f t="shared" si="50"/>
        <v>Mining</v>
      </c>
      <c r="C95" s="1008" t="str">
        <f>IF('WS3 - Notional General Income'!C88="","",'WS3 - Notional General Income'!C88)</f>
        <v/>
      </c>
      <c r="D95" s="1009" t="s">
        <v>687</v>
      </c>
      <c r="E95" s="1000"/>
      <c r="F95" s="1000"/>
      <c r="G95" s="1000"/>
      <c r="H95" s="1000"/>
      <c r="I95" s="1000"/>
      <c r="J95" s="1013"/>
      <c r="K95" s="1013"/>
      <c r="L95" s="1013"/>
      <c r="M95" s="1013"/>
      <c r="N95" s="1013"/>
      <c r="O95" s="1013"/>
      <c r="P95" s="1013"/>
      <c r="Q95" s="1011"/>
      <c r="R95" s="76"/>
      <c r="S95" s="3"/>
      <c r="T95" s="299"/>
      <c r="U95" s="568"/>
      <c r="V95" s="1035"/>
      <c r="W95" s="3"/>
      <c r="X95" s="1046" t="str">
        <f t="shared" si="26"/>
        <v>.</v>
      </c>
      <c r="Y95" s="1047" t="str">
        <f t="shared" si="27"/>
        <v>.</v>
      </c>
      <c r="Z95" s="1047" t="str">
        <f t="shared" si="28"/>
        <v>.</v>
      </c>
      <c r="AA95" s="1047" t="str">
        <f t="shared" si="29"/>
        <v>.</v>
      </c>
      <c r="AB95" s="1047" t="str">
        <f t="shared" si="30"/>
        <v>.</v>
      </c>
      <c r="AC95" s="1047" t="str">
        <f t="shared" si="31"/>
        <v>.</v>
      </c>
      <c r="AD95" s="1048" t="str">
        <f t="shared" si="32"/>
        <v>.</v>
      </c>
      <c r="AE95" s="344"/>
      <c r="AF95" s="1057" t="str">
        <f t="shared" si="33"/>
        <v>.</v>
      </c>
      <c r="AG95" s="1054" t="str">
        <f t="shared" si="34"/>
        <v>.</v>
      </c>
      <c r="AH95" s="1054" t="str">
        <f t="shared" si="35"/>
        <v>.</v>
      </c>
      <c r="AI95" s="1054" t="str">
        <f t="shared" si="36"/>
        <v>.</v>
      </c>
      <c r="AJ95" s="1054" t="str">
        <f t="shared" si="37"/>
        <v>.</v>
      </c>
      <c r="AK95" s="1054" t="str">
        <f t="shared" si="38"/>
        <v>.</v>
      </c>
      <c r="AL95" s="1058" t="str">
        <f t="shared" si="39"/>
        <v>.</v>
      </c>
      <c r="AM95" s="140"/>
      <c r="AN95" s="1046" t="str">
        <f>IF(X95=".",".",SUM($X95:X95))</f>
        <v>.</v>
      </c>
      <c r="AO95" s="1047" t="str">
        <f>IF(Y95=".",".",SUM($X95:Y95))</f>
        <v>.</v>
      </c>
      <c r="AP95" s="1047" t="str">
        <f>IF(Z95=".",".",SUM($X95:Z95))</f>
        <v>.</v>
      </c>
      <c r="AQ95" s="1047" t="str">
        <f>IF(AA95=".",".",SUM($X95:AA95))</f>
        <v>.</v>
      </c>
      <c r="AR95" s="1047" t="str">
        <f>IF(AB95=".",".",SUM($X95:AB95))</f>
        <v>.</v>
      </c>
      <c r="AS95" s="1047" t="str">
        <f>IF(AC95=".",".",SUM($X95:AC95))</f>
        <v>.</v>
      </c>
      <c r="AT95" s="1048" t="str">
        <f>IF(AD95=".",".",SUM($X95:AD95))</f>
        <v>.</v>
      </c>
      <c r="AU95" s="140"/>
      <c r="AV95" s="1057" t="str">
        <f t="shared" si="40"/>
        <v>.</v>
      </c>
      <c r="AW95" s="1054" t="str">
        <f t="shared" si="41"/>
        <v>.</v>
      </c>
      <c r="AX95" s="1054" t="str">
        <f t="shared" si="42"/>
        <v>.</v>
      </c>
      <c r="AY95" s="1054" t="str">
        <f t="shared" si="43"/>
        <v>.</v>
      </c>
      <c r="AZ95" s="1054" t="str">
        <f t="shared" si="44"/>
        <v>.</v>
      </c>
      <c r="BA95" s="1054" t="str">
        <f t="shared" si="45"/>
        <v>.</v>
      </c>
      <c r="BB95" s="1058" t="str">
        <f t="shared" si="46"/>
        <v>.</v>
      </c>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row>
    <row r="96" spans="1:145" ht="12" customHeight="1" x14ac:dyDescent="0.2">
      <c r="A96" s="620"/>
      <c r="B96" s="3"/>
      <c r="C96" s="15"/>
      <c r="D96" s="15"/>
      <c r="E96" s="15"/>
      <c r="F96" s="15"/>
      <c r="G96" s="15"/>
      <c r="H96" s="15"/>
      <c r="I96" s="15"/>
      <c r="J96" s="16"/>
      <c r="K96" s="16"/>
      <c r="L96" s="3"/>
      <c r="M96" s="3"/>
      <c r="N96" s="3"/>
      <c r="O96" s="3"/>
      <c r="P96" s="3"/>
      <c r="Q96" s="3"/>
      <c r="R96" s="76"/>
      <c r="S96" s="3"/>
      <c r="T96" s="299"/>
      <c r="U96" s="568"/>
      <c r="V96" s="1035"/>
      <c r="W96" s="3"/>
      <c r="X96" s="95"/>
      <c r="Y96" s="95"/>
      <c r="Z96" s="95"/>
      <c r="AA96" s="95"/>
      <c r="AB96" s="95"/>
      <c r="AC96" s="95"/>
      <c r="AD96" s="95"/>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row>
    <row r="97" spans="1:91" x14ac:dyDescent="0.2">
      <c r="A97" s="620"/>
      <c r="B97" s="2"/>
      <c r="C97" s="3"/>
      <c r="D97" s="3"/>
      <c r="E97" s="3"/>
      <c r="F97" s="3"/>
      <c r="G97" s="3"/>
      <c r="H97" s="3"/>
      <c r="I97" s="3"/>
      <c r="J97" s="16"/>
      <c r="K97" s="16"/>
      <c r="L97" s="3"/>
      <c r="M97" s="3"/>
      <c r="N97" s="3"/>
      <c r="O97" s="3"/>
      <c r="P97" s="3"/>
      <c r="Q97" s="3"/>
      <c r="R97" s="76"/>
      <c r="S97" s="3"/>
      <c r="T97" s="299"/>
      <c r="U97" s="568"/>
      <c r="V97" s="1035"/>
      <c r="W97" s="3"/>
      <c r="X97" s="2"/>
      <c r="Y97" s="388"/>
      <c r="Z97" s="3"/>
      <c r="AA97" s="3"/>
      <c r="AB97" s="3"/>
      <c r="AC97" s="3"/>
      <c r="AD97" s="3"/>
      <c r="AE97" s="3"/>
      <c r="AF97" s="2"/>
      <c r="AG97" s="3"/>
      <c r="AH97" s="3"/>
      <c r="AI97" s="3"/>
      <c r="AJ97" s="3"/>
      <c r="AK97" s="3"/>
      <c r="AL97" s="3"/>
      <c r="AM97" s="3"/>
      <c r="AN97" s="2"/>
      <c r="AO97" s="3"/>
      <c r="AP97" s="3"/>
      <c r="AQ97" s="52"/>
      <c r="AR97" s="3"/>
      <c r="AS97" s="3"/>
      <c r="AT97" s="3"/>
      <c r="AU97" s="3"/>
      <c r="AV97" s="2"/>
      <c r="AW97" s="3"/>
      <c r="AX97" s="3"/>
      <c r="AY97" s="3"/>
      <c r="AZ97" s="3"/>
      <c r="BA97" s="3"/>
      <c r="BB97" s="3"/>
      <c r="BC97" s="3"/>
      <c r="BD97" s="3"/>
      <c r="BE97" s="3"/>
      <c r="BF97" s="3"/>
      <c r="BG97" s="3"/>
      <c r="BH97" s="3"/>
      <c r="BI97" s="3"/>
      <c r="BJ97" s="3"/>
      <c r="BK97" s="3"/>
    </row>
    <row r="98" spans="1:91" ht="12.75" x14ac:dyDescent="0.2">
      <c r="A98" s="620">
        <f>A25+1</f>
        <v>2</v>
      </c>
      <c r="B98" s="461" t="str">
        <f>"Table "&amp;A1&amp;"."&amp;A98&amp;": Average Ordinary and Special Rates - with proposed special variation"</f>
        <v>Table 7.2: Average Ordinary and Special Rates - with proposed special variation</v>
      </c>
      <c r="C98" s="3"/>
      <c r="D98" s="3"/>
      <c r="E98" s="3"/>
      <c r="F98" s="3"/>
      <c r="G98" s="3"/>
      <c r="H98" s="3"/>
      <c r="I98" s="3"/>
      <c r="J98" s="16"/>
      <c r="K98" s="16"/>
      <c r="L98" s="63"/>
      <c r="M98" s="629"/>
      <c r="N98" s="630"/>
      <c r="O98" s="63"/>
      <c r="P98" s="63"/>
      <c r="Q98" s="63"/>
      <c r="R98" s="76"/>
      <c r="S98" s="3"/>
      <c r="T98" s="299"/>
      <c r="U98" s="568"/>
      <c r="V98" s="1035"/>
      <c r="W98" s="3"/>
      <c r="X98" s="208" t="str">
        <f>X$25</f>
        <v>Annual increases (nominal $ per year)</v>
      </c>
      <c r="Y98" s="3"/>
      <c r="Z98" s="3"/>
      <c r="AA98" s="3"/>
      <c r="AB98" s="3"/>
      <c r="AC98" s="3"/>
      <c r="AD98" s="3"/>
      <c r="AE98" s="3"/>
      <c r="AF98" s="208" t="str">
        <f>AF$25</f>
        <v>Annual increases (%)</v>
      </c>
      <c r="AG98" s="3"/>
      <c r="AH98" s="3"/>
      <c r="AI98" s="3"/>
      <c r="AJ98" s="3"/>
      <c r="AK98" s="3"/>
      <c r="AL98" s="3"/>
      <c r="AM98" s="3"/>
      <c r="AN98" s="208" t="str">
        <f>AN$25</f>
        <v>Cumulative increases (nominal $ per year)</v>
      </c>
      <c r="AO98" s="3"/>
      <c r="AP98" s="3"/>
      <c r="AQ98" s="3"/>
      <c r="AR98" s="3"/>
      <c r="AS98" s="3"/>
      <c r="AT98" s="3"/>
      <c r="AU98" s="3"/>
      <c r="AV98" s="208" t="str">
        <f>AV$25</f>
        <v>Cumulative increases (%)</v>
      </c>
      <c r="AW98" s="3"/>
      <c r="AX98" s="3"/>
      <c r="AY98" s="3"/>
      <c r="AZ98" s="3"/>
      <c r="BA98" s="3"/>
      <c r="BB98" s="3"/>
      <c r="BC98" s="3"/>
      <c r="BD98" s="3"/>
      <c r="BE98" s="3"/>
      <c r="BF98" s="3"/>
      <c r="BG98" s="3"/>
      <c r="BH98" s="3"/>
      <c r="BI98" s="3"/>
      <c r="BJ98" s="3"/>
      <c r="BK98" s="3"/>
    </row>
    <row r="99" spans="1:91" ht="39" customHeight="1" x14ac:dyDescent="0.2">
      <c r="A99" s="620"/>
      <c r="B99" s="1020" t="s">
        <v>675</v>
      </c>
      <c r="C99" s="1003" t="s">
        <v>676</v>
      </c>
      <c r="D99" s="1003"/>
      <c r="E99" s="1003"/>
      <c r="F99" s="1003"/>
      <c r="G99" s="1003"/>
      <c r="H99" s="1003"/>
      <c r="I99" s="1003"/>
      <c r="J99" s="1014" t="s">
        <v>688</v>
      </c>
      <c r="K99" s="1014" t="s">
        <v>689</v>
      </c>
      <c r="L99" s="1014" t="s">
        <v>690</v>
      </c>
      <c r="M99" s="1014" t="s">
        <v>691</v>
      </c>
      <c r="N99" s="1014" t="s">
        <v>692</v>
      </c>
      <c r="O99" s="1014" t="s">
        <v>693</v>
      </c>
      <c r="P99" s="1014" t="s">
        <v>694</v>
      </c>
      <c r="Q99" s="1014" t="s">
        <v>695</v>
      </c>
      <c r="R99" s="76"/>
      <c r="S99" s="76"/>
      <c r="T99" s="1049" t="str">
        <f>'WS3 - Notional General Income'!$D20</f>
        <v>Number of Assessments</v>
      </c>
      <c r="U99" s="667"/>
      <c r="V99" s="1035"/>
      <c r="W99" s="76"/>
      <c r="X99" s="681" t="s">
        <v>696</v>
      </c>
      <c r="Y99" s="695"/>
      <c r="Z99" s="695"/>
      <c r="AA99" s="695"/>
      <c r="AB99" s="695"/>
      <c r="AC99" s="695"/>
      <c r="AD99" s="1050"/>
      <c r="AE99" s="3"/>
      <c r="AF99" s="1049" t="str">
        <f>$X99</f>
        <v>Average Rates - with proposed special variation</v>
      </c>
      <c r="AG99" s="695"/>
      <c r="AH99" s="695"/>
      <c r="AI99" s="695"/>
      <c r="AJ99" s="695"/>
      <c r="AK99" s="695"/>
      <c r="AL99" s="1050"/>
      <c r="AM99" s="3"/>
      <c r="AN99" s="1049" t="str">
        <f>$X99</f>
        <v>Average Rates - with proposed special variation</v>
      </c>
      <c r="AO99" s="695"/>
      <c r="AP99" s="695"/>
      <c r="AQ99" s="695"/>
      <c r="AR99" s="695"/>
      <c r="AS99" s="695"/>
      <c r="AT99" s="1050"/>
      <c r="AU99" s="3"/>
      <c r="AV99" s="1049" t="str">
        <f>$X99</f>
        <v>Average Rates - with proposed special variation</v>
      </c>
      <c r="AW99" s="695"/>
      <c r="AX99" s="695"/>
      <c r="AY99" s="695"/>
      <c r="AZ99" s="695"/>
      <c r="BA99" s="695"/>
      <c r="BB99" s="1050"/>
      <c r="BC99" s="76"/>
      <c r="BD99" s="76"/>
      <c r="BE99" s="76"/>
      <c r="BF99" s="76"/>
      <c r="BG99" s="76"/>
      <c r="BH99" s="76"/>
      <c r="BI99" s="3"/>
      <c r="BJ99" s="3"/>
      <c r="BK99" s="3"/>
    </row>
    <row r="100" spans="1:91" x14ac:dyDescent="0.2">
      <c r="A100" s="620"/>
      <c r="B100" s="776"/>
      <c r="C100" s="776"/>
      <c r="D100" s="776"/>
      <c r="E100" s="1005"/>
      <c r="F100" s="1005"/>
      <c r="G100" s="1005"/>
      <c r="H100" s="1005"/>
      <c r="I100" s="290"/>
      <c r="J100" s="1018" t="str">
        <f t="shared" ref="J100:Q100" si="51">J27</f>
        <v>2023-24</v>
      </c>
      <c r="K100" s="1018" t="str">
        <f t="shared" si="51"/>
        <v>2024-25</v>
      </c>
      <c r="L100" s="1018" t="str">
        <f t="shared" si="51"/>
        <v>2025-26</v>
      </c>
      <c r="M100" s="1018" t="str">
        <f t="shared" si="51"/>
        <v>2026-27</v>
      </c>
      <c r="N100" s="1018" t="str">
        <f t="shared" si="51"/>
        <v>2027-28</v>
      </c>
      <c r="O100" s="1018" t="str">
        <f t="shared" si="51"/>
        <v>2028-29</v>
      </c>
      <c r="P100" s="1018" t="str">
        <f t="shared" si="51"/>
        <v>2029-30</v>
      </c>
      <c r="Q100" s="1018" t="str">
        <f t="shared" si="51"/>
        <v>2030-31</v>
      </c>
      <c r="R100" s="76"/>
      <c r="S100" s="3"/>
      <c r="T100" s="1059" t="str">
        <f>J100</f>
        <v>2023-24</v>
      </c>
      <c r="U100" s="1060" t="str">
        <f>K100</f>
        <v>2024-25</v>
      </c>
      <c r="V100" s="1035"/>
      <c r="W100" s="3"/>
      <c r="X100" s="1039" t="str">
        <f>X$27</f>
        <v>Year 1</v>
      </c>
      <c r="Y100" s="257" t="str">
        <f t="shared" ref="Y100:AD100" si="52">Y$27</f>
        <v>Year 2</v>
      </c>
      <c r="Z100" s="257" t="str">
        <f t="shared" si="52"/>
        <v>Year 3</v>
      </c>
      <c r="AA100" s="257" t="str">
        <f t="shared" si="52"/>
        <v>Year 4</v>
      </c>
      <c r="AB100" s="257" t="str">
        <f t="shared" si="52"/>
        <v>Year 5</v>
      </c>
      <c r="AC100" s="257" t="str">
        <f t="shared" si="52"/>
        <v>Year 6</v>
      </c>
      <c r="AD100" s="1040" t="str">
        <f t="shared" si="52"/>
        <v>Year 7</v>
      </c>
      <c r="AE100" s="19"/>
      <c r="AF100" s="1051" t="str">
        <f t="shared" ref="AF100:AL100" si="53">AF$27</f>
        <v>Year 1</v>
      </c>
      <c r="AG100" s="1052" t="str">
        <f t="shared" si="53"/>
        <v>Year 2</v>
      </c>
      <c r="AH100" s="1052" t="str">
        <f t="shared" si="53"/>
        <v>Year 3</v>
      </c>
      <c r="AI100" s="1052" t="str">
        <f t="shared" si="53"/>
        <v>Year 4</v>
      </c>
      <c r="AJ100" s="1052" t="str">
        <f t="shared" si="53"/>
        <v>Year 5</v>
      </c>
      <c r="AK100" s="1052" t="str">
        <f t="shared" si="53"/>
        <v>Year 6</v>
      </c>
      <c r="AL100" s="1053" t="str">
        <f t="shared" si="53"/>
        <v>Year 7</v>
      </c>
      <c r="AM100" s="19"/>
      <c r="AN100" s="1051" t="str">
        <f>AN$27</f>
        <v>Year 1</v>
      </c>
      <c r="AO100" s="1052" t="str">
        <f t="shared" ref="AO100:AT100" si="54">AO$27</f>
        <v>Year 2</v>
      </c>
      <c r="AP100" s="1052" t="str">
        <f t="shared" si="54"/>
        <v>Year 3</v>
      </c>
      <c r="AQ100" s="1052" t="str">
        <f t="shared" si="54"/>
        <v>Year 4</v>
      </c>
      <c r="AR100" s="1052" t="str">
        <f t="shared" si="54"/>
        <v>Year 5</v>
      </c>
      <c r="AS100" s="1052" t="str">
        <f t="shared" si="54"/>
        <v>Year 6</v>
      </c>
      <c r="AT100" s="1053" t="str">
        <f t="shared" si="54"/>
        <v>Year 7</v>
      </c>
      <c r="AU100" s="19"/>
      <c r="AV100" s="1051" t="str">
        <f>AV$27</f>
        <v>Year 1</v>
      </c>
      <c r="AW100" s="1052" t="str">
        <f t="shared" ref="AW100:BB100" si="55">AW$27</f>
        <v>Year 2</v>
      </c>
      <c r="AX100" s="1052" t="str">
        <f t="shared" si="55"/>
        <v>Year 3</v>
      </c>
      <c r="AY100" s="1052" t="str">
        <f t="shared" si="55"/>
        <v>Year 4</v>
      </c>
      <c r="AZ100" s="1052" t="str">
        <f t="shared" si="55"/>
        <v>Year 5</v>
      </c>
      <c r="BA100" s="1052" t="str">
        <f t="shared" si="55"/>
        <v>Year 6</v>
      </c>
      <c r="BB100" s="1053" t="str">
        <f t="shared" si="55"/>
        <v>Year 7</v>
      </c>
      <c r="BC100" s="3"/>
      <c r="BD100" s="3"/>
      <c r="BE100" s="3"/>
      <c r="BF100" s="3"/>
      <c r="BG100" s="3"/>
      <c r="BH100" s="3"/>
      <c r="BI100" s="3"/>
      <c r="BJ100" s="3"/>
      <c r="BK100" s="3"/>
    </row>
    <row r="101" spans="1:91" x14ac:dyDescent="0.2">
      <c r="A101" s="620"/>
      <c r="B101" s="290" t="s">
        <v>579</v>
      </c>
      <c r="C101" s="1022" t="str">
        <f>IF('WS3 - Notional General Income'!C21="","",'WS3 - Notional General Income'!C21)</f>
        <v>Residential</v>
      </c>
      <c r="D101" s="1006" t="s">
        <v>687</v>
      </c>
      <c r="E101" s="1022"/>
      <c r="F101" s="1022"/>
      <c r="G101" s="1022"/>
      <c r="H101" s="1022"/>
      <c r="I101" s="1021"/>
      <c r="J101" s="1023">
        <f>IF('WS3 - Notional General Income'!L21=".",".",'WS3 - Notional General Income'!L21/'WS3 - Notional General Income'!D21)</f>
        <v>1087.8681447394329</v>
      </c>
      <c r="K101" s="1023">
        <f>IF('WS4 - Yr 1 YIELD'!L18=".",".",'WS4 - Yr 1 YIELD'!L18/'WS4 - Yr 1 YIELD'!D18)</f>
        <v>1251.0483664503479</v>
      </c>
      <c r="L101" s="1024">
        <v>1288.5798174438582</v>
      </c>
      <c r="M101" s="1024">
        <v>1327.2372119671743</v>
      </c>
      <c r="N101" s="1024">
        <v>1367.0543283261893</v>
      </c>
      <c r="O101" s="1024">
        <v>1408.0659581759751</v>
      </c>
      <c r="P101" s="1024">
        <v>1450.3079369212544</v>
      </c>
      <c r="Q101" s="1012">
        <v>1493.8171750288923</v>
      </c>
      <c r="R101" s="76"/>
      <c r="S101" s="3"/>
      <c r="T101" s="1028">
        <f>'WS3 - Notional General Income'!$D21</f>
        <v>29428</v>
      </c>
      <c r="U101" s="1029">
        <f>'WS4 - Yr 1 YIELD'!$D18</f>
        <v>29428</v>
      </c>
      <c r="V101" s="1035"/>
      <c r="W101" s="3"/>
      <c r="X101" s="1041">
        <f>IF(OR(J101=".",K101="."),".",K101-J101)</f>
        <v>163.18022171091502</v>
      </c>
      <c r="Y101" s="542">
        <f t="shared" ref="Y101:Y164" si="56">IF(OR(K101=".",L101="."),".",L101-K101)</f>
        <v>37.531450993510362</v>
      </c>
      <c r="Z101" s="542">
        <f t="shared" ref="Z101:Z132" si="57">IF(M101="",".",M101-L101)</f>
        <v>38.657394523316043</v>
      </c>
      <c r="AA101" s="542">
        <f t="shared" ref="AA101:AA132" si="58">IF(N101="",".",N101-M101)</f>
        <v>39.817116359015017</v>
      </c>
      <c r="AB101" s="542">
        <f t="shared" ref="AB101:AB132" si="59">IF(O101="",".",O101-N101)</f>
        <v>41.011629849785777</v>
      </c>
      <c r="AC101" s="542">
        <f t="shared" ref="AC101:AC132" si="60">IF(P101="",".",P101-O101)</f>
        <v>42.241978745279312</v>
      </c>
      <c r="AD101" s="1042">
        <f t="shared" ref="AD101:AD132" si="61">IF(Q101="",".",Q101-P101)</f>
        <v>43.509238107637884</v>
      </c>
      <c r="AE101" s="3"/>
      <c r="AF101" s="1055">
        <f t="shared" ref="AF101:AF104" si="62">IFERROR(K101/J101-1,".")</f>
        <v>0.15000000000000013</v>
      </c>
      <c r="AG101" s="258">
        <f t="shared" ref="AG101:AG164" si="63">IFERROR(L101/K101-1,".")</f>
        <v>3.0000000000000027E-2</v>
      </c>
      <c r="AH101" s="258">
        <f t="shared" ref="AH101:AH131" si="64">IFERROR(M101/L101-1,".")</f>
        <v>3.0000000000000249E-2</v>
      </c>
      <c r="AI101" s="258">
        <f t="shared" ref="AI101:AI164" si="65">IFERROR(N101/M101-1,".")</f>
        <v>2.9999999999999805E-2</v>
      </c>
      <c r="AJ101" s="258">
        <f t="shared" ref="AJ101:AJ164" si="66">IFERROR(O101/N101-1,".")</f>
        <v>3.0000000000000027E-2</v>
      </c>
      <c r="AK101" s="258">
        <f t="shared" ref="AK101:AK164" si="67">IFERROR(P101/O101-1,".")</f>
        <v>3.0000000000000027E-2</v>
      </c>
      <c r="AL101" s="1056">
        <f t="shared" ref="AL101:AL164" si="68">IFERROR(Q101/P101-1,".")</f>
        <v>3.0000000000000249E-2</v>
      </c>
      <c r="AM101" s="3"/>
      <c r="AN101" s="1139">
        <f>IF(X101=".",".",SUM($X101:X101))</f>
        <v>163.18022171091502</v>
      </c>
      <c r="AO101" s="1140">
        <f>IF(Y101=".",".",SUM($X101:Y101))</f>
        <v>200.71167270442538</v>
      </c>
      <c r="AP101" s="1140">
        <f>IF(Z101=".",".",SUM($X101:Z101))</f>
        <v>239.36906722774143</v>
      </c>
      <c r="AQ101" s="1140">
        <f>IF(AA101=".",".",SUM($X101:AA101))</f>
        <v>279.18618358675644</v>
      </c>
      <c r="AR101" s="1140">
        <f>IF(AB101=".",".",SUM($X101:AB101))</f>
        <v>320.19781343654222</v>
      </c>
      <c r="AS101" s="1140">
        <f>IF(AC101=".",".",SUM($X101:AC101))</f>
        <v>362.43979218182153</v>
      </c>
      <c r="AT101" s="1141">
        <f>IF(AD101=".",".",SUM($X101:AD101))</f>
        <v>405.94903028945942</v>
      </c>
      <c r="AU101" s="3"/>
      <c r="AV101" s="1055">
        <f>IFERROR(K101/$J101-1,".")</f>
        <v>0.15000000000000013</v>
      </c>
      <c r="AW101" s="258">
        <f t="shared" ref="AW101:AW164" si="69">IFERROR(L101/$J101-1,".")</f>
        <v>0.18450000000000011</v>
      </c>
      <c r="AX101" s="258">
        <f t="shared" ref="AX101:AX164" si="70">IFERROR(M101/$J101-1,".")</f>
        <v>0.2200350000000002</v>
      </c>
      <c r="AY101" s="258">
        <f t="shared" ref="AY101:AY164" si="71">IFERROR(N101/$J101-1,".")</f>
        <v>0.25663605</v>
      </c>
      <c r="AZ101" s="258">
        <f t="shared" ref="AZ101:AZ164" si="72">IFERROR(O101/$J101-1,".")</f>
        <v>0.29433513150000024</v>
      </c>
      <c r="BA101" s="258">
        <f t="shared" ref="BA101:BA164" si="73">IFERROR(P101/$J101-1,".")</f>
        <v>0.33316518544500018</v>
      </c>
      <c r="BB101" s="1056">
        <f t="shared" ref="BB101:BB164" si="74">IFERROR(Q101/$J101-1,".")</f>
        <v>0.37316014100835049</v>
      </c>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row>
    <row r="102" spans="1:91" x14ac:dyDescent="0.2">
      <c r="A102" s="620"/>
      <c r="B102" s="290" t="s">
        <v>579</v>
      </c>
      <c r="C102" s="1022" t="str">
        <f>IF('WS3 - Notional General Income'!C22="","",'WS3 - Notional General Income'!C22)</f>
        <v/>
      </c>
      <c r="D102" s="1006" t="s">
        <v>687</v>
      </c>
      <c r="E102" s="1022"/>
      <c r="F102" s="1022"/>
      <c r="G102" s="1022"/>
      <c r="H102" s="1022"/>
      <c r="I102" s="1022"/>
      <c r="J102" s="1023" t="str">
        <f>IF('WS3 - Notional General Income'!L22=".",".",'WS3 - Notional General Income'!L22/'WS3 - Notional General Income'!D22)</f>
        <v>.</v>
      </c>
      <c r="K102" s="1023" t="str">
        <f>IF('WS4 - Yr 1 YIELD'!L19=".",".",'WS4 - Yr 1 YIELD'!L19/'WS4 - Yr 1 YIELD'!D19)</f>
        <v>.</v>
      </c>
      <c r="L102" s="1024"/>
      <c r="M102" s="1024"/>
      <c r="N102" s="1024"/>
      <c r="O102" s="1024"/>
      <c r="P102" s="1024"/>
      <c r="Q102" s="1012"/>
      <c r="R102" s="76"/>
      <c r="S102" s="3"/>
      <c r="T102" s="1028">
        <f>'WS3 - Notional General Income'!$D22</f>
        <v>0</v>
      </c>
      <c r="U102" s="1029">
        <f>'WS4 - Yr 1 YIELD'!$D19</f>
        <v>0</v>
      </c>
      <c r="V102" s="1035"/>
      <c r="W102" s="3"/>
      <c r="X102" s="1043" t="str">
        <f t="shared" ref="X102:X165" si="75">IF(OR(J102=".",K102="."),".",K102-J102)</f>
        <v>.</v>
      </c>
      <c r="Y102" s="1044" t="str">
        <f t="shared" si="56"/>
        <v>.</v>
      </c>
      <c r="Z102" s="1044" t="str">
        <f t="shared" si="57"/>
        <v>.</v>
      </c>
      <c r="AA102" s="1044" t="str">
        <f t="shared" si="58"/>
        <v>.</v>
      </c>
      <c r="AB102" s="1044" t="str">
        <f t="shared" si="59"/>
        <v>.</v>
      </c>
      <c r="AC102" s="1044" t="str">
        <f t="shared" si="60"/>
        <v>.</v>
      </c>
      <c r="AD102" s="1045" t="str">
        <f t="shared" si="61"/>
        <v>.</v>
      </c>
      <c r="AE102" s="3"/>
      <c r="AF102" s="1055" t="str">
        <f t="shared" si="62"/>
        <v>.</v>
      </c>
      <c r="AG102" s="258" t="str">
        <f t="shared" si="63"/>
        <v>.</v>
      </c>
      <c r="AH102" s="258" t="str">
        <f t="shared" si="64"/>
        <v>.</v>
      </c>
      <c r="AI102" s="258" t="str">
        <f t="shared" si="65"/>
        <v>.</v>
      </c>
      <c r="AJ102" s="258" t="str">
        <f t="shared" si="66"/>
        <v>.</v>
      </c>
      <c r="AK102" s="258" t="str">
        <f t="shared" si="67"/>
        <v>.</v>
      </c>
      <c r="AL102" s="1056" t="str">
        <f t="shared" si="68"/>
        <v>.</v>
      </c>
      <c r="AM102" s="3"/>
      <c r="AN102" s="1139" t="str">
        <f>IF(X102=".",".",SUM($X102:X102))</f>
        <v>.</v>
      </c>
      <c r="AO102" s="1140" t="str">
        <f>IF(Y102=".",".",SUM($X102:Y102))</f>
        <v>.</v>
      </c>
      <c r="AP102" s="1140" t="str">
        <f>IF(Z102=".",".",SUM($X102:Z102))</f>
        <v>.</v>
      </c>
      <c r="AQ102" s="1140" t="str">
        <f>IF(AA102=".",".",SUM($X102:AA102))</f>
        <v>.</v>
      </c>
      <c r="AR102" s="1140" t="str">
        <f>IF(AB102=".",".",SUM($X102:AB102))</f>
        <v>.</v>
      </c>
      <c r="AS102" s="1140" t="str">
        <f>IF(AC102=".",".",SUM($X102:AC102))</f>
        <v>.</v>
      </c>
      <c r="AT102" s="1141" t="str">
        <f>IF(AD102=".",".",SUM($X102:AD102))</f>
        <v>.</v>
      </c>
      <c r="AU102" s="3"/>
      <c r="AV102" s="1055" t="str">
        <f t="shared" ref="AV102:AV165" si="76">IFERROR(K102/$J102-1,".")</f>
        <v>.</v>
      </c>
      <c r="AW102" s="258" t="str">
        <f t="shared" si="69"/>
        <v>.</v>
      </c>
      <c r="AX102" s="258" t="str">
        <f t="shared" si="70"/>
        <v>.</v>
      </c>
      <c r="AY102" s="258" t="str">
        <f t="shared" si="71"/>
        <v>.</v>
      </c>
      <c r="AZ102" s="258" t="str">
        <f t="shared" si="72"/>
        <v>.</v>
      </c>
      <c r="BA102" s="258" t="str">
        <f t="shared" si="73"/>
        <v>.</v>
      </c>
      <c r="BB102" s="1056" t="str">
        <f t="shared" si="74"/>
        <v>.</v>
      </c>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row>
    <row r="103" spans="1:91" x14ac:dyDescent="0.2">
      <c r="A103" s="620"/>
      <c r="B103" s="290" t="s">
        <v>579</v>
      </c>
      <c r="C103" s="1022" t="str">
        <f>IF('WS3 - Notional General Income'!C23="","",'WS3 - Notional General Income'!C23)</f>
        <v/>
      </c>
      <c r="D103" s="1006" t="s">
        <v>687</v>
      </c>
      <c r="E103" s="1022"/>
      <c r="F103" s="1022"/>
      <c r="G103" s="1022"/>
      <c r="H103" s="1022"/>
      <c r="I103" s="1022"/>
      <c r="J103" s="1023" t="str">
        <f>IF('WS3 - Notional General Income'!L23=".",".",'WS3 - Notional General Income'!L23/'WS3 - Notional General Income'!D23)</f>
        <v>.</v>
      </c>
      <c r="K103" s="1023" t="str">
        <f>IF('WS4 - Yr 1 YIELD'!L20=".",".",'WS4 - Yr 1 YIELD'!L20/'WS4 - Yr 1 YIELD'!D20)</f>
        <v>.</v>
      </c>
      <c r="L103" s="1024"/>
      <c r="M103" s="1024"/>
      <c r="N103" s="1024"/>
      <c r="O103" s="1024"/>
      <c r="P103" s="1024"/>
      <c r="Q103" s="1012"/>
      <c r="R103" s="76"/>
      <c r="S103" s="3"/>
      <c r="T103" s="1028">
        <f>'WS3 - Notional General Income'!$D23</f>
        <v>0</v>
      </c>
      <c r="U103" s="1029">
        <f>'WS4 - Yr 1 YIELD'!$D20</f>
        <v>0</v>
      </c>
      <c r="V103" s="1035"/>
      <c r="W103" s="3"/>
      <c r="X103" s="1043" t="str">
        <f t="shared" si="75"/>
        <v>.</v>
      </c>
      <c r="Y103" s="1044" t="str">
        <f t="shared" si="56"/>
        <v>.</v>
      </c>
      <c r="Z103" s="1044" t="str">
        <f t="shared" si="57"/>
        <v>.</v>
      </c>
      <c r="AA103" s="1044" t="str">
        <f t="shared" si="58"/>
        <v>.</v>
      </c>
      <c r="AB103" s="1044" t="str">
        <f t="shared" si="59"/>
        <v>.</v>
      </c>
      <c r="AC103" s="1044" t="str">
        <f t="shared" si="60"/>
        <v>.</v>
      </c>
      <c r="AD103" s="1045" t="str">
        <f t="shared" si="61"/>
        <v>.</v>
      </c>
      <c r="AE103" s="3"/>
      <c r="AF103" s="1055" t="str">
        <f t="shared" si="62"/>
        <v>.</v>
      </c>
      <c r="AG103" s="258" t="str">
        <f t="shared" si="63"/>
        <v>.</v>
      </c>
      <c r="AH103" s="258" t="str">
        <f t="shared" si="64"/>
        <v>.</v>
      </c>
      <c r="AI103" s="258" t="str">
        <f t="shared" si="65"/>
        <v>.</v>
      </c>
      <c r="AJ103" s="258" t="str">
        <f t="shared" si="66"/>
        <v>.</v>
      </c>
      <c r="AK103" s="258" t="str">
        <f t="shared" si="67"/>
        <v>.</v>
      </c>
      <c r="AL103" s="1056" t="str">
        <f t="shared" si="68"/>
        <v>.</v>
      </c>
      <c r="AM103" s="3"/>
      <c r="AN103" s="1139" t="str">
        <f>IF(X103=".",".",SUM($X103:X103))</f>
        <v>.</v>
      </c>
      <c r="AO103" s="1140" t="str">
        <f>IF(Y103=".",".",SUM($X103:Y103))</f>
        <v>.</v>
      </c>
      <c r="AP103" s="1140" t="str">
        <f>IF(Z103=".",".",SUM($X103:Z103))</f>
        <v>.</v>
      </c>
      <c r="AQ103" s="1140" t="str">
        <f>IF(AA103=".",".",SUM($X103:AA103))</f>
        <v>.</v>
      </c>
      <c r="AR103" s="1140" t="str">
        <f>IF(AB103=".",".",SUM($X103:AB103))</f>
        <v>.</v>
      </c>
      <c r="AS103" s="1140" t="str">
        <f>IF(AC103=".",".",SUM($X103:AC103))</f>
        <v>.</v>
      </c>
      <c r="AT103" s="1141" t="str">
        <f>IF(AD103=".",".",SUM($X103:AD103))</f>
        <v>.</v>
      </c>
      <c r="AU103" s="3"/>
      <c r="AV103" s="1055" t="str">
        <f t="shared" si="76"/>
        <v>.</v>
      </c>
      <c r="AW103" s="258" t="str">
        <f t="shared" si="69"/>
        <v>.</v>
      </c>
      <c r="AX103" s="258" t="str">
        <f t="shared" si="70"/>
        <v>.</v>
      </c>
      <c r="AY103" s="258" t="str">
        <f t="shared" si="71"/>
        <v>.</v>
      </c>
      <c r="AZ103" s="258" t="str">
        <f t="shared" si="72"/>
        <v>.</v>
      </c>
      <c r="BA103" s="258" t="str">
        <f t="shared" si="73"/>
        <v>.</v>
      </c>
      <c r="BB103" s="1056" t="str">
        <f t="shared" si="74"/>
        <v>.</v>
      </c>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row>
    <row r="104" spans="1:91" x14ac:dyDescent="0.2">
      <c r="A104" s="620"/>
      <c r="B104" s="290" t="s">
        <v>579</v>
      </c>
      <c r="C104" s="1022" t="str">
        <f>IF('WS3 - Notional General Income'!C24="","",'WS3 - Notional General Income'!C24)</f>
        <v/>
      </c>
      <c r="D104" s="1006" t="s">
        <v>687</v>
      </c>
      <c r="E104" s="1022"/>
      <c r="F104" s="1022"/>
      <c r="G104" s="1022"/>
      <c r="H104" s="1022"/>
      <c r="I104" s="1022"/>
      <c r="J104" s="1023" t="str">
        <f>IF('WS3 - Notional General Income'!L24=".",".",'WS3 - Notional General Income'!L24/'WS3 - Notional General Income'!D24)</f>
        <v>.</v>
      </c>
      <c r="K104" s="1023" t="str">
        <f>IF('WS4 - Yr 1 YIELD'!L21=".",".",'WS4 - Yr 1 YIELD'!L21/'WS4 - Yr 1 YIELD'!D21)</f>
        <v>.</v>
      </c>
      <c r="L104" s="1024"/>
      <c r="M104" s="1024"/>
      <c r="N104" s="1024"/>
      <c r="O104" s="1024"/>
      <c r="P104" s="1024"/>
      <c r="Q104" s="1012"/>
      <c r="R104" s="76"/>
      <c r="S104" s="3"/>
      <c r="T104" s="1028">
        <f>'WS3 - Notional General Income'!$D24</f>
        <v>0</v>
      </c>
      <c r="U104" s="1029">
        <f>'WS4 - Yr 1 YIELD'!$D21</f>
        <v>0</v>
      </c>
      <c r="V104" s="1035"/>
      <c r="W104" s="3"/>
      <c r="X104" s="1043" t="str">
        <f t="shared" si="75"/>
        <v>.</v>
      </c>
      <c r="Y104" s="1044" t="str">
        <f t="shared" si="56"/>
        <v>.</v>
      </c>
      <c r="Z104" s="1044" t="str">
        <f t="shared" si="57"/>
        <v>.</v>
      </c>
      <c r="AA104" s="1044" t="str">
        <f t="shared" si="58"/>
        <v>.</v>
      </c>
      <c r="AB104" s="1044" t="str">
        <f t="shared" si="59"/>
        <v>.</v>
      </c>
      <c r="AC104" s="1044" t="str">
        <f t="shared" si="60"/>
        <v>.</v>
      </c>
      <c r="AD104" s="1045" t="str">
        <f t="shared" si="61"/>
        <v>.</v>
      </c>
      <c r="AE104" s="3"/>
      <c r="AF104" s="1055" t="str">
        <f t="shared" si="62"/>
        <v>.</v>
      </c>
      <c r="AG104" s="258" t="str">
        <f t="shared" si="63"/>
        <v>.</v>
      </c>
      <c r="AH104" s="258" t="str">
        <f t="shared" si="64"/>
        <v>.</v>
      </c>
      <c r="AI104" s="258" t="str">
        <f t="shared" si="65"/>
        <v>.</v>
      </c>
      <c r="AJ104" s="258" t="str">
        <f t="shared" si="66"/>
        <v>.</v>
      </c>
      <c r="AK104" s="258" t="str">
        <f t="shared" si="67"/>
        <v>.</v>
      </c>
      <c r="AL104" s="1056" t="str">
        <f t="shared" si="68"/>
        <v>.</v>
      </c>
      <c r="AM104" s="3"/>
      <c r="AN104" s="1139" t="str">
        <f>IF(X104=".",".",SUM($X104:X104))</f>
        <v>.</v>
      </c>
      <c r="AO104" s="1140" t="str">
        <f>IF(Y104=".",".",SUM($X104:Y104))</f>
        <v>.</v>
      </c>
      <c r="AP104" s="1140" t="str">
        <f>IF(Z104=".",".",SUM($X104:Z104))</f>
        <v>.</v>
      </c>
      <c r="AQ104" s="1140" t="str">
        <f>IF(AA104=".",".",SUM($X104:AA104))</f>
        <v>.</v>
      </c>
      <c r="AR104" s="1140" t="str">
        <f>IF(AB104=".",".",SUM($X104:AB104))</f>
        <v>.</v>
      </c>
      <c r="AS104" s="1140" t="str">
        <f>IF(AC104=".",".",SUM($X104:AC104))</f>
        <v>.</v>
      </c>
      <c r="AT104" s="1141" t="str">
        <f>IF(AD104=".",".",SUM($X104:AD104))</f>
        <v>.</v>
      </c>
      <c r="AU104" s="3"/>
      <c r="AV104" s="1055" t="str">
        <f t="shared" si="76"/>
        <v>.</v>
      </c>
      <c r="AW104" s="258" t="str">
        <f t="shared" si="69"/>
        <v>.</v>
      </c>
      <c r="AX104" s="258" t="str">
        <f t="shared" si="70"/>
        <v>.</v>
      </c>
      <c r="AY104" s="258" t="str">
        <f t="shared" si="71"/>
        <v>.</v>
      </c>
      <c r="AZ104" s="258" t="str">
        <f t="shared" si="72"/>
        <v>.</v>
      </c>
      <c r="BA104" s="258" t="str">
        <f t="shared" si="73"/>
        <v>.</v>
      </c>
      <c r="BB104" s="1056" t="str">
        <f t="shared" si="74"/>
        <v>.</v>
      </c>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row>
    <row r="105" spans="1:91" x14ac:dyDescent="0.2">
      <c r="A105" s="620"/>
      <c r="B105" s="290" t="s">
        <v>579</v>
      </c>
      <c r="C105" s="1022" t="str">
        <f>IF('WS3 - Notional General Income'!C25="","",'WS3 - Notional General Income'!C25)</f>
        <v/>
      </c>
      <c r="D105" s="1006" t="s">
        <v>687</v>
      </c>
      <c r="E105" s="1022"/>
      <c r="F105" s="1022"/>
      <c r="G105" s="1022"/>
      <c r="H105" s="1022"/>
      <c r="I105" s="1022"/>
      <c r="J105" s="1023" t="str">
        <f>IF('WS3 - Notional General Income'!L25=".",".",'WS3 - Notional General Income'!L25/'WS3 - Notional General Income'!D25)</f>
        <v>.</v>
      </c>
      <c r="K105" s="1023" t="str">
        <f>IF('WS4 - Yr 1 YIELD'!L22=".",".",'WS4 - Yr 1 YIELD'!L22/'WS4 - Yr 1 YIELD'!D22)</f>
        <v>.</v>
      </c>
      <c r="L105" s="1024"/>
      <c r="M105" s="1024"/>
      <c r="N105" s="1024"/>
      <c r="O105" s="1024"/>
      <c r="P105" s="1024"/>
      <c r="Q105" s="1012"/>
      <c r="R105" s="76"/>
      <c r="S105" s="3"/>
      <c r="T105" s="1028">
        <f>'WS3 - Notional General Income'!$D25</f>
        <v>0</v>
      </c>
      <c r="U105" s="1029">
        <f>'WS4 - Yr 1 YIELD'!$D22</f>
        <v>0</v>
      </c>
      <c r="V105" s="1035"/>
      <c r="W105" s="3"/>
      <c r="X105" s="1043" t="str">
        <f t="shared" si="75"/>
        <v>.</v>
      </c>
      <c r="Y105" s="1044" t="str">
        <f t="shared" si="56"/>
        <v>.</v>
      </c>
      <c r="Z105" s="1044" t="str">
        <f t="shared" si="57"/>
        <v>.</v>
      </c>
      <c r="AA105" s="1044" t="str">
        <f t="shared" si="58"/>
        <v>.</v>
      </c>
      <c r="AB105" s="1044" t="str">
        <f t="shared" si="59"/>
        <v>.</v>
      </c>
      <c r="AC105" s="1044" t="str">
        <f t="shared" si="60"/>
        <v>.</v>
      </c>
      <c r="AD105" s="1045" t="str">
        <f t="shared" si="61"/>
        <v>.</v>
      </c>
      <c r="AE105" s="3"/>
      <c r="AF105" s="1055" t="str">
        <f>IFERROR(K105/J105-1,".")</f>
        <v>.</v>
      </c>
      <c r="AG105" s="258" t="str">
        <f t="shared" si="63"/>
        <v>.</v>
      </c>
      <c r="AH105" s="258" t="str">
        <f t="shared" si="64"/>
        <v>.</v>
      </c>
      <c r="AI105" s="258" t="str">
        <f t="shared" si="65"/>
        <v>.</v>
      </c>
      <c r="AJ105" s="258" t="str">
        <f t="shared" si="66"/>
        <v>.</v>
      </c>
      <c r="AK105" s="258" t="str">
        <f t="shared" si="67"/>
        <v>.</v>
      </c>
      <c r="AL105" s="1056" t="str">
        <f t="shared" si="68"/>
        <v>.</v>
      </c>
      <c r="AM105" s="3"/>
      <c r="AN105" s="1139" t="str">
        <f>IF(X105=".",".",SUM($X105:X105))</f>
        <v>.</v>
      </c>
      <c r="AO105" s="1140" t="str">
        <f>IF(Y105=".",".",SUM($X105:Y105))</f>
        <v>.</v>
      </c>
      <c r="AP105" s="1140" t="str">
        <f>IF(Z105=".",".",SUM($X105:Z105))</f>
        <v>.</v>
      </c>
      <c r="AQ105" s="1140" t="str">
        <f>IF(AA105=".",".",SUM($X105:AA105))</f>
        <v>.</v>
      </c>
      <c r="AR105" s="1140" t="str">
        <f>IF(AB105=".",".",SUM($X105:AB105))</f>
        <v>.</v>
      </c>
      <c r="AS105" s="1140" t="str">
        <f>IF(AC105=".",".",SUM($X105:AC105))</f>
        <v>.</v>
      </c>
      <c r="AT105" s="1141" t="str">
        <f>IF(AD105=".",".",SUM($X105:AD105))</f>
        <v>.</v>
      </c>
      <c r="AU105" s="3"/>
      <c r="AV105" s="1055" t="str">
        <f t="shared" si="76"/>
        <v>.</v>
      </c>
      <c r="AW105" s="258" t="str">
        <f t="shared" si="69"/>
        <v>.</v>
      </c>
      <c r="AX105" s="258" t="str">
        <f t="shared" si="70"/>
        <v>.</v>
      </c>
      <c r="AY105" s="258" t="str">
        <f t="shared" si="71"/>
        <v>.</v>
      </c>
      <c r="AZ105" s="258" t="str">
        <f t="shared" si="72"/>
        <v>.</v>
      </c>
      <c r="BA105" s="258" t="str">
        <f t="shared" si="73"/>
        <v>.</v>
      </c>
      <c r="BB105" s="1056" t="str">
        <f t="shared" si="74"/>
        <v>.</v>
      </c>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row>
    <row r="106" spans="1:91" x14ac:dyDescent="0.2">
      <c r="A106" s="620"/>
      <c r="B106" s="290" t="s">
        <v>579</v>
      </c>
      <c r="C106" s="1022" t="str">
        <f>IF('WS3 - Notional General Income'!C26="","",'WS3 - Notional General Income'!C26)</f>
        <v/>
      </c>
      <c r="D106" s="1006" t="s">
        <v>687</v>
      </c>
      <c r="E106" s="1022"/>
      <c r="F106" s="1022"/>
      <c r="G106" s="1022"/>
      <c r="H106" s="1022"/>
      <c r="I106" s="1022"/>
      <c r="J106" s="1023" t="str">
        <f>IF('WS3 - Notional General Income'!L26=".",".",'WS3 - Notional General Income'!L26/'WS3 - Notional General Income'!D26)</f>
        <v>.</v>
      </c>
      <c r="K106" s="1023" t="str">
        <f>IF('WS4 - Yr 1 YIELD'!L23=".",".",'WS4 - Yr 1 YIELD'!L23/'WS4 - Yr 1 YIELD'!D23)</f>
        <v>.</v>
      </c>
      <c r="L106" s="1024"/>
      <c r="M106" s="1024"/>
      <c r="N106" s="1024"/>
      <c r="O106" s="1024"/>
      <c r="P106" s="1024"/>
      <c r="Q106" s="1012"/>
      <c r="R106" s="76"/>
      <c r="S106" s="3"/>
      <c r="T106" s="1028">
        <f>'WS3 - Notional General Income'!$D26</f>
        <v>0</v>
      </c>
      <c r="U106" s="1029">
        <f>'WS4 - Yr 1 YIELD'!$D23</f>
        <v>0</v>
      </c>
      <c r="V106" s="1035"/>
      <c r="W106" s="3"/>
      <c r="X106" s="1043" t="str">
        <f t="shared" si="75"/>
        <v>.</v>
      </c>
      <c r="Y106" s="1044" t="str">
        <f t="shared" si="56"/>
        <v>.</v>
      </c>
      <c r="Z106" s="1044" t="str">
        <f t="shared" si="57"/>
        <v>.</v>
      </c>
      <c r="AA106" s="1044" t="str">
        <f t="shared" si="58"/>
        <v>.</v>
      </c>
      <c r="AB106" s="1044" t="str">
        <f t="shared" si="59"/>
        <v>.</v>
      </c>
      <c r="AC106" s="1044" t="str">
        <f t="shared" si="60"/>
        <v>.</v>
      </c>
      <c r="AD106" s="1045" t="str">
        <f t="shared" si="61"/>
        <v>.</v>
      </c>
      <c r="AE106" s="3"/>
      <c r="AF106" s="1055" t="str">
        <f t="shared" ref="AF106:AF113" si="77">IFERROR(K106/J106-1,".")</f>
        <v>.</v>
      </c>
      <c r="AG106" s="258" t="str">
        <f t="shared" si="63"/>
        <v>.</v>
      </c>
      <c r="AH106" s="258" t="str">
        <f t="shared" si="64"/>
        <v>.</v>
      </c>
      <c r="AI106" s="258" t="str">
        <f t="shared" si="65"/>
        <v>.</v>
      </c>
      <c r="AJ106" s="258" t="str">
        <f t="shared" si="66"/>
        <v>.</v>
      </c>
      <c r="AK106" s="258" t="str">
        <f t="shared" si="67"/>
        <v>.</v>
      </c>
      <c r="AL106" s="1056" t="str">
        <f t="shared" si="68"/>
        <v>.</v>
      </c>
      <c r="AM106" s="3"/>
      <c r="AN106" s="1139" t="str">
        <f>IF(X106=".",".",SUM($X106:X106))</f>
        <v>.</v>
      </c>
      <c r="AO106" s="1140" t="str">
        <f>IF(Y106=".",".",SUM($X106:Y106))</f>
        <v>.</v>
      </c>
      <c r="AP106" s="1140" t="str">
        <f>IF(Z106=".",".",SUM($X106:Z106))</f>
        <v>.</v>
      </c>
      <c r="AQ106" s="1140" t="str">
        <f>IF(AA106=".",".",SUM($X106:AA106))</f>
        <v>.</v>
      </c>
      <c r="AR106" s="1140" t="str">
        <f>IF(AB106=".",".",SUM($X106:AB106))</f>
        <v>.</v>
      </c>
      <c r="AS106" s="1140" t="str">
        <f>IF(AC106=".",".",SUM($X106:AC106))</f>
        <v>.</v>
      </c>
      <c r="AT106" s="1141" t="str">
        <f>IF(AD106=".",".",SUM($X106:AD106))</f>
        <v>.</v>
      </c>
      <c r="AU106" s="3"/>
      <c r="AV106" s="1055" t="str">
        <f t="shared" si="76"/>
        <v>.</v>
      </c>
      <c r="AW106" s="258" t="str">
        <f t="shared" si="69"/>
        <v>.</v>
      </c>
      <c r="AX106" s="258" t="str">
        <f t="shared" si="70"/>
        <v>.</v>
      </c>
      <c r="AY106" s="258" t="str">
        <f t="shared" si="71"/>
        <v>.</v>
      </c>
      <c r="AZ106" s="258" t="str">
        <f t="shared" si="72"/>
        <v>.</v>
      </c>
      <c r="BA106" s="258" t="str">
        <f t="shared" si="73"/>
        <v>.</v>
      </c>
      <c r="BB106" s="1056" t="str">
        <f t="shared" si="74"/>
        <v>.</v>
      </c>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row>
    <row r="107" spans="1:91" x14ac:dyDescent="0.2">
      <c r="A107" s="620"/>
      <c r="B107" s="290" t="s">
        <v>579</v>
      </c>
      <c r="C107" s="1022" t="str">
        <f>IF('WS3 - Notional General Income'!C27="","",'WS3 - Notional General Income'!C27)</f>
        <v/>
      </c>
      <c r="D107" s="1006" t="s">
        <v>687</v>
      </c>
      <c r="E107" s="1022"/>
      <c r="F107" s="1022"/>
      <c r="G107" s="1022"/>
      <c r="H107" s="1022"/>
      <c r="I107" s="1022"/>
      <c r="J107" s="1023" t="str">
        <f>IF('WS3 - Notional General Income'!L27=".",".",'WS3 - Notional General Income'!L27/'WS3 - Notional General Income'!D27)</f>
        <v>.</v>
      </c>
      <c r="K107" s="1023" t="str">
        <f>IF('WS4 - Yr 1 YIELD'!L24=".",".",'WS4 - Yr 1 YIELD'!L24/'WS4 - Yr 1 YIELD'!D24)</f>
        <v>.</v>
      </c>
      <c r="L107" s="1024"/>
      <c r="M107" s="1024"/>
      <c r="N107" s="1024"/>
      <c r="O107" s="1024"/>
      <c r="P107" s="1024"/>
      <c r="Q107" s="1012"/>
      <c r="R107" s="76"/>
      <c r="S107" s="3"/>
      <c r="T107" s="1028">
        <f>'WS3 - Notional General Income'!$D27</f>
        <v>0</v>
      </c>
      <c r="U107" s="1029">
        <f>'WS4 - Yr 1 YIELD'!$D24</f>
        <v>0</v>
      </c>
      <c r="V107" s="1035"/>
      <c r="W107" s="3"/>
      <c r="X107" s="1043" t="str">
        <f t="shared" si="75"/>
        <v>.</v>
      </c>
      <c r="Y107" s="1044" t="str">
        <f t="shared" si="56"/>
        <v>.</v>
      </c>
      <c r="Z107" s="1044" t="str">
        <f t="shared" si="57"/>
        <v>.</v>
      </c>
      <c r="AA107" s="1044" t="str">
        <f t="shared" si="58"/>
        <v>.</v>
      </c>
      <c r="AB107" s="1044" t="str">
        <f t="shared" si="59"/>
        <v>.</v>
      </c>
      <c r="AC107" s="1044" t="str">
        <f t="shared" si="60"/>
        <v>.</v>
      </c>
      <c r="AD107" s="1045" t="str">
        <f t="shared" si="61"/>
        <v>.</v>
      </c>
      <c r="AE107" s="3"/>
      <c r="AF107" s="1055" t="str">
        <f t="shared" si="77"/>
        <v>.</v>
      </c>
      <c r="AG107" s="258" t="str">
        <f t="shared" si="63"/>
        <v>.</v>
      </c>
      <c r="AH107" s="258" t="str">
        <f t="shared" si="64"/>
        <v>.</v>
      </c>
      <c r="AI107" s="258" t="str">
        <f t="shared" si="65"/>
        <v>.</v>
      </c>
      <c r="AJ107" s="258" t="str">
        <f t="shared" si="66"/>
        <v>.</v>
      </c>
      <c r="AK107" s="258" t="str">
        <f t="shared" si="67"/>
        <v>.</v>
      </c>
      <c r="AL107" s="1056" t="str">
        <f t="shared" si="68"/>
        <v>.</v>
      </c>
      <c r="AM107" s="3"/>
      <c r="AN107" s="1139" t="str">
        <f>IF(X107=".",".",SUM($X107:X107))</f>
        <v>.</v>
      </c>
      <c r="AO107" s="1140" t="str">
        <f>IF(Y107=".",".",SUM($X107:Y107))</f>
        <v>.</v>
      </c>
      <c r="AP107" s="1140" t="str">
        <f>IF(Z107=".",".",SUM($X107:Z107))</f>
        <v>.</v>
      </c>
      <c r="AQ107" s="1140" t="str">
        <f>IF(AA107=".",".",SUM($X107:AA107))</f>
        <v>.</v>
      </c>
      <c r="AR107" s="1140" t="str">
        <f>IF(AB107=".",".",SUM($X107:AB107))</f>
        <v>.</v>
      </c>
      <c r="AS107" s="1140" t="str">
        <f>IF(AC107=".",".",SUM($X107:AC107))</f>
        <v>.</v>
      </c>
      <c r="AT107" s="1141" t="str">
        <f>IF(AD107=".",".",SUM($X107:AD107))</f>
        <v>.</v>
      </c>
      <c r="AU107" s="3"/>
      <c r="AV107" s="1055" t="str">
        <f t="shared" si="76"/>
        <v>.</v>
      </c>
      <c r="AW107" s="258" t="str">
        <f t="shared" si="69"/>
        <v>.</v>
      </c>
      <c r="AX107" s="258" t="str">
        <f t="shared" si="70"/>
        <v>.</v>
      </c>
      <c r="AY107" s="258" t="str">
        <f t="shared" si="71"/>
        <v>.</v>
      </c>
      <c r="AZ107" s="258" t="str">
        <f t="shared" si="72"/>
        <v>.</v>
      </c>
      <c r="BA107" s="258" t="str">
        <f t="shared" si="73"/>
        <v>.</v>
      </c>
      <c r="BB107" s="1056" t="str">
        <f t="shared" si="74"/>
        <v>.</v>
      </c>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row>
    <row r="108" spans="1:91" x14ac:dyDescent="0.2">
      <c r="A108" s="620"/>
      <c r="B108" s="290" t="s">
        <v>579</v>
      </c>
      <c r="C108" s="1022" t="str">
        <f>IF('WS3 - Notional General Income'!C28="","",'WS3 - Notional General Income'!C28)</f>
        <v/>
      </c>
      <c r="D108" s="1006" t="s">
        <v>687</v>
      </c>
      <c r="E108" s="1022"/>
      <c r="F108" s="1022"/>
      <c r="G108" s="1022"/>
      <c r="H108" s="1022"/>
      <c r="I108" s="1022"/>
      <c r="J108" s="1023" t="str">
        <f>IF('WS3 - Notional General Income'!L28=".",".",'WS3 - Notional General Income'!L28/'WS3 - Notional General Income'!D28)</f>
        <v>.</v>
      </c>
      <c r="K108" s="1023" t="str">
        <f>IF('WS4 - Yr 1 YIELD'!L25=".",".",'WS4 - Yr 1 YIELD'!L25/'WS4 - Yr 1 YIELD'!D25)</f>
        <v>.</v>
      </c>
      <c r="L108" s="1024"/>
      <c r="M108" s="1024"/>
      <c r="N108" s="1024"/>
      <c r="O108" s="1024"/>
      <c r="P108" s="1024"/>
      <c r="Q108" s="1012"/>
      <c r="R108" s="76"/>
      <c r="S108" s="3"/>
      <c r="T108" s="1028">
        <f>'WS3 - Notional General Income'!$D28</f>
        <v>0</v>
      </c>
      <c r="U108" s="1029">
        <f>'WS4 - Yr 1 YIELD'!$D25</f>
        <v>0</v>
      </c>
      <c r="V108" s="1035"/>
      <c r="W108" s="3"/>
      <c r="X108" s="1043" t="str">
        <f t="shared" si="75"/>
        <v>.</v>
      </c>
      <c r="Y108" s="1044" t="str">
        <f t="shared" si="56"/>
        <v>.</v>
      </c>
      <c r="Z108" s="1044" t="str">
        <f t="shared" si="57"/>
        <v>.</v>
      </c>
      <c r="AA108" s="1044" t="str">
        <f t="shared" si="58"/>
        <v>.</v>
      </c>
      <c r="AB108" s="1044" t="str">
        <f t="shared" si="59"/>
        <v>.</v>
      </c>
      <c r="AC108" s="1044" t="str">
        <f t="shared" si="60"/>
        <v>.</v>
      </c>
      <c r="AD108" s="1045" t="str">
        <f t="shared" si="61"/>
        <v>.</v>
      </c>
      <c r="AE108" s="3"/>
      <c r="AF108" s="1055" t="str">
        <f t="shared" si="77"/>
        <v>.</v>
      </c>
      <c r="AG108" s="258" t="str">
        <f t="shared" si="63"/>
        <v>.</v>
      </c>
      <c r="AH108" s="258" t="str">
        <f t="shared" si="64"/>
        <v>.</v>
      </c>
      <c r="AI108" s="258" t="str">
        <f t="shared" si="65"/>
        <v>.</v>
      </c>
      <c r="AJ108" s="258" t="str">
        <f t="shared" si="66"/>
        <v>.</v>
      </c>
      <c r="AK108" s="258" t="str">
        <f t="shared" si="67"/>
        <v>.</v>
      </c>
      <c r="AL108" s="1056" t="str">
        <f t="shared" si="68"/>
        <v>.</v>
      </c>
      <c r="AM108" s="3"/>
      <c r="AN108" s="1139" t="str">
        <f>IF(X108=".",".",SUM($X108:X108))</f>
        <v>.</v>
      </c>
      <c r="AO108" s="1140" t="str">
        <f>IF(Y108=".",".",SUM($X108:Y108))</f>
        <v>.</v>
      </c>
      <c r="AP108" s="1140" t="str">
        <f>IF(Z108=".",".",SUM($X108:Z108))</f>
        <v>.</v>
      </c>
      <c r="AQ108" s="1140" t="str">
        <f>IF(AA108=".",".",SUM($X108:AA108))</f>
        <v>.</v>
      </c>
      <c r="AR108" s="1140" t="str">
        <f>IF(AB108=".",".",SUM($X108:AB108))</f>
        <v>.</v>
      </c>
      <c r="AS108" s="1140" t="str">
        <f>IF(AC108=".",".",SUM($X108:AC108))</f>
        <v>.</v>
      </c>
      <c r="AT108" s="1141" t="str">
        <f>IF(AD108=".",".",SUM($X108:AD108))</f>
        <v>.</v>
      </c>
      <c r="AU108" s="3"/>
      <c r="AV108" s="1055" t="str">
        <f t="shared" si="76"/>
        <v>.</v>
      </c>
      <c r="AW108" s="258" t="str">
        <f t="shared" si="69"/>
        <v>.</v>
      </c>
      <c r="AX108" s="258" t="str">
        <f t="shared" si="70"/>
        <v>.</v>
      </c>
      <c r="AY108" s="258" t="str">
        <f t="shared" si="71"/>
        <v>.</v>
      </c>
      <c r="AZ108" s="258" t="str">
        <f t="shared" si="72"/>
        <v>.</v>
      </c>
      <c r="BA108" s="258" t="str">
        <f t="shared" si="73"/>
        <v>.</v>
      </c>
      <c r="BB108" s="1056" t="str">
        <f t="shared" si="74"/>
        <v>.</v>
      </c>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row>
    <row r="109" spans="1:91" x14ac:dyDescent="0.2">
      <c r="A109" s="620"/>
      <c r="B109" s="290" t="s">
        <v>579</v>
      </c>
      <c r="C109" s="1022" t="str">
        <f>IF('WS3 - Notional General Income'!C29="","",'WS3 - Notional General Income'!C29)</f>
        <v/>
      </c>
      <c r="D109" s="1006" t="s">
        <v>687</v>
      </c>
      <c r="E109" s="1022"/>
      <c r="F109" s="1022"/>
      <c r="G109" s="1022"/>
      <c r="H109" s="1022"/>
      <c r="I109" s="1022"/>
      <c r="J109" s="1023" t="str">
        <f>IF('WS3 - Notional General Income'!L29=".",".",'WS3 - Notional General Income'!L29/'WS3 - Notional General Income'!D29)</f>
        <v>.</v>
      </c>
      <c r="K109" s="1023" t="str">
        <f>IF('WS4 - Yr 1 YIELD'!L26=".",".",'WS4 - Yr 1 YIELD'!L26/'WS4 - Yr 1 YIELD'!D26)</f>
        <v>.</v>
      </c>
      <c r="L109" s="1024"/>
      <c r="M109" s="1024"/>
      <c r="N109" s="1024"/>
      <c r="O109" s="1024"/>
      <c r="P109" s="1024"/>
      <c r="Q109" s="1012"/>
      <c r="R109" s="76"/>
      <c r="S109" s="3"/>
      <c r="T109" s="1028">
        <f>'WS3 - Notional General Income'!$D29</f>
        <v>0</v>
      </c>
      <c r="U109" s="1029">
        <f>'WS4 - Yr 1 YIELD'!$D26</f>
        <v>0</v>
      </c>
      <c r="V109" s="1035"/>
      <c r="W109" s="3"/>
      <c r="X109" s="1043" t="str">
        <f t="shared" si="75"/>
        <v>.</v>
      </c>
      <c r="Y109" s="1044" t="str">
        <f t="shared" si="56"/>
        <v>.</v>
      </c>
      <c r="Z109" s="1044" t="str">
        <f t="shared" si="57"/>
        <v>.</v>
      </c>
      <c r="AA109" s="1044" t="str">
        <f t="shared" si="58"/>
        <v>.</v>
      </c>
      <c r="AB109" s="1044" t="str">
        <f t="shared" si="59"/>
        <v>.</v>
      </c>
      <c r="AC109" s="1044" t="str">
        <f t="shared" si="60"/>
        <v>.</v>
      </c>
      <c r="AD109" s="1045" t="str">
        <f t="shared" si="61"/>
        <v>.</v>
      </c>
      <c r="AE109" s="3"/>
      <c r="AF109" s="1055" t="str">
        <f t="shared" si="77"/>
        <v>.</v>
      </c>
      <c r="AG109" s="258" t="str">
        <f t="shared" si="63"/>
        <v>.</v>
      </c>
      <c r="AH109" s="258" t="str">
        <f t="shared" si="64"/>
        <v>.</v>
      </c>
      <c r="AI109" s="258" t="str">
        <f t="shared" si="65"/>
        <v>.</v>
      </c>
      <c r="AJ109" s="258" t="str">
        <f t="shared" si="66"/>
        <v>.</v>
      </c>
      <c r="AK109" s="258" t="str">
        <f t="shared" si="67"/>
        <v>.</v>
      </c>
      <c r="AL109" s="1056" t="str">
        <f t="shared" si="68"/>
        <v>.</v>
      </c>
      <c r="AM109" s="3"/>
      <c r="AN109" s="1139" t="str">
        <f>IF(X109=".",".",SUM($X109:X109))</f>
        <v>.</v>
      </c>
      <c r="AO109" s="1140" t="str">
        <f>IF(Y109=".",".",SUM($X109:Y109))</f>
        <v>.</v>
      </c>
      <c r="AP109" s="1140" t="str">
        <f>IF(Z109=".",".",SUM($X109:Z109))</f>
        <v>.</v>
      </c>
      <c r="AQ109" s="1140" t="str">
        <f>IF(AA109=".",".",SUM($X109:AA109))</f>
        <v>.</v>
      </c>
      <c r="AR109" s="1140" t="str">
        <f>IF(AB109=".",".",SUM($X109:AB109))</f>
        <v>.</v>
      </c>
      <c r="AS109" s="1140" t="str">
        <f>IF(AC109=".",".",SUM($X109:AC109))</f>
        <v>.</v>
      </c>
      <c r="AT109" s="1141" t="str">
        <f>IF(AD109=".",".",SUM($X109:AD109))</f>
        <v>.</v>
      </c>
      <c r="AU109" s="3"/>
      <c r="AV109" s="1055" t="str">
        <f t="shared" si="76"/>
        <v>.</v>
      </c>
      <c r="AW109" s="258" t="str">
        <f t="shared" si="69"/>
        <v>.</v>
      </c>
      <c r="AX109" s="258" t="str">
        <f t="shared" si="70"/>
        <v>.</v>
      </c>
      <c r="AY109" s="258" t="str">
        <f t="shared" si="71"/>
        <v>.</v>
      </c>
      <c r="AZ109" s="258" t="str">
        <f t="shared" si="72"/>
        <v>.</v>
      </c>
      <c r="BA109" s="258" t="str">
        <f t="shared" si="73"/>
        <v>.</v>
      </c>
      <c r="BB109" s="1056" t="str">
        <f t="shared" si="74"/>
        <v>.</v>
      </c>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row>
    <row r="110" spans="1:91" x14ac:dyDescent="0.2">
      <c r="A110" s="620"/>
      <c r="B110" s="290" t="s">
        <v>579</v>
      </c>
      <c r="C110" s="1022" t="str">
        <f>IF('WS3 - Notional General Income'!C30="","",'WS3 - Notional General Income'!C30)</f>
        <v/>
      </c>
      <c r="D110" s="1006" t="s">
        <v>687</v>
      </c>
      <c r="E110" s="1022"/>
      <c r="F110" s="1022"/>
      <c r="G110" s="1022"/>
      <c r="H110" s="1022"/>
      <c r="I110" s="1022"/>
      <c r="J110" s="1023" t="str">
        <f>IF('WS3 - Notional General Income'!L30=".",".",'WS3 - Notional General Income'!L30/'WS3 - Notional General Income'!D30)</f>
        <v>.</v>
      </c>
      <c r="K110" s="1023" t="str">
        <f>IF('WS4 - Yr 1 YIELD'!L27=".",".",'WS4 - Yr 1 YIELD'!L27/'WS4 - Yr 1 YIELD'!D27)</f>
        <v>.</v>
      </c>
      <c r="L110" s="1024"/>
      <c r="M110" s="1024"/>
      <c r="N110" s="1024"/>
      <c r="O110" s="1024"/>
      <c r="P110" s="1024"/>
      <c r="Q110" s="1012"/>
      <c r="R110" s="76"/>
      <c r="S110" s="3"/>
      <c r="T110" s="1028">
        <f>'WS3 - Notional General Income'!$D30</f>
        <v>0</v>
      </c>
      <c r="U110" s="1029">
        <f>'WS4 - Yr 1 YIELD'!$D27</f>
        <v>0</v>
      </c>
      <c r="V110" s="1035"/>
      <c r="W110" s="3"/>
      <c r="X110" s="1043" t="str">
        <f t="shared" si="75"/>
        <v>.</v>
      </c>
      <c r="Y110" s="1044" t="str">
        <f t="shared" si="56"/>
        <v>.</v>
      </c>
      <c r="Z110" s="1044" t="str">
        <f t="shared" si="57"/>
        <v>.</v>
      </c>
      <c r="AA110" s="1044" t="str">
        <f t="shared" si="58"/>
        <v>.</v>
      </c>
      <c r="AB110" s="1044" t="str">
        <f t="shared" si="59"/>
        <v>.</v>
      </c>
      <c r="AC110" s="1044" t="str">
        <f t="shared" si="60"/>
        <v>.</v>
      </c>
      <c r="AD110" s="1045" t="str">
        <f t="shared" si="61"/>
        <v>.</v>
      </c>
      <c r="AE110" s="3"/>
      <c r="AF110" s="1055" t="str">
        <f t="shared" si="77"/>
        <v>.</v>
      </c>
      <c r="AG110" s="258" t="str">
        <f t="shared" si="63"/>
        <v>.</v>
      </c>
      <c r="AH110" s="258" t="str">
        <f t="shared" si="64"/>
        <v>.</v>
      </c>
      <c r="AI110" s="258" t="str">
        <f t="shared" si="65"/>
        <v>.</v>
      </c>
      <c r="AJ110" s="258" t="str">
        <f t="shared" si="66"/>
        <v>.</v>
      </c>
      <c r="AK110" s="258" t="str">
        <f t="shared" si="67"/>
        <v>.</v>
      </c>
      <c r="AL110" s="1056" t="str">
        <f t="shared" si="68"/>
        <v>.</v>
      </c>
      <c r="AM110" s="3"/>
      <c r="AN110" s="1139" t="str">
        <f>IF(X110=".",".",SUM($X110:X110))</f>
        <v>.</v>
      </c>
      <c r="AO110" s="1140" t="str">
        <f>IF(Y110=".",".",SUM($X110:Y110))</f>
        <v>.</v>
      </c>
      <c r="AP110" s="1140" t="str">
        <f>IF(Z110=".",".",SUM($X110:Z110))</f>
        <v>.</v>
      </c>
      <c r="AQ110" s="1140" t="str">
        <f>IF(AA110=".",".",SUM($X110:AA110))</f>
        <v>.</v>
      </c>
      <c r="AR110" s="1140" t="str">
        <f>IF(AB110=".",".",SUM($X110:AB110))</f>
        <v>.</v>
      </c>
      <c r="AS110" s="1140" t="str">
        <f>IF(AC110=".",".",SUM($X110:AC110))</f>
        <v>.</v>
      </c>
      <c r="AT110" s="1141" t="str">
        <f>IF(AD110=".",".",SUM($X110:AD110))</f>
        <v>.</v>
      </c>
      <c r="AU110" s="3"/>
      <c r="AV110" s="1055" t="str">
        <f t="shared" si="76"/>
        <v>.</v>
      </c>
      <c r="AW110" s="258" t="str">
        <f t="shared" si="69"/>
        <v>.</v>
      </c>
      <c r="AX110" s="258" t="str">
        <f t="shared" si="70"/>
        <v>.</v>
      </c>
      <c r="AY110" s="258" t="str">
        <f t="shared" si="71"/>
        <v>.</v>
      </c>
      <c r="AZ110" s="258" t="str">
        <f t="shared" si="72"/>
        <v>.</v>
      </c>
      <c r="BA110" s="258" t="str">
        <f t="shared" si="73"/>
        <v>.</v>
      </c>
      <c r="BB110" s="1056" t="str">
        <f t="shared" si="74"/>
        <v>.</v>
      </c>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row>
    <row r="111" spans="1:91" x14ac:dyDescent="0.2">
      <c r="A111" s="620"/>
      <c r="B111" s="290" t="s">
        <v>579</v>
      </c>
      <c r="C111" s="1022" t="str">
        <f>IF('WS3 - Notional General Income'!C31="","",'WS3 - Notional General Income'!C31)</f>
        <v/>
      </c>
      <c r="D111" s="1006" t="s">
        <v>687</v>
      </c>
      <c r="E111" s="1022"/>
      <c r="F111" s="1022"/>
      <c r="G111" s="1022"/>
      <c r="H111" s="1022"/>
      <c r="I111" s="1022"/>
      <c r="J111" s="1023" t="str">
        <f>IF('WS3 - Notional General Income'!L31=".",".",'WS3 - Notional General Income'!L31/'WS3 - Notional General Income'!D31)</f>
        <v>.</v>
      </c>
      <c r="K111" s="1023" t="str">
        <f>IF('WS4 - Yr 1 YIELD'!L28=".",".",'WS4 - Yr 1 YIELD'!L28/'WS4 - Yr 1 YIELD'!D28)</f>
        <v>.</v>
      </c>
      <c r="L111" s="1024"/>
      <c r="M111" s="1024"/>
      <c r="N111" s="1024"/>
      <c r="O111" s="1024"/>
      <c r="P111" s="1024"/>
      <c r="Q111" s="1012"/>
      <c r="R111" s="76"/>
      <c r="S111" s="3"/>
      <c r="T111" s="1028">
        <f>'WS3 - Notional General Income'!$D31</f>
        <v>0</v>
      </c>
      <c r="U111" s="1029">
        <f>'WS4 - Yr 1 YIELD'!$D28</f>
        <v>0</v>
      </c>
      <c r="V111" s="1035"/>
      <c r="W111" s="3"/>
      <c r="X111" s="1043" t="str">
        <f t="shared" si="75"/>
        <v>.</v>
      </c>
      <c r="Y111" s="1044" t="str">
        <f t="shared" si="56"/>
        <v>.</v>
      </c>
      <c r="Z111" s="1044" t="str">
        <f t="shared" si="57"/>
        <v>.</v>
      </c>
      <c r="AA111" s="1044" t="str">
        <f t="shared" si="58"/>
        <v>.</v>
      </c>
      <c r="AB111" s="1044" t="str">
        <f t="shared" si="59"/>
        <v>.</v>
      </c>
      <c r="AC111" s="1044" t="str">
        <f t="shared" si="60"/>
        <v>.</v>
      </c>
      <c r="AD111" s="1045" t="str">
        <f t="shared" si="61"/>
        <v>.</v>
      </c>
      <c r="AE111" s="3"/>
      <c r="AF111" s="1055" t="str">
        <f t="shared" si="77"/>
        <v>.</v>
      </c>
      <c r="AG111" s="258" t="str">
        <f t="shared" si="63"/>
        <v>.</v>
      </c>
      <c r="AH111" s="258" t="str">
        <f t="shared" si="64"/>
        <v>.</v>
      </c>
      <c r="AI111" s="258" t="str">
        <f t="shared" si="65"/>
        <v>.</v>
      </c>
      <c r="AJ111" s="258" t="str">
        <f t="shared" si="66"/>
        <v>.</v>
      </c>
      <c r="AK111" s="258" t="str">
        <f t="shared" si="67"/>
        <v>.</v>
      </c>
      <c r="AL111" s="1056" t="str">
        <f t="shared" si="68"/>
        <v>.</v>
      </c>
      <c r="AM111" s="3"/>
      <c r="AN111" s="1139" t="str">
        <f>IF(X111=".",".",SUM($X111:X111))</f>
        <v>.</v>
      </c>
      <c r="AO111" s="1140" t="str">
        <f>IF(Y111=".",".",SUM($X111:Y111))</f>
        <v>.</v>
      </c>
      <c r="AP111" s="1140" t="str">
        <f>IF(Z111=".",".",SUM($X111:Z111))</f>
        <v>.</v>
      </c>
      <c r="AQ111" s="1140" t="str">
        <f>IF(AA111=".",".",SUM($X111:AA111))</f>
        <v>.</v>
      </c>
      <c r="AR111" s="1140" t="str">
        <f>IF(AB111=".",".",SUM($X111:AB111))</f>
        <v>.</v>
      </c>
      <c r="AS111" s="1140" t="str">
        <f>IF(AC111=".",".",SUM($X111:AC111))</f>
        <v>.</v>
      </c>
      <c r="AT111" s="1141" t="str">
        <f>IF(AD111=".",".",SUM($X111:AD111))</f>
        <v>.</v>
      </c>
      <c r="AU111" s="3"/>
      <c r="AV111" s="1055" t="str">
        <f t="shared" si="76"/>
        <v>.</v>
      </c>
      <c r="AW111" s="258" t="str">
        <f t="shared" si="69"/>
        <v>.</v>
      </c>
      <c r="AX111" s="258" t="str">
        <f t="shared" si="70"/>
        <v>.</v>
      </c>
      <c r="AY111" s="258" t="str">
        <f t="shared" si="71"/>
        <v>.</v>
      </c>
      <c r="AZ111" s="258" t="str">
        <f t="shared" si="72"/>
        <v>.</v>
      </c>
      <c r="BA111" s="258" t="str">
        <f t="shared" si="73"/>
        <v>.</v>
      </c>
      <c r="BB111" s="1056" t="str">
        <f t="shared" si="74"/>
        <v>.</v>
      </c>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row>
    <row r="112" spans="1:91" x14ac:dyDescent="0.2">
      <c r="A112" s="620"/>
      <c r="B112" s="290" t="s">
        <v>579</v>
      </c>
      <c r="C112" s="1022" t="str">
        <f>IF('WS3 - Notional General Income'!C32="","",'WS3 - Notional General Income'!C32)</f>
        <v/>
      </c>
      <c r="D112" s="1006" t="s">
        <v>687</v>
      </c>
      <c r="E112" s="1022"/>
      <c r="F112" s="1022"/>
      <c r="G112" s="1022"/>
      <c r="H112" s="1022"/>
      <c r="I112" s="1022"/>
      <c r="J112" s="1023" t="str">
        <f>IF('WS3 - Notional General Income'!L32=".",".",'WS3 - Notional General Income'!L32/'WS3 - Notional General Income'!D32)</f>
        <v>.</v>
      </c>
      <c r="K112" s="1023" t="str">
        <f>IF('WS4 - Yr 1 YIELD'!L29=".",".",'WS4 - Yr 1 YIELD'!L29/'WS4 - Yr 1 YIELD'!D29)</f>
        <v>.</v>
      </c>
      <c r="L112" s="1024"/>
      <c r="M112" s="1024"/>
      <c r="N112" s="1024"/>
      <c r="O112" s="1024"/>
      <c r="P112" s="1024"/>
      <c r="Q112" s="1012"/>
      <c r="R112" s="76"/>
      <c r="S112" s="3"/>
      <c r="T112" s="1028">
        <f>'WS3 - Notional General Income'!$D32</f>
        <v>0</v>
      </c>
      <c r="U112" s="1029">
        <f>'WS4 - Yr 1 YIELD'!$D29</f>
        <v>0</v>
      </c>
      <c r="V112" s="1035"/>
      <c r="W112" s="3"/>
      <c r="X112" s="1043" t="str">
        <f t="shared" si="75"/>
        <v>.</v>
      </c>
      <c r="Y112" s="1044" t="str">
        <f t="shared" si="56"/>
        <v>.</v>
      </c>
      <c r="Z112" s="1044" t="str">
        <f t="shared" si="57"/>
        <v>.</v>
      </c>
      <c r="AA112" s="1044" t="str">
        <f t="shared" si="58"/>
        <v>.</v>
      </c>
      <c r="AB112" s="1044" t="str">
        <f t="shared" si="59"/>
        <v>.</v>
      </c>
      <c r="AC112" s="1044" t="str">
        <f t="shared" si="60"/>
        <v>.</v>
      </c>
      <c r="AD112" s="1045" t="str">
        <f t="shared" si="61"/>
        <v>.</v>
      </c>
      <c r="AE112" s="3"/>
      <c r="AF112" s="1055" t="str">
        <f t="shared" si="77"/>
        <v>.</v>
      </c>
      <c r="AG112" s="258" t="str">
        <f t="shared" si="63"/>
        <v>.</v>
      </c>
      <c r="AH112" s="258" t="str">
        <f t="shared" si="64"/>
        <v>.</v>
      </c>
      <c r="AI112" s="258" t="str">
        <f t="shared" si="65"/>
        <v>.</v>
      </c>
      <c r="AJ112" s="258" t="str">
        <f t="shared" si="66"/>
        <v>.</v>
      </c>
      <c r="AK112" s="258" t="str">
        <f t="shared" si="67"/>
        <v>.</v>
      </c>
      <c r="AL112" s="1056" t="str">
        <f t="shared" si="68"/>
        <v>.</v>
      </c>
      <c r="AM112" s="3"/>
      <c r="AN112" s="1139" t="str">
        <f>IF(X112=".",".",SUM($X112:X112))</f>
        <v>.</v>
      </c>
      <c r="AO112" s="1140" t="str">
        <f>IF(Y112=".",".",SUM($X112:Y112))</f>
        <v>.</v>
      </c>
      <c r="AP112" s="1140" t="str">
        <f>IF(Z112=".",".",SUM($X112:Z112))</f>
        <v>.</v>
      </c>
      <c r="AQ112" s="1140" t="str">
        <f>IF(AA112=".",".",SUM($X112:AA112))</f>
        <v>.</v>
      </c>
      <c r="AR112" s="1140" t="str">
        <f>IF(AB112=".",".",SUM($X112:AB112))</f>
        <v>.</v>
      </c>
      <c r="AS112" s="1140" t="str">
        <f>IF(AC112=".",".",SUM($X112:AC112))</f>
        <v>.</v>
      </c>
      <c r="AT112" s="1141" t="str">
        <f>IF(AD112=".",".",SUM($X112:AD112))</f>
        <v>.</v>
      </c>
      <c r="AU112" s="3"/>
      <c r="AV112" s="1055" t="str">
        <f t="shared" si="76"/>
        <v>.</v>
      </c>
      <c r="AW112" s="258" t="str">
        <f t="shared" si="69"/>
        <v>.</v>
      </c>
      <c r="AX112" s="258" t="str">
        <f t="shared" si="70"/>
        <v>.</v>
      </c>
      <c r="AY112" s="258" t="str">
        <f t="shared" si="71"/>
        <v>.</v>
      </c>
      <c r="AZ112" s="258" t="str">
        <f t="shared" si="72"/>
        <v>.</v>
      </c>
      <c r="BA112" s="258" t="str">
        <f t="shared" si="73"/>
        <v>.</v>
      </c>
      <c r="BB112" s="1056" t="str">
        <f t="shared" si="74"/>
        <v>.</v>
      </c>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row>
    <row r="113" spans="1:91" x14ac:dyDescent="0.2">
      <c r="A113" s="620"/>
      <c r="B113" s="290" t="s">
        <v>579</v>
      </c>
      <c r="C113" s="1022" t="str">
        <f>IF('WS3 - Notional General Income'!C33="","",'WS3 - Notional General Income'!C33)</f>
        <v/>
      </c>
      <c r="D113" s="1006" t="s">
        <v>687</v>
      </c>
      <c r="E113" s="1022"/>
      <c r="F113" s="1022"/>
      <c r="G113" s="1022"/>
      <c r="H113" s="1022"/>
      <c r="I113" s="1022"/>
      <c r="J113" s="1023" t="str">
        <f>IF('WS3 - Notional General Income'!L33=".",".",'WS3 - Notional General Income'!L33/'WS3 - Notional General Income'!D33)</f>
        <v>.</v>
      </c>
      <c r="K113" s="1023" t="str">
        <f>IF('WS4 - Yr 1 YIELD'!L30=".",".",'WS4 - Yr 1 YIELD'!L30/'WS4 - Yr 1 YIELD'!D30)</f>
        <v>.</v>
      </c>
      <c r="L113" s="1024"/>
      <c r="M113" s="1024"/>
      <c r="N113" s="1024"/>
      <c r="O113" s="1024"/>
      <c r="P113" s="1024"/>
      <c r="Q113" s="1012"/>
      <c r="R113" s="76"/>
      <c r="S113" s="3"/>
      <c r="T113" s="1028">
        <f>'WS3 - Notional General Income'!$D33</f>
        <v>0</v>
      </c>
      <c r="U113" s="1029">
        <f>'WS4 - Yr 1 YIELD'!$D30</f>
        <v>0</v>
      </c>
      <c r="V113" s="1035"/>
      <c r="W113" s="3"/>
      <c r="X113" s="1043" t="str">
        <f t="shared" si="75"/>
        <v>.</v>
      </c>
      <c r="Y113" s="1044" t="str">
        <f t="shared" si="56"/>
        <v>.</v>
      </c>
      <c r="Z113" s="1044" t="str">
        <f t="shared" si="57"/>
        <v>.</v>
      </c>
      <c r="AA113" s="1044" t="str">
        <f t="shared" si="58"/>
        <v>.</v>
      </c>
      <c r="AB113" s="1044" t="str">
        <f t="shared" si="59"/>
        <v>.</v>
      </c>
      <c r="AC113" s="1044" t="str">
        <f t="shared" si="60"/>
        <v>.</v>
      </c>
      <c r="AD113" s="1045" t="str">
        <f t="shared" si="61"/>
        <v>.</v>
      </c>
      <c r="AE113" s="3"/>
      <c r="AF113" s="1055" t="str">
        <f t="shared" si="77"/>
        <v>.</v>
      </c>
      <c r="AG113" s="258" t="str">
        <f t="shared" si="63"/>
        <v>.</v>
      </c>
      <c r="AH113" s="258" t="str">
        <f t="shared" si="64"/>
        <v>.</v>
      </c>
      <c r="AI113" s="258" t="str">
        <f t="shared" si="65"/>
        <v>.</v>
      </c>
      <c r="AJ113" s="258" t="str">
        <f t="shared" si="66"/>
        <v>.</v>
      </c>
      <c r="AK113" s="258" t="str">
        <f t="shared" si="67"/>
        <v>.</v>
      </c>
      <c r="AL113" s="1056" t="str">
        <f t="shared" si="68"/>
        <v>.</v>
      </c>
      <c r="AM113" s="3"/>
      <c r="AN113" s="1139" t="str">
        <f>IF(X113=".",".",SUM($X113:X113))</f>
        <v>.</v>
      </c>
      <c r="AO113" s="1140" t="str">
        <f>IF(Y113=".",".",SUM($X113:Y113))</f>
        <v>.</v>
      </c>
      <c r="AP113" s="1140" t="str">
        <f>IF(Z113=".",".",SUM($X113:Z113))</f>
        <v>.</v>
      </c>
      <c r="AQ113" s="1140" t="str">
        <f>IF(AA113=".",".",SUM($X113:AA113))</f>
        <v>.</v>
      </c>
      <c r="AR113" s="1140" t="str">
        <f>IF(AB113=".",".",SUM($X113:AB113))</f>
        <v>.</v>
      </c>
      <c r="AS113" s="1140" t="str">
        <f>IF(AC113=".",".",SUM($X113:AC113))</f>
        <v>.</v>
      </c>
      <c r="AT113" s="1141" t="str">
        <f>IF(AD113=".",".",SUM($X113:AD113))</f>
        <v>.</v>
      </c>
      <c r="AU113" s="3"/>
      <c r="AV113" s="1055" t="str">
        <f t="shared" si="76"/>
        <v>.</v>
      </c>
      <c r="AW113" s="258" t="str">
        <f t="shared" si="69"/>
        <v>.</v>
      </c>
      <c r="AX113" s="258" t="str">
        <f t="shared" si="70"/>
        <v>.</v>
      </c>
      <c r="AY113" s="258" t="str">
        <f t="shared" si="71"/>
        <v>.</v>
      </c>
      <c r="AZ113" s="258" t="str">
        <f t="shared" si="72"/>
        <v>.</v>
      </c>
      <c r="BA113" s="258" t="str">
        <f t="shared" si="73"/>
        <v>.</v>
      </c>
      <c r="BB113" s="1056" t="str">
        <f t="shared" si="74"/>
        <v>.</v>
      </c>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row>
    <row r="114" spans="1:91" x14ac:dyDescent="0.2">
      <c r="A114" s="620"/>
      <c r="B114" s="290" t="s">
        <v>579</v>
      </c>
      <c r="C114" s="1022" t="str">
        <f>IF('WS3 - Notional General Income'!C34="","",'WS3 - Notional General Income'!C34)</f>
        <v/>
      </c>
      <c r="D114" s="1006" t="s">
        <v>687</v>
      </c>
      <c r="E114" s="1022"/>
      <c r="F114" s="1022"/>
      <c r="G114" s="1022"/>
      <c r="H114" s="1022"/>
      <c r="I114" s="1022"/>
      <c r="J114" s="1023" t="str">
        <f>IF('WS3 - Notional General Income'!L34=".",".",'WS3 - Notional General Income'!L34/'WS3 - Notional General Income'!D34)</f>
        <v>.</v>
      </c>
      <c r="K114" s="1023" t="str">
        <f>IF('WS4 - Yr 1 YIELD'!L31=".",".",'WS4 - Yr 1 YIELD'!L31/'WS4 - Yr 1 YIELD'!D31)</f>
        <v>.</v>
      </c>
      <c r="L114" s="1024"/>
      <c r="M114" s="1024"/>
      <c r="N114" s="1024"/>
      <c r="O114" s="1024"/>
      <c r="P114" s="1024"/>
      <c r="Q114" s="1012"/>
      <c r="R114" s="76"/>
      <c r="S114" s="3"/>
      <c r="T114" s="1028">
        <f>'WS3 - Notional General Income'!$D34</f>
        <v>0</v>
      </c>
      <c r="U114" s="1029">
        <f>'WS4 - Yr 1 YIELD'!$D31</f>
        <v>0</v>
      </c>
      <c r="V114" s="1035"/>
      <c r="W114" s="3"/>
      <c r="X114" s="1043" t="str">
        <f t="shared" si="75"/>
        <v>.</v>
      </c>
      <c r="Y114" s="1044" t="str">
        <f t="shared" si="56"/>
        <v>.</v>
      </c>
      <c r="Z114" s="1044" t="str">
        <f t="shared" si="57"/>
        <v>.</v>
      </c>
      <c r="AA114" s="1044" t="str">
        <f t="shared" si="58"/>
        <v>.</v>
      </c>
      <c r="AB114" s="1044" t="str">
        <f t="shared" si="59"/>
        <v>.</v>
      </c>
      <c r="AC114" s="1044" t="str">
        <f t="shared" si="60"/>
        <v>.</v>
      </c>
      <c r="AD114" s="1045" t="str">
        <f t="shared" si="61"/>
        <v>.</v>
      </c>
      <c r="AE114" s="3"/>
      <c r="AF114" s="1055" t="str">
        <f t="shared" ref="AF114:AF131" si="78">IFERROR(K114/J114-1,".")</f>
        <v>.</v>
      </c>
      <c r="AG114" s="258" t="str">
        <f t="shared" si="63"/>
        <v>.</v>
      </c>
      <c r="AH114" s="258" t="str">
        <f t="shared" si="64"/>
        <v>.</v>
      </c>
      <c r="AI114" s="258" t="str">
        <f t="shared" si="65"/>
        <v>.</v>
      </c>
      <c r="AJ114" s="258" t="str">
        <f t="shared" si="66"/>
        <v>.</v>
      </c>
      <c r="AK114" s="258" t="str">
        <f t="shared" si="67"/>
        <v>.</v>
      </c>
      <c r="AL114" s="1056" t="str">
        <f t="shared" si="68"/>
        <v>.</v>
      </c>
      <c r="AM114" s="3"/>
      <c r="AN114" s="1139" t="str">
        <f>IF(X114=".",".",SUM($X114:X114))</f>
        <v>.</v>
      </c>
      <c r="AO114" s="1140" t="str">
        <f>IF(Y114=".",".",SUM($X114:Y114))</f>
        <v>.</v>
      </c>
      <c r="AP114" s="1140" t="str">
        <f>IF(Z114=".",".",SUM($X114:Z114))</f>
        <v>.</v>
      </c>
      <c r="AQ114" s="1140" t="str">
        <f>IF(AA114=".",".",SUM($X114:AA114))</f>
        <v>.</v>
      </c>
      <c r="AR114" s="1140" t="str">
        <f>IF(AB114=".",".",SUM($X114:AB114))</f>
        <v>.</v>
      </c>
      <c r="AS114" s="1140" t="str">
        <f>IF(AC114=".",".",SUM($X114:AC114))</f>
        <v>.</v>
      </c>
      <c r="AT114" s="1141" t="str">
        <f>IF(AD114=".",".",SUM($X114:AD114))</f>
        <v>.</v>
      </c>
      <c r="AU114" s="3"/>
      <c r="AV114" s="1055" t="str">
        <f t="shared" si="76"/>
        <v>.</v>
      </c>
      <c r="AW114" s="258" t="str">
        <f t="shared" si="69"/>
        <v>.</v>
      </c>
      <c r="AX114" s="258" t="str">
        <f t="shared" si="70"/>
        <v>.</v>
      </c>
      <c r="AY114" s="258" t="str">
        <f t="shared" si="71"/>
        <v>.</v>
      </c>
      <c r="AZ114" s="258" t="str">
        <f t="shared" si="72"/>
        <v>.</v>
      </c>
      <c r="BA114" s="258" t="str">
        <f t="shared" si="73"/>
        <v>.</v>
      </c>
      <c r="BB114" s="1056" t="str">
        <f t="shared" si="74"/>
        <v>.</v>
      </c>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row>
    <row r="115" spans="1:91" x14ac:dyDescent="0.2">
      <c r="A115" s="620"/>
      <c r="B115" s="290" t="s">
        <v>579</v>
      </c>
      <c r="C115" s="1022" t="str">
        <f>IF('WS3 - Notional General Income'!C35="","",'WS3 - Notional General Income'!C35)</f>
        <v/>
      </c>
      <c r="D115" s="1006" t="s">
        <v>687</v>
      </c>
      <c r="E115" s="1022"/>
      <c r="F115" s="1022"/>
      <c r="G115" s="1022"/>
      <c r="H115" s="1022"/>
      <c r="I115" s="1022"/>
      <c r="J115" s="1023" t="str">
        <f>IF('WS3 - Notional General Income'!L35=".",".",'WS3 - Notional General Income'!L35/'WS3 - Notional General Income'!D35)</f>
        <v>.</v>
      </c>
      <c r="K115" s="1023" t="str">
        <f>IF('WS4 - Yr 1 YIELD'!L32=".",".",'WS4 - Yr 1 YIELD'!L32/'WS4 - Yr 1 YIELD'!D32)</f>
        <v>.</v>
      </c>
      <c r="L115" s="1024"/>
      <c r="M115" s="1024"/>
      <c r="N115" s="1024"/>
      <c r="O115" s="1024"/>
      <c r="P115" s="1024"/>
      <c r="Q115" s="1012"/>
      <c r="R115" s="76"/>
      <c r="S115" s="3"/>
      <c r="T115" s="1028">
        <f>'WS3 - Notional General Income'!$D35</f>
        <v>0</v>
      </c>
      <c r="U115" s="1029">
        <f>'WS4 - Yr 1 YIELD'!$D32</f>
        <v>0</v>
      </c>
      <c r="V115" s="1035"/>
      <c r="W115" s="3"/>
      <c r="X115" s="1043" t="str">
        <f t="shared" si="75"/>
        <v>.</v>
      </c>
      <c r="Y115" s="1044" t="str">
        <f t="shared" si="56"/>
        <v>.</v>
      </c>
      <c r="Z115" s="1044" t="str">
        <f t="shared" si="57"/>
        <v>.</v>
      </c>
      <c r="AA115" s="1044" t="str">
        <f t="shared" si="58"/>
        <v>.</v>
      </c>
      <c r="AB115" s="1044" t="str">
        <f t="shared" si="59"/>
        <v>.</v>
      </c>
      <c r="AC115" s="1044" t="str">
        <f t="shared" si="60"/>
        <v>.</v>
      </c>
      <c r="AD115" s="1045" t="str">
        <f t="shared" si="61"/>
        <v>.</v>
      </c>
      <c r="AE115" s="3"/>
      <c r="AF115" s="1055" t="str">
        <f t="shared" si="78"/>
        <v>.</v>
      </c>
      <c r="AG115" s="258" t="str">
        <f t="shared" si="63"/>
        <v>.</v>
      </c>
      <c r="AH115" s="258" t="str">
        <f t="shared" si="64"/>
        <v>.</v>
      </c>
      <c r="AI115" s="258" t="str">
        <f t="shared" si="65"/>
        <v>.</v>
      </c>
      <c r="AJ115" s="258" t="str">
        <f t="shared" si="66"/>
        <v>.</v>
      </c>
      <c r="AK115" s="258" t="str">
        <f t="shared" si="67"/>
        <v>.</v>
      </c>
      <c r="AL115" s="1056" t="str">
        <f t="shared" si="68"/>
        <v>.</v>
      </c>
      <c r="AM115" s="3"/>
      <c r="AN115" s="1139" t="str">
        <f>IF(X115=".",".",SUM($X115:X115))</f>
        <v>.</v>
      </c>
      <c r="AO115" s="1140" t="str">
        <f>IF(Y115=".",".",SUM($X115:Y115))</f>
        <v>.</v>
      </c>
      <c r="AP115" s="1140" t="str">
        <f>IF(Z115=".",".",SUM($X115:Z115))</f>
        <v>.</v>
      </c>
      <c r="AQ115" s="1140" t="str">
        <f>IF(AA115=".",".",SUM($X115:AA115))</f>
        <v>.</v>
      </c>
      <c r="AR115" s="1140" t="str">
        <f>IF(AB115=".",".",SUM($X115:AB115))</f>
        <v>.</v>
      </c>
      <c r="AS115" s="1140" t="str">
        <f>IF(AC115=".",".",SUM($X115:AC115))</f>
        <v>.</v>
      </c>
      <c r="AT115" s="1141" t="str">
        <f>IF(AD115=".",".",SUM($X115:AD115))</f>
        <v>.</v>
      </c>
      <c r="AU115" s="3"/>
      <c r="AV115" s="1055" t="str">
        <f t="shared" si="76"/>
        <v>.</v>
      </c>
      <c r="AW115" s="258" t="str">
        <f t="shared" si="69"/>
        <v>.</v>
      </c>
      <c r="AX115" s="258" t="str">
        <f t="shared" si="70"/>
        <v>.</v>
      </c>
      <c r="AY115" s="258" t="str">
        <f t="shared" si="71"/>
        <v>.</v>
      </c>
      <c r="AZ115" s="258" t="str">
        <f t="shared" si="72"/>
        <v>.</v>
      </c>
      <c r="BA115" s="258" t="str">
        <f t="shared" si="73"/>
        <v>.</v>
      </c>
      <c r="BB115" s="1056" t="str">
        <f t="shared" si="74"/>
        <v>.</v>
      </c>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row>
    <row r="116" spans="1:91" x14ac:dyDescent="0.2">
      <c r="A116" s="620"/>
      <c r="B116" s="290" t="s">
        <v>579</v>
      </c>
      <c r="C116" s="1022" t="str">
        <f>IF('WS3 - Notional General Income'!C36="","",'WS3 - Notional General Income'!C36)</f>
        <v/>
      </c>
      <c r="D116" s="1006" t="s">
        <v>687</v>
      </c>
      <c r="E116" s="1022"/>
      <c r="F116" s="1022"/>
      <c r="G116" s="1022"/>
      <c r="H116" s="1022"/>
      <c r="I116" s="1022"/>
      <c r="J116" s="1023" t="str">
        <f>IF('WS3 - Notional General Income'!L36=".",".",'WS3 - Notional General Income'!L36/'WS3 - Notional General Income'!D36)</f>
        <v>.</v>
      </c>
      <c r="K116" s="1023" t="str">
        <f>IF('WS4 - Yr 1 YIELD'!L33=".",".",'WS4 - Yr 1 YIELD'!L33/'WS4 - Yr 1 YIELD'!D33)</f>
        <v>.</v>
      </c>
      <c r="L116" s="1024"/>
      <c r="M116" s="1024"/>
      <c r="N116" s="1024"/>
      <c r="O116" s="1024"/>
      <c r="P116" s="1024"/>
      <c r="Q116" s="1012"/>
      <c r="R116" s="76"/>
      <c r="S116" s="3"/>
      <c r="T116" s="1028">
        <f>'WS3 - Notional General Income'!$D36</f>
        <v>0</v>
      </c>
      <c r="U116" s="1029">
        <f>'WS4 - Yr 1 YIELD'!$D33</f>
        <v>0</v>
      </c>
      <c r="V116" s="1035"/>
      <c r="W116" s="3"/>
      <c r="X116" s="1043" t="str">
        <f t="shared" si="75"/>
        <v>.</v>
      </c>
      <c r="Y116" s="1044" t="str">
        <f t="shared" si="56"/>
        <v>.</v>
      </c>
      <c r="Z116" s="1044" t="str">
        <f t="shared" si="57"/>
        <v>.</v>
      </c>
      <c r="AA116" s="1044" t="str">
        <f t="shared" si="58"/>
        <v>.</v>
      </c>
      <c r="AB116" s="1044" t="str">
        <f t="shared" si="59"/>
        <v>.</v>
      </c>
      <c r="AC116" s="1044" t="str">
        <f t="shared" si="60"/>
        <v>.</v>
      </c>
      <c r="AD116" s="1045" t="str">
        <f t="shared" si="61"/>
        <v>.</v>
      </c>
      <c r="AE116" s="3"/>
      <c r="AF116" s="1055" t="str">
        <f t="shared" si="78"/>
        <v>.</v>
      </c>
      <c r="AG116" s="258" t="str">
        <f t="shared" si="63"/>
        <v>.</v>
      </c>
      <c r="AH116" s="258" t="str">
        <f t="shared" si="64"/>
        <v>.</v>
      </c>
      <c r="AI116" s="258" t="str">
        <f t="shared" si="65"/>
        <v>.</v>
      </c>
      <c r="AJ116" s="258" t="str">
        <f t="shared" si="66"/>
        <v>.</v>
      </c>
      <c r="AK116" s="258" t="str">
        <f t="shared" si="67"/>
        <v>.</v>
      </c>
      <c r="AL116" s="1056" t="str">
        <f t="shared" si="68"/>
        <v>.</v>
      </c>
      <c r="AM116" s="3"/>
      <c r="AN116" s="1139" t="str">
        <f>IF(X116=".",".",SUM($X116:X116))</f>
        <v>.</v>
      </c>
      <c r="AO116" s="1140" t="str">
        <f>IF(Y116=".",".",SUM($X116:Y116))</f>
        <v>.</v>
      </c>
      <c r="AP116" s="1140" t="str">
        <f>IF(Z116=".",".",SUM($X116:Z116))</f>
        <v>.</v>
      </c>
      <c r="AQ116" s="1140" t="str">
        <f>IF(AA116=".",".",SUM($X116:AA116))</f>
        <v>.</v>
      </c>
      <c r="AR116" s="1140" t="str">
        <f>IF(AB116=".",".",SUM($X116:AB116))</f>
        <v>.</v>
      </c>
      <c r="AS116" s="1140" t="str">
        <f>IF(AC116=".",".",SUM($X116:AC116))</f>
        <v>.</v>
      </c>
      <c r="AT116" s="1141" t="str">
        <f>IF(AD116=".",".",SUM($X116:AD116))</f>
        <v>.</v>
      </c>
      <c r="AU116" s="3"/>
      <c r="AV116" s="1055" t="str">
        <f t="shared" si="76"/>
        <v>.</v>
      </c>
      <c r="AW116" s="258" t="str">
        <f t="shared" si="69"/>
        <v>.</v>
      </c>
      <c r="AX116" s="258" t="str">
        <f t="shared" si="70"/>
        <v>.</v>
      </c>
      <c r="AY116" s="258" t="str">
        <f t="shared" si="71"/>
        <v>.</v>
      </c>
      <c r="AZ116" s="258" t="str">
        <f t="shared" si="72"/>
        <v>.</v>
      </c>
      <c r="BA116" s="258" t="str">
        <f t="shared" si="73"/>
        <v>.</v>
      </c>
      <c r="BB116" s="1056" t="str">
        <f t="shared" si="74"/>
        <v>.</v>
      </c>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row>
    <row r="117" spans="1:91" x14ac:dyDescent="0.2">
      <c r="A117" s="620"/>
      <c r="B117" s="290" t="s">
        <v>579</v>
      </c>
      <c r="C117" s="1022" t="str">
        <f>IF('WS3 - Notional General Income'!C37="","",'WS3 - Notional General Income'!C37)</f>
        <v/>
      </c>
      <c r="D117" s="1006" t="s">
        <v>687</v>
      </c>
      <c r="E117" s="1022"/>
      <c r="F117" s="1022"/>
      <c r="G117" s="1022"/>
      <c r="H117" s="1022"/>
      <c r="I117" s="1022"/>
      <c r="J117" s="1023" t="str">
        <f>IF('WS3 - Notional General Income'!L37=".",".",'WS3 - Notional General Income'!L37/'WS3 - Notional General Income'!D37)</f>
        <v>.</v>
      </c>
      <c r="K117" s="1023" t="str">
        <f>IF('WS4 - Yr 1 YIELD'!L34=".",".",'WS4 - Yr 1 YIELD'!L34/'WS4 - Yr 1 YIELD'!D34)</f>
        <v>.</v>
      </c>
      <c r="L117" s="1024"/>
      <c r="M117" s="1024"/>
      <c r="N117" s="1024"/>
      <c r="O117" s="1024"/>
      <c r="P117" s="1024"/>
      <c r="Q117" s="1012"/>
      <c r="R117" s="76"/>
      <c r="S117" s="3"/>
      <c r="T117" s="1028">
        <f>'WS3 - Notional General Income'!$D37</f>
        <v>0</v>
      </c>
      <c r="U117" s="1029">
        <f>'WS4 - Yr 1 YIELD'!$D34</f>
        <v>0</v>
      </c>
      <c r="V117" s="1035"/>
      <c r="W117" s="3"/>
      <c r="X117" s="1043" t="str">
        <f t="shared" si="75"/>
        <v>.</v>
      </c>
      <c r="Y117" s="1044" t="str">
        <f t="shared" si="56"/>
        <v>.</v>
      </c>
      <c r="Z117" s="1044" t="str">
        <f t="shared" si="57"/>
        <v>.</v>
      </c>
      <c r="AA117" s="1044" t="str">
        <f t="shared" si="58"/>
        <v>.</v>
      </c>
      <c r="AB117" s="1044" t="str">
        <f t="shared" si="59"/>
        <v>.</v>
      </c>
      <c r="AC117" s="1044" t="str">
        <f t="shared" si="60"/>
        <v>.</v>
      </c>
      <c r="AD117" s="1045" t="str">
        <f t="shared" si="61"/>
        <v>.</v>
      </c>
      <c r="AE117" s="3"/>
      <c r="AF117" s="1055" t="str">
        <f t="shared" si="78"/>
        <v>.</v>
      </c>
      <c r="AG117" s="258" t="str">
        <f t="shared" si="63"/>
        <v>.</v>
      </c>
      <c r="AH117" s="258" t="str">
        <f t="shared" si="64"/>
        <v>.</v>
      </c>
      <c r="AI117" s="258" t="str">
        <f t="shared" si="65"/>
        <v>.</v>
      </c>
      <c r="AJ117" s="258" t="str">
        <f t="shared" si="66"/>
        <v>.</v>
      </c>
      <c r="AK117" s="258" t="str">
        <f t="shared" si="67"/>
        <v>.</v>
      </c>
      <c r="AL117" s="1056" t="str">
        <f t="shared" si="68"/>
        <v>.</v>
      </c>
      <c r="AM117" s="3"/>
      <c r="AN117" s="1139" t="str">
        <f>IF(X117=".",".",SUM($X117:X117))</f>
        <v>.</v>
      </c>
      <c r="AO117" s="1140" t="str">
        <f>IF(Y117=".",".",SUM($X117:Y117))</f>
        <v>.</v>
      </c>
      <c r="AP117" s="1140" t="str">
        <f>IF(Z117=".",".",SUM($X117:Z117))</f>
        <v>.</v>
      </c>
      <c r="AQ117" s="1140" t="str">
        <f>IF(AA117=".",".",SUM($X117:AA117))</f>
        <v>.</v>
      </c>
      <c r="AR117" s="1140" t="str">
        <f>IF(AB117=".",".",SUM($X117:AB117))</f>
        <v>.</v>
      </c>
      <c r="AS117" s="1140" t="str">
        <f>IF(AC117=".",".",SUM($X117:AC117))</f>
        <v>.</v>
      </c>
      <c r="AT117" s="1141" t="str">
        <f>IF(AD117=".",".",SUM($X117:AD117))</f>
        <v>.</v>
      </c>
      <c r="AU117" s="3"/>
      <c r="AV117" s="1055" t="str">
        <f t="shared" si="76"/>
        <v>.</v>
      </c>
      <c r="AW117" s="258" t="str">
        <f t="shared" si="69"/>
        <v>.</v>
      </c>
      <c r="AX117" s="258" t="str">
        <f t="shared" si="70"/>
        <v>.</v>
      </c>
      <c r="AY117" s="258" t="str">
        <f t="shared" si="71"/>
        <v>.</v>
      </c>
      <c r="AZ117" s="258" t="str">
        <f t="shared" si="72"/>
        <v>.</v>
      </c>
      <c r="BA117" s="258" t="str">
        <f t="shared" si="73"/>
        <v>.</v>
      </c>
      <c r="BB117" s="1056" t="str">
        <f t="shared" si="74"/>
        <v>.</v>
      </c>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row>
    <row r="118" spans="1:91" x14ac:dyDescent="0.2">
      <c r="A118" s="620"/>
      <c r="B118" s="290" t="s">
        <v>579</v>
      </c>
      <c r="C118" s="1022" t="str">
        <f>IF('WS3 - Notional General Income'!C38="","",'WS3 - Notional General Income'!C38)</f>
        <v/>
      </c>
      <c r="D118" s="1006" t="s">
        <v>687</v>
      </c>
      <c r="E118" s="1022"/>
      <c r="F118" s="1022"/>
      <c r="G118" s="1022"/>
      <c r="H118" s="1022"/>
      <c r="I118" s="1022"/>
      <c r="J118" s="1023" t="str">
        <f>IF('WS3 - Notional General Income'!L38=".",".",'WS3 - Notional General Income'!L38/'WS3 - Notional General Income'!D38)</f>
        <v>.</v>
      </c>
      <c r="K118" s="1023" t="str">
        <f>IF('WS4 - Yr 1 YIELD'!L35=".",".",'WS4 - Yr 1 YIELD'!L35/'WS4 - Yr 1 YIELD'!D35)</f>
        <v>.</v>
      </c>
      <c r="L118" s="1024"/>
      <c r="M118" s="1024"/>
      <c r="N118" s="1024"/>
      <c r="O118" s="1024"/>
      <c r="P118" s="1024"/>
      <c r="Q118" s="1012"/>
      <c r="R118" s="76"/>
      <c r="S118" s="3"/>
      <c r="T118" s="1028">
        <f>'WS3 - Notional General Income'!$D38</f>
        <v>0</v>
      </c>
      <c r="U118" s="1029">
        <f>'WS4 - Yr 1 YIELD'!$D35</f>
        <v>0</v>
      </c>
      <c r="V118" s="1035"/>
      <c r="W118" s="3"/>
      <c r="X118" s="1043" t="str">
        <f t="shared" si="75"/>
        <v>.</v>
      </c>
      <c r="Y118" s="1044" t="str">
        <f t="shared" si="56"/>
        <v>.</v>
      </c>
      <c r="Z118" s="1044" t="str">
        <f t="shared" si="57"/>
        <v>.</v>
      </c>
      <c r="AA118" s="1044" t="str">
        <f t="shared" si="58"/>
        <v>.</v>
      </c>
      <c r="AB118" s="1044" t="str">
        <f t="shared" si="59"/>
        <v>.</v>
      </c>
      <c r="AC118" s="1044" t="str">
        <f t="shared" si="60"/>
        <v>.</v>
      </c>
      <c r="AD118" s="1045" t="str">
        <f t="shared" si="61"/>
        <v>.</v>
      </c>
      <c r="AE118" s="3"/>
      <c r="AF118" s="1055" t="str">
        <f t="shared" si="78"/>
        <v>.</v>
      </c>
      <c r="AG118" s="258" t="str">
        <f t="shared" si="63"/>
        <v>.</v>
      </c>
      <c r="AH118" s="258" t="str">
        <f t="shared" si="64"/>
        <v>.</v>
      </c>
      <c r="AI118" s="258" t="str">
        <f t="shared" si="65"/>
        <v>.</v>
      </c>
      <c r="AJ118" s="258" t="str">
        <f t="shared" si="66"/>
        <v>.</v>
      </c>
      <c r="AK118" s="258" t="str">
        <f t="shared" si="67"/>
        <v>.</v>
      </c>
      <c r="AL118" s="1056" t="str">
        <f t="shared" si="68"/>
        <v>.</v>
      </c>
      <c r="AM118" s="3"/>
      <c r="AN118" s="1139" t="str">
        <f>IF(X118=".",".",SUM($X118:X118))</f>
        <v>.</v>
      </c>
      <c r="AO118" s="1140" t="str">
        <f>IF(Y118=".",".",SUM($X118:Y118))</f>
        <v>.</v>
      </c>
      <c r="AP118" s="1140" t="str">
        <f>IF(Z118=".",".",SUM($X118:Z118))</f>
        <v>.</v>
      </c>
      <c r="AQ118" s="1140" t="str">
        <f>IF(AA118=".",".",SUM($X118:AA118))</f>
        <v>.</v>
      </c>
      <c r="AR118" s="1140" t="str">
        <f>IF(AB118=".",".",SUM($X118:AB118))</f>
        <v>.</v>
      </c>
      <c r="AS118" s="1140" t="str">
        <f>IF(AC118=".",".",SUM($X118:AC118))</f>
        <v>.</v>
      </c>
      <c r="AT118" s="1141" t="str">
        <f>IF(AD118=".",".",SUM($X118:AD118))</f>
        <v>.</v>
      </c>
      <c r="AU118" s="3"/>
      <c r="AV118" s="1055" t="str">
        <f t="shared" si="76"/>
        <v>.</v>
      </c>
      <c r="AW118" s="258" t="str">
        <f t="shared" si="69"/>
        <v>.</v>
      </c>
      <c r="AX118" s="258" t="str">
        <f t="shared" si="70"/>
        <v>.</v>
      </c>
      <c r="AY118" s="258" t="str">
        <f t="shared" si="71"/>
        <v>.</v>
      </c>
      <c r="AZ118" s="258" t="str">
        <f t="shared" si="72"/>
        <v>.</v>
      </c>
      <c r="BA118" s="258" t="str">
        <f t="shared" si="73"/>
        <v>.</v>
      </c>
      <c r="BB118" s="1056" t="str">
        <f t="shared" si="74"/>
        <v>.</v>
      </c>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row>
    <row r="119" spans="1:91" x14ac:dyDescent="0.2">
      <c r="A119" s="620"/>
      <c r="B119" s="290" t="s">
        <v>579</v>
      </c>
      <c r="C119" s="1022" t="str">
        <f>IF('WS3 - Notional General Income'!C39="","",'WS3 - Notional General Income'!C39)</f>
        <v/>
      </c>
      <c r="D119" s="1006" t="s">
        <v>687</v>
      </c>
      <c r="E119" s="1022"/>
      <c r="F119" s="1022"/>
      <c r="G119" s="1022"/>
      <c r="H119" s="1022"/>
      <c r="I119" s="1022"/>
      <c r="J119" s="1023" t="str">
        <f>IF('WS3 - Notional General Income'!L39=".",".",'WS3 - Notional General Income'!L39/'WS3 - Notional General Income'!D39)</f>
        <v>.</v>
      </c>
      <c r="K119" s="1023" t="str">
        <f>IF('WS4 - Yr 1 YIELD'!L36=".",".",'WS4 - Yr 1 YIELD'!L36/'WS4 - Yr 1 YIELD'!D36)</f>
        <v>.</v>
      </c>
      <c r="L119" s="1024"/>
      <c r="M119" s="1024"/>
      <c r="N119" s="1024"/>
      <c r="O119" s="1024"/>
      <c r="P119" s="1024"/>
      <c r="Q119" s="1012"/>
      <c r="R119" s="76"/>
      <c r="S119" s="3"/>
      <c r="T119" s="1028">
        <f>'WS3 - Notional General Income'!$D39</f>
        <v>0</v>
      </c>
      <c r="U119" s="1029">
        <f>'WS4 - Yr 1 YIELD'!$D36</f>
        <v>0</v>
      </c>
      <c r="V119" s="1035"/>
      <c r="W119" s="3"/>
      <c r="X119" s="1043" t="str">
        <f t="shared" si="75"/>
        <v>.</v>
      </c>
      <c r="Y119" s="1044" t="str">
        <f t="shared" si="56"/>
        <v>.</v>
      </c>
      <c r="Z119" s="1044" t="str">
        <f t="shared" si="57"/>
        <v>.</v>
      </c>
      <c r="AA119" s="1044" t="str">
        <f t="shared" si="58"/>
        <v>.</v>
      </c>
      <c r="AB119" s="1044" t="str">
        <f t="shared" si="59"/>
        <v>.</v>
      </c>
      <c r="AC119" s="1044" t="str">
        <f t="shared" si="60"/>
        <v>.</v>
      </c>
      <c r="AD119" s="1045" t="str">
        <f t="shared" si="61"/>
        <v>.</v>
      </c>
      <c r="AE119" s="3"/>
      <c r="AF119" s="1055" t="str">
        <f t="shared" si="78"/>
        <v>.</v>
      </c>
      <c r="AG119" s="258" t="str">
        <f t="shared" si="63"/>
        <v>.</v>
      </c>
      <c r="AH119" s="258" t="str">
        <f t="shared" si="64"/>
        <v>.</v>
      </c>
      <c r="AI119" s="258" t="str">
        <f t="shared" si="65"/>
        <v>.</v>
      </c>
      <c r="AJ119" s="258" t="str">
        <f t="shared" si="66"/>
        <v>.</v>
      </c>
      <c r="AK119" s="258" t="str">
        <f t="shared" si="67"/>
        <v>.</v>
      </c>
      <c r="AL119" s="1056" t="str">
        <f t="shared" si="68"/>
        <v>.</v>
      </c>
      <c r="AM119" s="3"/>
      <c r="AN119" s="1139" t="str">
        <f>IF(X119=".",".",SUM($X119:X119))</f>
        <v>.</v>
      </c>
      <c r="AO119" s="1140" t="str">
        <f>IF(Y119=".",".",SUM($X119:Y119))</f>
        <v>.</v>
      </c>
      <c r="AP119" s="1140" t="str">
        <f>IF(Z119=".",".",SUM($X119:Z119))</f>
        <v>.</v>
      </c>
      <c r="AQ119" s="1140" t="str">
        <f>IF(AA119=".",".",SUM($X119:AA119))</f>
        <v>.</v>
      </c>
      <c r="AR119" s="1140" t="str">
        <f>IF(AB119=".",".",SUM($X119:AB119))</f>
        <v>.</v>
      </c>
      <c r="AS119" s="1140" t="str">
        <f>IF(AC119=".",".",SUM($X119:AC119))</f>
        <v>.</v>
      </c>
      <c r="AT119" s="1141" t="str">
        <f>IF(AD119=".",".",SUM($X119:AD119))</f>
        <v>.</v>
      </c>
      <c r="AU119" s="3"/>
      <c r="AV119" s="1055" t="str">
        <f t="shared" si="76"/>
        <v>.</v>
      </c>
      <c r="AW119" s="258" t="str">
        <f t="shared" si="69"/>
        <v>.</v>
      </c>
      <c r="AX119" s="258" t="str">
        <f t="shared" si="70"/>
        <v>.</v>
      </c>
      <c r="AY119" s="258" t="str">
        <f t="shared" si="71"/>
        <v>.</v>
      </c>
      <c r="AZ119" s="258" t="str">
        <f t="shared" si="72"/>
        <v>.</v>
      </c>
      <c r="BA119" s="258" t="str">
        <f t="shared" si="73"/>
        <v>.</v>
      </c>
      <c r="BB119" s="1056" t="str">
        <f t="shared" si="74"/>
        <v>.</v>
      </c>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row>
    <row r="120" spans="1:91" ht="12.75" thickBot="1" x14ac:dyDescent="0.25">
      <c r="A120" s="620"/>
      <c r="B120" s="290" t="s">
        <v>579</v>
      </c>
      <c r="C120" s="1022" t="str">
        <f>IF('WS3 - Notional General Income'!C40="","",'WS3 - Notional General Income'!C40)</f>
        <v/>
      </c>
      <c r="D120" s="1006" t="s">
        <v>687</v>
      </c>
      <c r="E120" s="1022"/>
      <c r="F120" s="1022"/>
      <c r="G120" s="1022"/>
      <c r="H120" s="1022"/>
      <c r="I120" s="1022"/>
      <c r="J120" s="1023" t="str">
        <f>IF('WS3 - Notional General Income'!L40=".",".",'WS3 - Notional General Income'!L40/'WS3 - Notional General Income'!D40)</f>
        <v>.</v>
      </c>
      <c r="K120" s="1023" t="str">
        <f>IF('WS4 - Yr 1 YIELD'!L37=".",".",'WS4 - Yr 1 YIELD'!L37/'WS4 - Yr 1 YIELD'!D37)</f>
        <v>.</v>
      </c>
      <c r="L120" s="1024"/>
      <c r="M120" s="1024"/>
      <c r="N120" s="1024"/>
      <c r="O120" s="1024"/>
      <c r="P120" s="1024"/>
      <c r="Q120" s="1012"/>
      <c r="R120" s="76"/>
      <c r="S120" s="3"/>
      <c r="T120" s="1030">
        <f>'WS3 - Notional General Income'!$D40</f>
        <v>0</v>
      </c>
      <c r="U120" s="1031">
        <f>'WS4 - Yr 1 YIELD'!$D37</f>
        <v>0</v>
      </c>
      <c r="V120" s="1035"/>
      <c r="W120" s="3"/>
      <c r="X120" s="1043" t="str">
        <f t="shared" si="75"/>
        <v>.</v>
      </c>
      <c r="Y120" s="1044" t="str">
        <f t="shared" si="56"/>
        <v>.</v>
      </c>
      <c r="Z120" s="1044" t="str">
        <f t="shared" si="57"/>
        <v>.</v>
      </c>
      <c r="AA120" s="1044" t="str">
        <f t="shared" si="58"/>
        <v>.</v>
      </c>
      <c r="AB120" s="1044" t="str">
        <f t="shared" si="59"/>
        <v>.</v>
      </c>
      <c r="AC120" s="1044" t="str">
        <f t="shared" si="60"/>
        <v>.</v>
      </c>
      <c r="AD120" s="1045" t="str">
        <f t="shared" si="61"/>
        <v>.</v>
      </c>
      <c r="AE120" s="3"/>
      <c r="AF120" s="1055" t="str">
        <f t="shared" si="78"/>
        <v>.</v>
      </c>
      <c r="AG120" s="258" t="str">
        <f t="shared" si="63"/>
        <v>.</v>
      </c>
      <c r="AH120" s="258" t="str">
        <f t="shared" si="64"/>
        <v>.</v>
      </c>
      <c r="AI120" s="258" t="str">
        <f t="shared" si="65"/>
        <v>.</v>
      </c>
      <c r="AJ120" s="258" t="str">
        <f t="shared" si="66"/>
        <v>.</v>
      </c>
      <c r="AK120" s="258" t="str">
        <f t="shared" si="67"/>
        <v>.</v>
      </c>
      <c r="AL120" s="1056" t="str">
        <f t="shared" si="68"/>
        <v>.</v>
      </c>
      <c r="AM120" s="3"/>
      <c r="AN120" s="1139" t="str">
        <f>IF(X120=".",".",SUM($X120:X120))</f>
        <v>.</v>
      </c>
      <c r="AO120" s="1140" t="str">
        <f>IF(Y120=".",".",SUM($X120:Y120))</f>
        <v>.</v>
      </c>
      <c r="AP120" s="1140" t="str">
        <f>IF(Z120=".",".",SUM($X120:Z120))</f>
        <v>.</v>
      </c>
      <c r="AQ120" s="1140" t="str">
        <f>IF(AA120=".",".",SUM($X120:AA120))</f>
        <v>.</v>
      </c>
      <c r="AR120" s="1140" t="str">
        <f>IF(AB120=".",".",SUM($X120:AB120))</f>
        <v>.</v>
      </c>
      <c r="AS120" s="1140" t="str">
        <f>IF(AC120=".",".",SUM($X120:AC120))</f>
        <v>.</v>
      </c>
      <c r="AT120" s="1141" t="str">
        <f>IF(AD120=".",".",SUM($X120:AD120))</f>
        <v>.</v>
      </c>
      <c r="AU120" s="3"/>
      <c r="AV120" s="1055" t="str">
        <f t="shared" si="76"/>
        <v>.</v>
      </c>
      <c r="AW120" s="258" t="str">
        <f t="shared" si="69"/>
        <v>.</v>
      </c>
      <c r="AX120" s="258" t="str">
        <f t="shared" si="70"/>
        <v>.</v>
      </c>
      <c r="AY120" s="258" t="str">
        <f t="shared" si="71"/>
        <v>.</v>
      </c>
      <c r="AZ120" s="258" t="str">
        <f t="shared" si="72"/>
        <v>.</v>
      </c>
      <c r="BA120" s="258" t="str">
        <f t="shared" si="73"/>
        <v>.</v>
      </c>
      <c r="BB120" s="1056" t="str">
        <f t="shared" si="74"/>
        <v>.</v>
      </c>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row>
    <row r="121" spans="1:91" ht="12.75" thickTop="1" x14ac:dyDescent="0.2">
      <c r="A121" s="620"/>
      <c r="B121" s="290" t="s">
        <v>697</v>
      </c>
      <c r="C121" s="1022" t="str">
        <f>IF('WS3 - Notional General Income'!C96="","",'WS3 - Notional General Income'!C96)</f>
        <v/>
      </c>
      <c r="D121" s="1006" t="s">
        <v>687</v>
      </c>
      <c r="E121" s="1022"/>
      <c r="F121" s="1022"/>
      <c r="G121" s="1022"/>
      <c r="H121" s="1022"/>
      <c r="I121" s="1022"/>
      <c r="J121" s="1023" t="str">
        <f>IF('WS3 - Notional General Income'!L96=".",".",'WS3 - Notional General Income'!L96/'WS3 - Notional General Income'!D96)</f>
        <v>.</v>
      </c>
      <c r="K121" s="1023" t="str">
        <f>IF('WS4 - Yr 1 YIELD'!L93=".",".",'WS4 - Yr 1 YIELD'!L93/'WS4 - Yr 1 YIELD'!D93)</f>
        <v>.</v>
      </c>
      <c r="L121" s="1024"/>
      <c r="M121" s="1024"/>
      <c r="N121" s="1024"/>
      <c r="O121" s="1024"/>
      <c r="P121" s="1024"/>
      <c r="Q121" s="1024"/>
      <c r="R121" s="76"/>
      <c r="S121" s="3"/>
      <c r="T121" s="1028">
        <f>'WS3 - Notional General Income'!$D96</f>
        <v>0</v>
      </c>
      <c r="U121" s="1029">
        <f>'WS4 - Yr 1 YIELD'!$D93</f>
        <v>0</v>
      </c>
      <c r="V121" s="1035"/>
      <c r="W121" s="3"/>
      <c r="X121" s="1043" t="str">
        <f t="shared" si="75"/>
        <v>.</v>
      </c>
      <c r="Y121" s="1044" t="str">
        <f t="shared" si="56"/>
        <v>.</v>
      </c>
      <c r="Z121" s="1044" t="str">
        <f t="shared" si="57"/>
        <v>.</v>
      </c>
      <c r="AA121" s="1044" t="str">
        <f t="shared" si="58"/>
        <v>.</v>
      </c>
      <c r="AB121" s="1044" t="str">
        <f t="shared" si="59"/>
        <v>.</v>
      </c>
      <c r="AC121" s="1044" t="str">
        <f t="shared" si="60"/>
        <v>.</v>
      </c>
      <c r="AD121" s="1045" t="str">
        <f t="shared" si="61"/>
        <v>.</v>
      </c>
      <c r="AE121" s="3"/>
      <c r="AF121" s="1055" t="str">
        <f t="shared" si="78"/>
        <v>.</v>
      </c>
      <c r="AG121" s="258" t="str">
        <f t="shared" si="63"/>
        <v>.</v>
      </c>
      <c r="AH121" s="258" t="str">
        <f t="shared" si="64"/>
        <v>.</v>
      </c>
      <c r="AI121" s="258" t="str">
        <f t="shared" si="65"/>
        <v>.</v>
      </c>
      <c r="AJ121" s="258" t="str">
        <f t="shared" si="66"/>
        <v>.</v>
      </c>
      <c r="AK121" s="258" t="str">
        <f t="shared" si="67"/>
        <v>.</v>
      </c>
      <c r="AL121" s="1056" t="str">
        <f t="shared" si="68"/>
        <v>.</v>
      </c>
      <c r="AM121" s="3"/>
      <c r="AN121" s="1139" t="str">
        <f>IF(X121=".",".",SUM($X121:X121))</f>
        <v>.</v>
      </c>
      <c r="AO121" s="1140" t="str">
        <f>IF(Y121=".",".",SUM($X121:Y121))</f>
        <v>.</v>
      </c>
      <c r="AP121" s="1140" t="str">
        <f>IF(Z121=".",".",SUM($X121:Z121))</f>
        <v>.</v>
      </c>
      <c r="AQ121" s="1140" t="str">
        <f>IF(AA121=".",".",SUM($X121:AA121))</f>
        <v>.</v>
      </c>
      <c r="AR121" s="1140" t="str">
        <f>IF(AB121=".",".",SUM($X121:AB121))</f>
        <v>.</v>
      </c>
      <c r="AS121" s="1140" t="str">
        <f>IF(AC121=".",".",SUM($X121:AC121))</f>
        <v>.</v>
      </c>
      <c r="AT121" s="1141" t="str">
        <f>IF(AD121=".",".",SUM($X121:AD121))</f>
        <v>.</v>
      </c>
      <c r="AU121" s="3"/>
      <c r="AV121" s="1055" t="str">
        <f t="shared" si="76"/>
        <v>.</v>
      </c>
      <c r="AW121" s="258" t="str">
        <f t="shared" si="69"/>
        <v>.</v>
      </c>
      <c r="AX121" s="258" t="str">
        <f t="shared" si="70"/>
        <v>.</v>
      </c>
      <c r="AY121" s="258" t="str">
        <f t="shared" si="71"/>
        <v>.</v>
      </c>
      <c r="AZ121" s="258" t="str">
        <f t="shared" si="72"/>
        <v>.</v>
      </c>
      <c r="BA121" s="258" t="str">
        <f t="shared" si="73"/>
        <v>.</v>
      </c>
      <c r="BB121" s="1056" t="str">
        <f t="shared" si="74"/>
        <v>.</v>
      </c>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row>
    <row r="122" spans="1:91" x14ac:dyDescent="0.2">
      <c r="A122" s="620"/>
      <c r="B122" s="290" t="s">
        <v>697</v>
      </c>
      <c r="C122" s="1022" t="str">
        <f>IF('WS3 - Notional General Income'!C97="","",'WS3 - Notional General Income'!C97)</f>
        <v/>
      </c>
      <c r="D122" s="1006" t="s">
        <v>687</v>
      </c>
      <c r="E122" s="1022"/>
      <c r="F122" s="1022"/>
      <c r="G122" s="1022"/>
      <c r="H122" s="1022"/>
      <c r="I122" s="1022"/>
      <c r="J122" s="1023" t="str">
        <f>IF('WS3 - Notional General Income'!L97=".",".",'WS3 - Notional General Income'!L97/'WS3 - Notional General Income'!D97)</f>
        <v>.</v>
      </c>
      <c r="K122" s="1023" t="str">
        <f>IF('WS4 - Yr 1 YIELD'!L94=".",".",'WS4 - Yr 1 YIELD'!L94/'WS4 - Yr 1 YIELD'!D94)</f>
        <v>.</v>
      </c>
      <c r="L122" s="1024"/>
      <c r="M122" s="1024"/>
      <c r="N122" s="1024"/>
      <c r="O122" s="1024"/>
      <c r="P122" s="1024"/>
      <c r="Q122" s="1024"/>
      <c r="R122" s="76"/>
      <c r="S122" s="3"/>
      <c r="T122" s="1028">
        <f>'WS3 - Notional General Income'!$D97</f>
        <v>0</v>
      </c>
      <c r="U122" s="1029">
        <f>'WS4 - Yr 1 YIELD'!$D94</f>
        <v>0</v>
      </c>
      <c r="V122" s="1035"/>
      <c r="W122" s="3"/>
      <c r="X122" s="1043" t="str">
        <f t="shared" si="75"/>
        <v>.</v>
      </c>
      <c r="Y122" s="1044" t="str">
        <f t="shared" si="56"/>
        <v>.</v>
      </c>
      <c r="Z122" s="1044" t="str">
        <f t="shared" si="57"/>
        <v>.</v>
      </c>
      <c r="AA122" s="1044" t="str">
        <f t="shared" si="58"/>
        <v>.</v>
      </c>
      <c r="AB122" s="1044" t="str">
        <f t="shared" si="59"/>
        <v>.</v>
      </c>
      <c r="AC122" s="1044" t="str">
        <f t="shared" si="60"/>
        <v>.</v>
      </c>
      <c r="AD122" s="1045" t="str">
        <f t="shared" si="61"/>
        <v>.</v>
      </c>
      <c r="AE122" s="3"/>
      <c r="AF122" s="1055" t="str">
        <f t="shared" si="78"/>
        <v>.</v>
      </c>
      <c r="AG122" s="258" t="str">
        <f t="shared" si="63"/>
        <v>.</v>
      </c>
      <c r="AH122" s="258" t="str">
        <f t="shared" si="64"/>
        <v>.</v>
      </c>
      <c r="AI122" s="258" t="str">
        <f t="shared" si="65"/>
        <v>.</v>
      </c>
      <c r="AJ122" s="258" t="str">
        <f t="shared" si="66"/>
        <v>.</v>
      </c>
      <c r="AK122" s="258" t="str">
        <f t="shared" si="67"/>
        <v>.</v>
      </c>
      <c r="AL122" s="1056" t="str">
        <f t="shared" si="68"/>
        <v>.</v>
      </c>
      <c r="AM122" s="3"/>
      <c r="AN122" s="1139" t="str">
        <f>IF(X122=".",".",SUM($X122:X122))</f>
        <v>.</v>
      </c>
      <c r="AO122" s="1140" t="str">
        <f>IF(Y122=".",".",SUM($X122:Y122))</f>
        <v>.</v>
      </c>
      <c r="AP122" s="1140" t="str">
        <f>IF(Z122=".",".",SUM($X122:Z122))</f>
        <v>.</v>
      </c>
      <c r="AQ122" s="1140" t="str">
        <f>IF(AA122=".",".",SUM($X122:AA122))</f>
        <v>.</v>
      </c>
      <c r="AR122" s="1140" t="str">
        <f>IF(AB122=".",".",SUM($X122:AB122))</f>
        <v>.</v>
      </c>
      <c r="AS122" s="1140" t="str">
        <f>IF(AC122=".",".",SUM($X122:AC122))</f>
        <v>.</v>
      </c>
      <c r="AT122" s="1141" t="str">
        <f>IF(AD122=".",".",SUM($X122:AD122))</f>
        <v>.</v>
      </c>
      <c r="AU122" s="3"/>
      <c r="AV122" s="1055" t="str">
        <f t="shared" si="76"/>
        <v>.</v>
      </c>
      <c r="AW122" s="258" t="str">
        <f t="shared" si="69"/>
        <v>.</v>
      </c>
      <c r="AX122" s="258" t="str">
        <f t="shared" si="70"/>
        <v>.</v>
      </c>
      <c r="AY122" s="258" t="str">
        <f t="shared" si="71"/>
        <v>.</v>
      </c>
      <c r="AZ122" s="258" t="str">
        <f t="shared" si="72"/>
        <v>.</v>
      </c>
      <c r="BA122" s="258" t="str">
        <f t="shared" si="73"/>
        <v>.</v>
      </c>
      <c r="BB122" s="1056" t="str">
        <f t="shared" si="74"/>
        <v>.</v>
      </c>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row>
    <row r="123" spans="1:91" x14ac:dyDescent="0.2">
      <c r="A123" s="620"/>
      <c r="B123" s="290" t="s">
        <v>697</v>
      </c>
      <c r="C123" s="1022" t="str">
        <f>IF('WS3 - Notional General Income'!C98="","",'WS3 - Notional General Income'!C98)</f>
        <v/>
      </c>
      <c r="D123" s="1006" t="s">
        <v>687</v>
      </c>
      <c r="E123" s="1022"/>
      <c r="F123" s="1022"/>
      <c r="G123" s="1022"/>
      <c r="H123" s="1022"/>
      <c r="I123" s="1022"/>
      <c r="J123" s="1023" t="str">
        <f>IF('WS3 - Notional General Income'!L98=".",".",'WS3 - Notional General Income'!L98/'WS3 - Notional General Income'!D98)</f>
        <v>.</v>
      </c>
      <c r="K123" s="1023" t="str">
        <f>IF('WS4 - Yr 1 YIELD'!L95=".",".",'WS4 - Yr 1 YIELD'!L95/'WS4 - Yr 1 YIELD'!D95)</f>
        <v>.</v>
      </c>
      <c r="L123" s="1024"/>
      <c r="M123" s="1024"/>
      <c r="N123" s="1024"/>
      <c r="O123" s="1024"/>
      <c r="P123" s="1024"/>
      <c r="Q123" s="1012"/>
      <c r="R123" s="76"/>
      <c r="S123" s="3"/>
      <c r="T123" s="1028">
        <f>'WS3 - Notional General Income'!$D98</f>
        <v>0</v>
      </c>
      <c r="U123" s="1029">
        <f>'WS4 - Yr 1 YIELD'!$D95</f>
        <v>0</v>
      </c>
      <c r="V123" s="1035"/>
      <c r="W123" s="3"/>
      <c r="X123" s="1043" t="str">
        <f t="shared" si="75"/>
        <v>.</v>
      </c>
      <c r="Y123" s="1044" t="str">
        <f t="shared" si="56"/>
        <v>.</v>
      </c>
      <c r="Z123" s="1044" t="str">
        <f t="shared" si="57"/>
        <v>.</v>
      </c>
      <c r="AA123" s="1044" t="str">
        <f t="shared" si="58"/>
        <v>.</v>
      </c>
      <c r="AB123" s="1044" t="str">
        <f t="shared" si="59"/>
        <v>.</v>
      </c>
      <c r="AC123" s="1044" t="str">
        <f t="shared" si="60"/>
        <v>.</v>
      </c>
      <c r="AD123" s="1045" t="str">
        <f t="shared" si="61"/>
        <v>.</v>
      </c>
      <c r="AE123" s="3"/>
      <c r="AF123" s="1055" t="str">
        <f t="shared" si="78"/>
        <v>.</v>
      </c>
      <c r="AG123" s="258" t="str">
        <f t="shared" si="63"/>
        <v>.</v>
      </c>
      <c r="AH123" s="258" t="str">
        <f t="shared" si="64"/>
        <v>.</v>
      </c>
      <c r="AI123" s="258" t="str">
        <f t="shared" si="65"/>
        <v>.</v>
      </c>
      <c r="AJ123" s="258" t="str">
        <f t="shared" si="66"/>
        <v>.</v>
      </c>
      <c r="AK123" s="258" t="str">
        <f t="shared" si="67"/>
        <v>.</v>
      </c>
      <c r="AL123" s="1056" t="str">
        <f t="shared" si="68"/>
        <v>.</v>
      </c>
      <c r="AM123" s="3"/>
      <c r="AN123" s="1139" t="str">
        <f>IF(X123=".",".",SUM($X123:X123))</f>
        <v>.</v>
      </c>
      <c r="AO123" s="1140" t="str">
        <f>IF(Y123=".",".",SUM($X123:Y123))</f>
        <v>.</v>
      </c>
      <c r="AP123" s="1140" t="str">
        <f>IF(Z123=".",".",SUM($X123:Z123))</f>
        <v>.</v>
      </c>
      <c r="AQ123" s="1140" t="str">
        <f>IF(AA123=".",".",SUM($X123:AA123))</f>
        <v>.</v>
      </c>
      <c r="AR123" s="1140" t="str">
        <f>IF(AB123=".",".",SUM($X123:AB123))</f>
        <v>.</v>
      </c>
      <c r="AS123" s="1140" t="str">
        <f>IF(AC123=".",".",SUM($X123:AC123))</f>
        <v>.</v>
      </c>
      <c r="AT123" s="1141" t="str">
        <f>IF(AD123=".",".",SUM($X123:AD123))</f>
        <v>.</v>
      </c>
      <c r="AU123" s="3"/>
      <c r="AV123" s="1055" t="str">
        <f t="shared" si="76"/>
        <v>.</v>
      </c>
      <c r="AW123" s="258" t="str">
        <f t="shared" si="69"/>
        <v>.</v>
      </c>
      <c r="AX123" s="258" t="str">
        <f t="shared" si="70"/>
        <v>.</v>
      </c>
      <c r="AY123" s="258" t="str">
        <f t="shared" si="71"/>
        <v>.</v>
      </c>
      <c r="AZ123" s="258" t="str">
        <f t="shared" si="72"/>
        <v>.</v>
      </c>
      <c r="BA123" s="258" t="str">
        <f t="shared" si="73"/>
        <v>.</v>
      </c>
      <c r="BB123" s="1056" t="str">
        <f t="shared" si="74"/>
        <v>.</v>
      </c>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row>
    <row r="124" spans="1:91" x14ac:dyDescent="0.2">
      <c r="A124" s="620"/>
      <c r="B124" s="290" t="s">
        <v>697</v>
      </c>
      <c r="C124" s="1022" t="str">
        <f>IF('WS3 - Notional General Income'!C99="","",'WS3 - Notional General Income'!C99)</f>
        <v/>
      </c>
      <c r="D124" s="1006" t="s">
        <v>687</v>
      </c>
      <c r="E124" s="1022"/>
      <c r="F124" s="1022"/>
      <c r="G124" s="1022"/>
      <c r="H124" s="1022"/>
      <c r="I124" s="1022"/>
      <c r="J124" s="1023" t="str">
        <f>IF('WS3 - Notional General Income'!L99=".",".",'WS3 - Notional General Income'!L99/'WS3 - Notional General Income'!D99)</f>
        <v>.</v>
      </c>
      <c r="K124" s="1023" t="str">
        <f>IF('WS4 - Yr 1 YIELD'!L96=".",".",'WS4 - Yr 1 YIELD'!L96/'WS4 - Yr 1 YIELD'!D96)</f>
        <v>.</v>
      </c>
      <c r="L124" s="1024"/>
      <c r="M124" s="1024"/>
      <c r="N124" s="1024"/>
      <c r="O124" s="1024"/>
      <c r="P124" s="1024"/>
      <c r="Q124" s="1012"/>
      <c r="R124" s="76"/>
      <c r="S124" s="3"/>
      <c r="T124" s="1028">
        <f>'WS3 - Notional General Income'!$D99</f>
        <v>0</v>
      </c>
      <c r="U124" s="1029">
        <f>'WS4 - Yr 1 YIELD'!$D96</f>
        <v>0</v>
      </c>
      <c r="V124" s="1035"/>
      <c r="W124" s="3"/>
      <c r="X124" s="1043" t="str">
        <f t="shared" si="75"/>
        <v>.</v>
      </c>
      <c r="Y124" s="1044" t="str">
        <f t="shared" si="56"/>
        <v>.</v>
      </c>
      <c r="Z124" s="1044" t="str">
        <f t="shared" si="57"/>
        <v>.</v>
      </c>
      <c r="AA124" s="1044" t="str">
        <f t="shared" si="58"/>
        <v>.</v>
      </c>
      <c r="AB124" s="1044" t="str">
        <f t="shared" si="59"/>
        <v>.</v>
      </c>
      <c r="AC124" s="1044" t="str">
        <f t="shared" si="60"/>
        <v>.</v>
      </c>
      <c r="AD124" s="1045" t="str">
        <f t="shared" si="61"/>
        <v>.</v>
      </c>
      <c r="AE124" s="3"/>
      <c r="AF124" s="1055" t="str">
        <f t="shared" si="78"/>
        <v>.</v>
      </c>
      <c r="AG124" s="258" t="str">
        <f t="shared" si="63"/>
        <v>.</v>
      </c>
      <c r="AH124" s="258" t="str">
        <f t="shared" si="64"/>
        <v>.</v>
      </c>
      <c r="AI124" s="258" t="str">
        <f t="shared" si="65"/>
        <v>.</v>
      </c>
      <c r="AJ124" s="258" t="str">
        <f t="shared" si="66"/>
        <v>.</v>
      </c>
      <c r="AK124" s="258" t="str">
        <f t="shared" si="67"/>
        <v>.</v>
      </c>
      <c r="AL124" s="1056" t="str">
        <f t="shared" si="68"/>
        <v>.</v>
      </c>
      <c r="AM124" s="3"/>
      <c r="AN124" s="1139" t="str">
        <f>IF(X124=".",".",SUM($X124:X124))</f>
        <v>.</v>
      </c>
      <c r="AO124" s="1140" t="str">
        <f>IF(Y124=".",".",SUM($X124:Y124))</f>
        <v>.</v>
      </c>
      <c r="AP124" s="1140" t="str">
        <f>IF(Z124=".",".",SUM($X124:Z124))</f>
        <v>.</v>
      </c>
      <c r="AQ124" s="1140" t="str">
        <f>IF(AA124=".",".",SUM($X124:AA124))</f>
        <v>.</v>
      </c>
      <c r="AR124" s="1140" t="str">
        <f>IF(AB124=".",".",SUM($X124:AB124))</f>
        <v>.</v>
      </c>
      <c r="AS124" s="1140" t="str">
        <f>IF(AC124=".",".",SUM($X124:AC124))</f>
        <v>.</v>
      </c>
      <c r="AT124" s="1141" t="str">
        <f>IF(AD124=".",".",SUM($X124:AD124))</f>
        <v>.</v>
      </c>
      <c r="AU124" s="3"/>
      <c r="AV124" s="1055" t="str">
        <f t="shared" si="76"/>
        <v>.</v>
      </c>
      <c r="AW124" s="258" t="str">
        <f t="shared" si="69"/>
        <v>.</v>
      </c>
      <c r="AX124" s="258" t="str">
        <f t="shared" si="70"/>
        <v>.</v>
      </c>
      <c r="AY124" s="258" t="str">
        <f t="shared" si="71"/>
        <v>.</v>
      </c>
      <c r="AZ124" s="258" t="str">
        <f t="shared" si="72"/>
        <v>.</v>
      </c>
      <c r="BA124" s="258" t="str">
        <f t="shared" si="73"/>
        <v>.</v>
      </c>
      <c r="BB124" s="1056" t="str">
        <f t="shared" si="74"/>
        <v>.</v>
      </c>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row>
    <row r="125" spans="1:91" x14ac:dyDescent="0.2">
      <c r="A125" s="620"/>
      <c r="B125" s="290" t="s">
        <v>697</v>
      </c>
      <c r="C125" s="1022" t="str">
        <f>IF('WS3 - Notional General Income'!C100="","",'WS3 - Notional General Income'!C100)</f>
        <v/>
      </c>
      <c r="D125" s="1006" t="s">
        <v>687</v>
      </c>
      <c r="E125" s="1022"/>
      <c r="F125" s="1022"/>
      <c r="G125" s="1022"/>
      <c r="H125" s="1022"/>
      <c r="I125" s="1022"/>
      <c r="J125" s="1023" t="str">
        <f>IF('WS3 - Notional General Income'!L100=".",".",'WS3 - Notional General Income'!L100/'WS3 - Notional General Income'!D100)</f>
        <v>.</v>
      </c>
      <c r="K125" s="1023" t="str">
        <f>IF('WS4 - Yr 1 YIELD'!L97=".",".",'WS4 - Yr 1 YIELD'!L97/'WS4 - Yr 1 YIELD'!D97)</f>
        <v>.</v>
      </c>
      <c r="L125" s="1024"/>
      <c r="M125" s="1024"/>
      <c r="N125" s="1024"/>
      <c r="O125" s="1024"/>
      <c r="P125" s="1024"/>
      <c r="Q125" s="1012"/>
      <c r="R125" s="76"/>
      <c r="S125" s="3"/>
      <c r="T125" s="1028">
        <f>'WS3 - Notional General Income'!$D100</f>
        <v>0</v>
      </c>
      <c r="U125" s="1029">
        <f>'WS4 - Yr 1 YIELD'!$D97</f>
        <v>0</v>
      </c>
      <c r="V125" s="1035"/>
      <c r="W125" s="3"/>
      <c r="X125" s="1043" t="str">
        <f t="shared" si="75"/>
        <v>.</v>
      </c>
      <c r="Y125" s="1044" t="str">
        <f t="shared" si="56"/>
        <v>.</v>
      </c>
      <c r="Z125" s="1044" t="str">
        <f t="shared" si="57"/>
        <v>.</v>
      </c>
      <c r="AA125" s="1044" t="str">
        <f t="shared" si="58"/>
        <v>.</v>
      </c>
      <c r="AB125" s="1044" t="str">
        <f t="shared" si="59"/>
        <v>.</v>
      </c>
      <c r="AC125" s="1044" t="str">
        <f t="shared" si="60"/>
        <v>.</v>
      </c>
      <c r="AD125" s="1045" t="str">
        <f t="shared" si="61"/>
        <v>.</v>
      </c>
      <c r="AE125" s="3"/>
      <c r="AF125" s="1055" t="str">
        <f t="shared" si="78"/>
        <v>.</v>
      </c>
      <c r="AG125" s="258" t="str">
        <f t="shared" si="63"/>
        <v>.</v>
      </c>
      <c r="AH125" s="258" t="str">
        <f t="shared" si="64"/>
        <v>.</v>
      </c>
      <c r="AI125" s="258" t="str">
        <f t="shared" si="65"/>
        <v>.</v>
      </c>
      <c r="AJ125" s="258" t="str">
        <f t="shared" si="66"/>
        <v>.</v>
      </c>
      <c r="AK125" s="258" t="str">
        <f t="shared" si="67"/>
        <v>.</v>
      </c>
      <c r="AL125" s="1056" t="str">
        <f t="shared" si="68"/>
        <v>.</v>
      </c>
      <c r="AM125" s="3"/>
      <c r="AN125" s="1139" t="str">
        <f>IF(X125=".",".",SUM($X125:X125))</f>
        <v>.</v>
      </c>
      <c r="AO125" s="1140" t="str">
        <f>IF(Y125=".",".",SUM($X125:Y125))</f>
        <v>.</v>
      </c>
      <c r="AP125" s="1140" t="str">
        <f>IF(Z125=".",".",SUM($X125:Z125))</f>
        <v>.</v>
      </c>
      <c r="AQ125" s="1140" t="str">
        <f>IF(AA125=".",".",SUM($X125:AA125))</f>
        <v>.</v>
      </c>
      <c r="AR125" s="1140" t="str">
        <f>IF(AB125=".",".",SUM($X125:AB125))</f>
        <v>.</v>
      </c>
      <c r="AS125" s="1140" t="str">
        <f>IF(AC125=".",".",SUM($X125:AC125))</f>
        <v>.</v>
      </c>
      <c r="AT125" s="1141" t="str">
        <f>IF(AD125=".",".",SUM($X125:AD125))</f>
        <v>.</v>
      </c>
      <c r="AU125" s="3"/>
      <c r="AV125" s="1055" t="str">
        <f t="shared" si="76"/>
        <v>.</v>
      </c>
      <c r="AW125" s="258" t="str">
        <f t="shared" si="69"/>
        <v>.</v>
      </c>
      <c r="AX125" s="258" t="str">
        <f t="shared" si="70"/>
        <v>.</v>
      </c>
      <c r="AY125" s="258" t="str">
        <f t="shared" si="71"/>
        <v>.</v>
      </c>
      <c r="AZ125" s="258" t="str">
        <f t="shared" si="72"/>
        <v>.</v>
      </c>
      <c r="BA125" s="258" t="str">
        <f t="shared" si="73"/>
        <v>.</v>
      </c>
      <c r="BB125" s="1056" t="str">
        <f t="shared" si="74"/>
        <v>.</v>
      </c>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row>
    <row r="126" spans="1:91" x14ac:dyDescent="0.2">
      <c r="A126" s="620"/>
      <c r="B126" s="290" t="s">
        <v>697</v>
      </c>
      <c r="C126" s="1022" t="str">
        <f>IF('WS3 - Notional General Income'!C101="","",'WS3 - Notional General Income'!C101)</f>
        <v/>
      </c>
      <c r="D126" s="1006" t="s">
        <v>687</v>
      </c>
      <c r="E126" s="1022"/>
      <c r="F126" s="1022"/>
      <c r="G126" s="1022"/>
      <c r="H126" s="1022"/>
      <c r="I126" s="1022"/>
      <c r="J126" s="1023" t="str">
        <f>IF('WS3 - Notional General Income'!L101=".",".",'WS3 - Notional General Income'!L101/'WS3 - Notional General Income'!D101)</f>
        <v>.</v>
      </c>
      <c r="K126" s="1023" t="str">
        <f>IF('WS4 - Yr 1 YIELD'!L98=".",".",'WS4 - Yr 1 YIELD'!L98/'WS4 - Yr 1 YIELD'!D98)</f>
        <v>.</v>
      </c>
      <c r="L126" s="1024"/>
      <c r="M126" s="1024"/>
      <c r="N126" s="1024"/>
      <c r="O126" s="1024"/>
      <c r="P126" s="1024"/>
      <c r="Q126" s="1012"/>
      <c r="R126" s="76"/>
      <c r="S126" s="3"/>
      <c r="T126" s="1028">
        <f>'WS3 - Notional General Income'!$D101</f>
        <v>0</v>
      </c>
      <c r="U126" s="1029">
        <f>'WS4 - Yr 1 YIELD'!$D98</f>
        <v>0</v>
      </c>
      <c r="V126" s="1035"/>
      <c r="W126" s="3"/>
      <c r="X126" s="1043" t="str">
        <f t="shared" si="75"/>
        <v>.</v>
      </c>
      <c r="Y126" s="1044" t="str">
        <f t="shared" si="56"/>
        <v>.</v>
      </c>
      <c r="Z126" s="1044" t="str">
        <f t="shared" si="57"/>
        <v>.</v>
      </c>
      <c r="AA126" s="1044" t="str">
        <f t="shared" si="58"/>
        <v>.</v>
      </c>
      <c r="AB126" s="1044" t="str">
        <f t="shared" si="59"/>
        <v>.</v>
      </c>
      <c r="AC126" s="1044" t="str">
        <f t="shared" si="60"/>
        <v>.</v>
      </c>
      <c r="AD126" s="1045" t="str">
        <f t="shared" si="61"/>
        <v>.</v>
      </c>
      <c r="AE126" s="3"/>
      <c r="AF126" s="1055" t="str">
        <f t="shared" si="78"/>
        <v>.</v>
      </c>
      <c r="AG126" s="258" t="str">
        <f t="shared" si="63"/>
        <v>.</v>
      </c>
      <c r="AH126" s="258" t="str">
        <f t="shared" si="64"/>
        <v>.</v>
      </c>
      <c r="AI126" s="258" t="str">
        <f t="shared" si="65"/>
        <v>.</v>
      </c>
      <c r="AJ126" s="258" t="str">
        <f t="shared" si="66"/>
        <v>.</v>
      </c>
      <c r="AK126" s="258" t="str">
        <f t="shared" si="67"/>
        <v>.</v>
      </c>
      <c r="AL126" s="1056" t="str">
        <f t="shared" si="68"/>
        <v>.</v>
      </c>
      <c r="AM126" s="3"/>
      <c r="AN126" s="1139" t="str">
        <f>IF(X126=".",".",SUM($X126:X126))</f>
        <v>.</v>
      </c>
      <c r="AO126" s="1140" t="str">
        <f>IF(Y126=".",".",SUM($X126:Y126))</f>
        <v>.</v>
      </c>
      <c r="AP126" s="1140" t="str">
        <f>IF(Z126=".",".",SUM($X126:Z126))</f>
        <v>.</v>
      </c>
      <c r="AQ126" s="1140" t="str">
        <f>IF(AA126=".",".",SUM($X126:AA126))</f>
        <v>.</v>
      </c>
      <c r="AR126" s="1140" t="str">
        <f>IF(AB126=".",".",SUM($X126:AB126))</f>
        <v>.</v>
      </c>
      <c r="AS126" s="1140" t="str">
        <f>IF(AC126=".",".",SUM($X126:AC126))</f>
        <v>.</v>
      </c>
      <c r="AT126" s="1141" t="str">
        <f>IF(AD126=".",".",SUM($X126:AD126))</f>
        <v>.</v>
      </c>
      <c r="AU126" s="3"/>
      <c r="AV126" s="1055" t="str">
        <f t="shared" si="76"/>
        <v>.</v>
      </c>
      <c r="AW126" s="258" t="str">
        <f t="shared" si="69"/>
        <v>.</v>
      </c>
      <c r="AX126" s="258" t="str">
        <f t="shared" si="70"/>
        <v>.</v>
      </c>
      <c r="AY126" s="258" t="str">
        <f t="shared" si="71"/>
        <v>.</v>
      </c>
      <c r="AZ126" s="258" t="str">
        <f t="shared" si="72"/>
        <v>.</v>
      </c>
      <c r="BA126" s="258" t="str">
        <f t="shared" si="73"/>
        <v>.</v>
      </c>
      <c r="BB126" s="1056" t="str">
        <f t="shared" si="74"/>
        <v>.</v>
      </c>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row>
    <row r="127" spans="1:91" x14ac:dyDescent="0.2">
      <c r="A127" s="620"/>
      <c r="B127" s="290" t="s">
        <v>697</v>
      </c>
      <c r="C127" s="1022" t="str">
        <f>IF('WS3 - Notional General Income'!C102="","",'WS3 - Notional General Income'!C102)</f>
        <v/>
      </c>
      <c r="D127" s="1006" t="s">
        <v>687</v>
      </c>
      <c r="E127" s="1022"/>
      <c r="F127" s="1022"/>
      <c r="G127" s="1022"/>
      <c r="H127" s="1022"/>
      <c r="I127" s="1022"/>
      <c r="J127" s="1023" t="str">
        <f>IF('WS3 - Notional General Income'!L102=".",".",'WS3 - Notional General Income'!L102/'WS3 - Notional General Income'!D102)</f>
        <v>.</v>
      </c>
      <c r="K127" s="1023" t="str">
        <f>IF('WS4 - Yr 1 YIELD'!L99=".",".",'WS4 - Yr 1 YIELD'!L99/'WS4 - Yr 1 YIELD'!D99)</f>
        <v>.</v>
      </c>
      <c r="L127" s="1024"/>
      <c r="M127" s="1024"/>
      <c r="N127" s="1024"/>
      <c r="O127" s="1024"/>
      <c r="P127" s="1024"/>
      <c r="Q127" s="1012"/>
      <c r="R127" s="76"/>
      <c r="S127" s="3"/>
      <c r="T127" s="1028">
        <f>'WS3 - Notional General Income'!$D102</f>
        <v>0</v>
      </c>
      <c r="U127" s="1029">
        <f>'WS4 - Yr 1 YIELD'!$D99</f>
        <v>0</v>
      </c>
      <c r="V127" s="1035"/>
      <c r="W127" s="3"/>
      <c r="X127" s="1043" t="str">
        <f t="shared" si="75"/>
        <v>.</v>
      </c>
      <c r="Y127" s="1044" t="str">
        <f t="shared" si="56"/>
        <v>.</v>
      </c>
      <c r="Z127" s="1044" t="str">
        <f t="shared" si="57"/>
        <v>.</v>
      </c>
      <c r="AA127" s="1044" t="str">
        <f t="shared" si="58"/>
        <v>.</v>
      </c>
      <c r="AB127" s="1044" t="str">
        <f t="shared" si="59"/>
        <v>.</v>
      </c>
      <c r="AC127" s="1044" t="str">
        <f t="shared" si="60"/>
        <v>.</v>
      </c>
      <c r="AD127" s="1045" t="str">
        <f t="shared" si="61"/>
        <v>.</v>
      </c>
      <c r="AE127" s="3"/>
      <c r="AF127" s="1055" t="str">
        <f t="shared" si="78"/>
        <v>.</v>
      </c>
      <c r="AG127" s="258" t="str">
        <f t="shared" si="63"/>
        <v>.</v>
      </c>
      <c r="AH127" s="258" t="str">
        <f t="shared" si="64"/>
        <v>.</v>
      </c>
      <c r="AI127" s="258" t="str">
        <f t="shared" si="65"/>
        <v>.</v>
      </c>
      <c r="AJ127" s="258" t="str">
        <f t="shared" si="66"/>
        <v>.</v>
      </c>
      <c r="AK127" s="258" t="str">
        <f t="shared" si="67"/>
        <v>.</v>
      </c>
      <c r="AL127" s="1056" t="str">
        <f t="shared" si="68"/>
        <v>.</v>
      </c>
      <c r="AM127" s="3"/>
      <c r="AN127" s="1139" t="str">
        <f>IF(X127=".",".",SUM($X127:X127))</f>
        <v>.</v>
      </c>
      <c r="AO127" s="1140" t="str">
        <f>IF(Y127=".",".",SUM($X127:Y127))</f>
        <v>.</v>
      </c>
      <c r="AP127" s="1140" t="str">
        <f>IF(Z127=".",".",SUM($X127:Z127))</f>
        <v>.</v>
      </c>
      <c r="AQ127" s="1140" t="str">
        <f>IF(AA127=".",".",SUM($X127:AA127))</f>
        <v>.</v>
      </c>
      <c r="AR127" s="1140" t="str">
        <f>IF(AB127=".",".",SUM($X127:AB127))</f>
        <v>.</v>
      </c>
      <c r="AS127" s="1140" t="str">
        <f>IF(AC127=".",".",SUM($X127:AC127))</f>
        <v>.</v>
      </c>
      <c r="AT127" s="1141" t="str">
        <f>IF(AD127=".",".",SUM($X127:AD127))</f>
        <v>.</v>
      </c>
      <c r="AU127" s="3"/>
      <c r="AV127" s="1055" t="str">
        <f t="shared" si="76"/>
        <v>.</v>
      </c>
      <c r="AW127" s="258" t="str">
        <f t="shared" si="69"/>
        <v>.</v>
      </c>
      <c r="AX127" s="258" t="str">
        <f t="shared" si="70"/>
        <v>.</v>
      </c>
      <c r="AY127" s="258" t="str">
        <f t="shared" si="71"/>
        <v>.</v>
      </c>
      <c r="AZ127" s="258" t="str">
        <f t="shared" si="72"/>
        <v>.</v>
      </c>
      <c r="BA127" s="258" t="str">
        <f t="shared" si="73"/>
        <v>.</v>
      </c>
      <c r="BB127" s="1056" t="str">
        <f t="shared" si="74"/>
        <v>.</v>
      </c>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row>
    <row r="128" spans="1:91" x14ac:dyDescent="0.2">
      <c r="A128" s="620"/>
      <c r="B128" s="290" t="s">
        <v>697</v>
      </c>
      <c r="C128" s="1022" t="str">
        <f>IF('WS3 - Notional General Income'!C103="","",'WS3 - Notional General Income'!C103)</f>
        <v/>
      </c>
      <c r="D128" s="1006" t="s">
        <v>687</v>
      </c>
      <c r="E128" s="1022"/>
      <c r="F128" s="1022"/>
      <c r="G128" s="1022"/>
      <c r="H128" s="1022"/>
      <c r="I128" s="1022"/>
      <c r="J128" s="1023" t="str">
        <f>IF('WS3 - Notional General Income'!L103=".",".",'WS3 - Notional General Income'!L103/'WS3 - Notional General Income'!D103)</f>
        <v>.</v>
      </c>
      <c r="K128" s="1023" t="str">
        <f>IF('WS4 - Yr 1 YIELD'!L100=".",".",'WS4 - Yr 1 YIELD'!L100/'WS4 - Yr 1 YIELD'!D100)</f>
        <v>.</v>
      </c>
      <c r="L128" s="1024"/>
      <c r="M128" s="1024"/>
      <c r="N128" s="1024"/>
      <c r="O128" s="1024"/>
      <c r="P128" s="1024"/>
      <c r="Q128" s="1012"/>
      <c r="R128" s="76"/>
      <c r="S128" s="3"/>
      <c r="T128" s="1028">
        <f>'WS3 - Notional General Income'!$D103</f>
        <v>0</v>
      </c>
      <c r="U128" s="1029">
        <f>'WS4 - Yr 1 YIELD'!$D100</f>
        <v>0</v>
      </c>
      <c r="V128" s="1035"/>
      <c r="W128" s="3"/>
      <c r="X128" s="1043" t="str">
        <f t="shared" si="75"/>
        <v>.</v>
      </c>
      <c r="Y128" s="1044" t="str">
        <f t="shared" si="56"/>
        <v>.</v>
      </c>
      <c r="Z128" s="1044" t="str">
        <f t="shared" si="57"/>
        <v>.</v>
      </c>
      <c r="AA128" s="1044" t="str">
        <f t="shared" si="58"/>
        <v>.</v>
      </c>
      <c r="AB128" s="1044" t="str">
        <f t="shared" si="59"/>
        <v>.</v>
      </c>
      <c r="AC128" s="1044" t="str">
        <f t="shared" si="60"/>
        <v>.</v>
      </c>
      <c r="AD128" s="1045" t="str">
        <f t="shared" si="61"/>
        <v>.</v>
      </c>
      <c r="AE128" s="3"/>
      <c r="AF128" s="1055" t="str">
        <f t="shared" si="78"/>
        <v>.</v>
      </c>
      <c r="AG128" s="258" t="str">
        <f t="shared" si="63"/>
        <v>.</v>
      </c>
      <c r="AH128" s="258" t="str">
        <f t="shared" si="64"/>
        <v>.</v>
      </c>
      <c r="AI128" s="258" t="str">
        <f t="shared" si="65"/>
        <v>.</v>
      </c>
      <c r="AJ128" s="258" t="str">
        <f t="shared" si="66"/>
        <v>.</v>
      </c>
      <c r="AK128" s="258" t="str">
        <f t="shared" si="67"/>
        <v>.</v>
      </c>
      <c r="AL128" s="1056" t="str">
        <f t="shared" si="68"/>
        <v>.</v>
      </c>
      <c r="AM128" s="3"/>
      <c r="AN128" s="1139" t="str">
        <f>IF(X128=".",".",SUM($X128:X128))</f>
        <v>.</v>
      </c>
      <c r="AO128" s="1140" t="str">
        <f>IF(Y128=".",".",SUM($X128:Y128))</f>
        <v>.</v>
      </c>
      <c r="AP128" s="1140" t="str">
        <f>IF(Z128=".",".",SUM($X128:Z128))</f>
        <v>.</v>
      </c>
      <c r="AQ128" s="1140" t="str">
        <f>IF(AA128=".",".",SUM($X128:AA128))</f>
        <v>.</v>
      </c>
      <c r="AR128" s="1140" t="str">
        <f>IF(AB128=".",".",SUM($X128:AB128))</f>
        <v>.</v>
      </c>
      <c r="AS128" s="1140" t="str">
        <f>IF(AC128=".",".",SUM($X128:AC128))</f>
        <v>.</v>
      </c>
      <c r="AT128" s="1141" t="str">
        <f>IF(AD128=".",".",SUM($X128:AD128))</f>
        <v>.</v>
      </c>
      <c r="AU128" s="3"/>
      <c r="AV128" s="1055" t="str">
        <f t="shared" si="76"/>
        <v>.</v>
      </c>
      <c r="AW128" s="258" t="str">
        <f t="shared" si="69"/>
        <v>.</v>
      </c>
      <c r="AX128" s="258" t="str">
        <f t="shared" si="70"/>
        <v>.</v>
      </c>
      <c r="AY128" s="258" t="str">
        <f t="shared" si="71"/>
        <v>.</v>
      </c>
      <c r="AZ128" s="258" t="str">
        <f t="shared" si="72"/>
        <v>.</v>
      </c>
      <c r="BA128" s="258" t="str">
        <f t="shared" si="73"/>
        <v>.</v>
      </c>
      <c r="BB128" s="1056" t="str">
        <f t="shared" si="74"/>
        <v>.</v>
      </c>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row>
    <row r="129" spans="1:91" x14ac:dyDescent="0.2">
      <c r="A129" s="620"/>
      <c r="B129" s="290" t="s">
        <v>697</v>
      </c>
      <c r="C129" s="1022" t="str">
        <f>IF('WS3 - Notional General Income'!C104="","",'WS3 - Notional General Income'!C104)</f>
        <v/>
      </c>
      <c r="D129" s="1006" t="s">
        <v>687</v>
      </c>
      <c r="E129" s="1022"/>
      <c r="F129" s="1022"/>
      <c r="G129" s="1022"/>
      <c r="H129" s="1022"/>
      <c r="I129" s="1022"/>
      <c r="J129" s="1023" t="str">
        <f>IF('WS3 - Notional General Income'!L104=".",".",'WS3 - Notional General Income'!L104/'WS3 - Notional General Income'!D104)</f>
        <v>.</v>
      </c>
      <c r="K129" s="1023" t="str">
        <f>IF('WS4 - Yr 1 YIELD'!L101=".",".",'WS4 - Yr 1 YIELD'!L101/'WS4 - Yr 1 YIELD'!D101)</f>
        <v>.</v>
      </c>
      <c r="L129" s="1024"/>
      <c r="M129" s="1024"/>
      <c r="N129" s="1024"/>
      <c r="O129" s="1024"/>
      <c r="P129" s="1024"/>
      <c r="Q129" s="1012"/>
      <c r="R129" s="76"/>
      <c r="S129" s="3"/>
      <c r="T129" s="1028">
        <f>'WS3 - Notional General Income'!$D104</f>
        <v>0</v>
      </c>
      <c r="U129" s="1029">
        <f>'WS4 - Yr 1 YIELD'!$D101</f>
        <v>0</v>
      </c>
      <c r="V129" s="1035"/>
      <c r="W129" s="3"/>
      <c r="X129" s="1043" t="str">
        <f t="shared" si="75"/>
        <v>.</v>
      </c>
      <c r="Y129" s="1044" t="str">
        <f t="shared" si="56"/>
        <v>.</v>
      </c>
      <c r="Z129" s="1044" t="str">
        <f t="shared" si="57"/>
        <v>.</v>
      </c>
      <c r="AA129" s="1044" t="str">
        <f t="shared" si="58"/>
        <v>.</v>
      </c>
      <c r="AB129" s="1044" t="str">
        <f t="shared" si="59"/>
        <v>.</v>
      </c>
      <c r="AC129" s="1044" t="str">
        <f t="shared" si="60"/>
        <v>.</v>
      </c>
      <c r="AD129" s="1045" t="str">
        <f t="shared" si="61"/>
        <v>.</v>
      </c>
      <c r="AE129" s="3"/>
      <c r="AF129" s="1055" t="str">
        <f t="shared" si="78"/>
        <v>.</v>
      </c>
      <c r="AG129" s="258" t="str">
        <f t="shared" si="63"/>
        <v>.</v>
      </c>
      <c r="AH129" s="258" t="str">
        <f t="shared" si="64"/>
        <v>.</v>
      </c>
      <c r="AI129" s="258" t="str">
        <f t="shared" si="65"/>
        <v>.</v>
      </c>
      <c r="AJ129" s="258" t="str">
        <f t="shared" si="66"/>
        <v>.</v>
      </c>
      <c r="AK129" s="258" t="str">
        <f t="shared" si="67"/>
        <v>.</v>
      </c>
      <c r="AL129" s="1056" t="str">
        <f t="shared" si="68"/>
        <v>.</v>
      </c>
      <c r="AM129" s="3"/>
      <c r="AN129" s="1139" t="str">
        <f>IF(X129=".",".",SUM($X129:X129))</f>
        <v>.</v>
      </c>
      <c r="AO129" s="1140" t="str">
        <f>IF(Y129=".",".",SUM($X129:Y129))</f>
        <v>.</v>
      </c>
      <c r="AP129" s="1140" t="str">
        <f>IF(Z129=".",".",SUM($X129:Z129))</f>
        <v>.</v>
      </c>
      <c r="AQ129" s="1140" t="str">
        <f>IF(AA129=".",".",SUM($X129:AA129))</f>
        <v>.</v>
      </c>
      <c r="AR129" s="1140" t="str">
        <f>IF(AB129=".",".",SUM($X129:AB129))</f>
        <v>.</v>
      </c>
      <c r="AS129" s="1140" t="str">
        <f>IF(AC129=".",".",SUM($X129:AC129))</f>
        <v>.</v>
      </c>
      <c r="AT129" s="1141" t="str">
        <f>IF(AD129=".",".",SUM($X129:AD129))</f>
        <v>.</v>
      </c>
      <c r="AU129" s="3"/>
      <c r="AV129" s="1055" t="str">
        <f t="shared" si="76"/>
        <v>.</v>
      </c>
      <c r="AW129" s="258" t="str">
        <f t="shared" si="69"/>
        <v>.</v>
      </c>
      <c r="AX129" s="258" t="str">
        <f t="shared" si="70"/>
        <v>.</v>
      </c>
      <c r="AY129" s="258" t="str">
        <f t="shared" si="71"/>
        <v>.</v>
      </c>
      <c r="AZ129" s="258" t="str">
        <f t="shared" si="72"/>
        <v>.</v>
      </c>
      <c r="BA129" s="258" t="str">
        <f t="shared" si="73"/>
        <v>.</v>
      </c>
      <c r="BB129" s="1056" t="str">
        <f t="shared" si="74"/>
        <v>.</v>
      </c>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row>
    <row r="130" spans="1:91" x14ac:dyDescent="0.2">
      <c r="A130" s="620"/>
      <c r="B130" s="290" t="s">
        <v>697</v>
      </c>
      <c r="C130" s="1022" t="str">
        <f>IF('WS3 - Notional General Income'!C105="","",'WS3 - Notional General Income'!C105)</f>
        <v/>
      </c>
      <c r="D130" s="1022" t="s">
        <v>687</v>
      </c>
      <c r="E130" s="1022"/>
      <c r="F130" s="1022"/>
      <c r="G130" s="1022"/>
      <c r="H130" s="1022"/>
      <c r="I130" s="1022"/>
      <c r="J130" s="1023" t="str">
        <f>IF('WS3 - Notional General Income'!L105=".",".",'WS3 - Notional General Income'!L105/'WS3 - Notional General Income'!D105)</f>
        <v>.</v>
      </c>
      <c r="K130" s="1023" t="str">
        <f>IF('WS4 - Yr 1 YIELD'!L102=".",".",'WS4 - Yr 1 YIELD'!L102/'WS4 - Yr 1 YIELD'!D102)</f>
        <v>.</v>
      </c>
      <c r="L130" s="1024"/>
      <c r="M130" s="1024"/>
      <c r="N130" s="1024"/>
      <c r="O130" s="1024"/>
      <c r="P130" s="1024"/>
      <c r="Q130" s="1012"/>
      <c r="R130" s="76"/>
      <c r="S130" s="3"/>
      <c r="T130" s="1028">
        <f>'WS3 - Notional General Income'!$D105</f>
        <v>0</v>
      </c>
      <c r="U130" s="1029">
        <f>'WS4 - Yr 1 YIELD'!$D102</f>
        <v>0</v>
      </c>
      <c r="V130" s="1035"/>
      <c r="W130" s="3"/>
      <c r="X130" s="1043" t="str">
        <f t="shared" si="75"/>
        <v>.</v>
      </c>
      <c r="Y130" s="1044" t="str">
        <f t="shared" si="56"/>
        <v>.</v>
      </c>
      <c r="Z130" s="1044" t="str">
        <f t="shared" si="57"/>
        <v>.</v>
      </c>
      <c r="AA130" s="1044" t="str">
        <f t="shared" si="58"/>
        <v>.</v>
      </c>
      <c r="AB130" s="1044" t="str">
        <f t="shared" si="59"/>
        <v>.</v>
      </c>
      <c r="AC130" s="1044" t="str">
        <f t="shared" si="60"/>
        <v>.</v>
      </c>
      <c r="AD130" s="1045" t="str">
        <f t="shared" si="61"/>
        <v>.</v>
      </c>
      <c r="AE130" s="3"/>
      <c r="AF130" s="1055" t="str">
        <f t="shared" si="78"/>
        <v>.</v>
      </c>
      <c r="AG130" s="258" t="str">
        <f t="shared" si="63"/>
        <v>.</v>
      </c>
      <c r="AH130" s="258" t="str">
        <f t="shared" si="64"/>
        <v>.</v>
      </c>
      <c r="AI130" s="258" t="str">
        <f t="shared" si="65"/>
        <v>.</v>
      </c>
      <c r="AJ130" s="258" t="str">
        <f t="shared" si="66"/>
        <v>.</v>
      </c>
      <c r="AK130" s="258" t="str">
        <f t="shared" si="67"/>
        <v>.</v>
      </c>
      <c r="AL130" s="1056" t="str">
        <f t="shared" si="68"/>
        <v>.</v>
      </c>
      <c r="AM130" s="3"/>
      <c r="AN130" s="1139" t="str">
        <f>IF(X130=".",".",SUM($X130:X130))</f>
        <v>.</v>
      </c>
      <c r="AO130" s="1140" t="str">
        <f>IF(Y130=".",".",SUM($X130:Y130))</f>
        <v>.</v>
      </c>
      <c r="AP130" s="1140" t="str">
        <f>IF(Z130=".",".",SUM($X130:Z130))</f>
        <v>.</v>
      </c>
      <c r="AQ130" s="1140" t="str">
        <f>IF(AA130=".",".",SUM($X130:AA130))</f>
        <v>.</v>
      </c>
      <c r="AR130" s="1140" t="str">
        <f>IF(AB130=".",".",SUM($X130:AB130))</f>
        <v>.</v>
      </c>
      <c r="AS130" s="1140" t="str">
        <f>IF(AC130=".",".",SUM($X130:AC130))</f>
        <v>.</v>
      </c>
      <c r="AT130" s="1141" t="str">
        <f>IF(AD130=".",".",SUM($X130:AD130))</f>
        <v>.</v>
      </c>
      <c r="AU130" s="3"/>
      <c r="AV130" s="1055" t="str">
        <f t="shared" si="76"/>
        <v>.</v>
      </c>
      <c r="AW130" s="258" t="str">
        <f t="shared" si="69"/>
        <v>.</v>
      </c>
      <c r="AX130" s="258" t="str">
        <f t="shared" si="70"/>
        <v>.</v>
      </c>
      <c r="AY130" s="258" t="str">
        <f t="shared" si="71"/>
        <v>.</v>
      </c>
      <c r="AZ130" s="258" t="str">
        <f t="shared" si="72"/>
        <v>.</v>
      </c>
      <c r="BA130" s="258" t="str">
        <f t="shared" si="73"/>
        <v>.</v>
      </c>
      <c r="BB130" s="1056" t="str">
        <f t="shared" si="74"/>
        <v>.</v>
      </c>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row>
    <row r="131" spans="1:91" s="6" customFormat="1" x14ac:dyDescent="0.2">
      <c r="A131" s="620"/>
      <c r="B131" s="744"/>
      <c r="C131" s="744" t="s">
        <v>698</v>
      </c>
      <c r="D131" s="744"/>
      <c r="E131" s="744"/>
      <c r="F131" s="744"/>
      <c r="G131" s="744"/>
      <c r="H131" s="744"/>
      <c r="I131" s="744"/>
      <c r="J131" s="1025">
        <f>IF($T131=0,".",SUMPRODUCT(J101:J130,$T101:$T130)/$T131)</f>
        <v>1087.8681447394329</v>
      </c>
      <c r="K131" s="1025">
        <f t="shared" ref="K131:Q131" si="79">IF($U131=0,".",SUMPRODUCT(K101:K130,$U101:$U130)/$U131)</f>
        <v>1251.0483664503479</v>
      </c>
      <c r="L131" s="1025">
        <f t="shared" si="79"/>
        <v>1288.5798174438582</v>
      </c>
      <c r="M131" s="1025">
        <f t="shared" si="79"/>
        <v>1327.2372119671743</v>
      </c>
      <c r="N131" s="1025">
        <f t="shared" si="79"/>
        <v>1367.0543283261893</v>
      </c>
      <c r="O131" s="1025">
        <f t="shared" si="79"/>
        <v>1408.0659581759751</v>
      </c>
      <c r="P131" s="1025">
        <f t="shared" si="79"/>
        <v>1450.3079369212544</v>
      </c>
      <c r="Q131" s="1025">
        <f t="shared" si="79"/>
        <v>1493.8171750288923</v>
      </c>
      <c r="R131" s="76"/>
      <c r="S131" s="93"/>
      <c r="T131" s="1032">
        <f>SUM(T101:T120)</f>
        <v>29428</v>
      </c>
      <c r="U131" s="1033">
        <f>SUM(U101:U120)</f>
        <v>29428</v>
      </c>
      <c r="V131" s="1036"/>
      <c r="W131" s="2"/>
      <c r="X131" s="1061">
        <f t="shared" si="75"/>
        <v>163.18022171091502</v>
      </c>
      <c r="Y131" s="259">
        <f t="shared" si="56"/>
        <v>37.531450993510362</v>
      </c>
      <c r="Z131" s="259">
        <f t="shared" ref="Z131:AD131" si="80">IF(M131=".",".",M131-L131)</f>
        <v>38.657394523316043</v>
      </c>
      <c r="AA131" s="259">
        <f t="shared" si="80"/>
        <v>39.817116359015017</v>
      </c>
      <c r="AB131" s="259">
        <f t="shared" si="80"/>
        <v>41.011629849785777</v>
      </c>
      <c r="AC131" s="259">
        <f t="shared" si="80"/>
        <v>42.241978745279312</v>
      </c>
      <c r="AD131" s="1062">
        <f t="shared" si="80"/>
        <v>43.509238107637884</v>
      </c>
      <c r="AE131" s="2"/>
      <c r="AF131" s="1136">
        <f t="shared" si="78"/>
        <v>0.15000000000000013</v>
      </c>
      <c r="AG131" s="1137">
        <f t="shared" si="63"/>
        <v>3.0000000000000027E-2</v>
      </c>
      <c r="AH131" s="1137">
        <f t="shared" si="64"/>
        <v>3.0000000000000249E-2</v>
      </c>
      <c r="AI131" s="1137">
        <f t="shared" si="65"/>
        <v>2.9999999999999805E-2</v>
      </c>
      <c r="AJ131" s="1137">
        <f t="shared" si="66"/>
        <v>3.0000000000000027E-2</v>
      </c>
      <c r="AK131" s="1137">
        <f t="shared" si="67"/>
        <v>3.0000000000000027E-2</v>
      </c>
      <c r="AL131" s="1138">
        <f t="shared" si="68"/>
        <v>3.0000000000000249E-2</v>
      </c>
      <c r="AM131" s="2"/>
      <c r="AN131" s="1142">
        <f>IF(X131=".",".",SUM($X131:X131))</f>
        <v>163.18022171091502</v>
      </c>
      <c r="AO131" s="1143">
        <f>IF(Y131=".",".",SUM($X131:Y131))</f>
        <v>200.71167270442538</v>
      </c>
      <c r="AP131" s="1143">
        <f>IF(Z131=".",".",SUM($X131:Z131))</f>
        <v>239.36906722774143</v>
      </c>
      <c r="AQ131" s="1143">
        <f>IF(AA131=".",".",SUM($X131:AA131))</f>
        <v>279.18618358675644</v>
      </c>
      <c r="AR131" s="1143">
        <f>IF(AB131=".",".",SUM($X131:AB131))</f>
        <v>320.19781343654222</v>
      </c>
      <c r="AS131" s="1143">
        <f>IF(AC131=".",".",SUM($X131:AC131))</f>
        <v>362.43979218182153</v>
      </c>
      <c r="AT131" s="1144">
        <f>IF(AD131=".",".",SUM($X131:AD131))</f>
        <v>405.94903028945942</v>
      </c>
      <c r="AU131" s="2"/>
      <c r="AV131" s="1134">
        <f t="shared" si="76"/>
        <v>0.15000000000000013</v>
      </c>
      <c r="AW131" s="398">
        <f t="shared" si="69"/>
        <v>0.18450000000000011</v>
      </c>
      <c r="AX131" s="398">
        <f t="shared" si="70"/>
        <v>0.2200350000000002</v>
      </c>
      <c r="AY131" s="398">
        <f t="shared" si="71"/>
        <v>0.25663605</v>
      </c>
      <c r="AZ131" s="398">
        <f t="shared" si="72"/>
        <v>0.29433513150000024</v>
      </c>
      <c r="BA131" s="398">
        <f t="shared" si="73"/>
        <v>0.33316518544500018</v>
      </c>
      <c r="BB131" s="1135">
        <f t="shared" si="74"/>
        <v>0.37316014100835049</v>
      </c>
      <c r="BC131" s="2"/>
      <c r="BD131" s="2"/>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row>
    <row r="132" spans="1:91" x14ac:dyDescent="0.2">
      <c r="A132" s="620"/>
      <c r="B132" s="290" t="s">
        <v>581</v>
      </c>
      <c r="C132" s="1022" t="str">
        <f>IF('WS3 - Notional General Income'!C42="","",'WS3 - Notional General Income'!C42)</f>
        <v>Business</v>
      </c>
      <c r="D132" s="1006" t="s">
        <v>687</v>
      </c>
      <c r="E132" s="1022"/>
      <c r="F132" s="1022"/>
      <c r="G132" s="1022"/>
      <c r="H132" s="1022"/>
      <c r="I132" s="1022"/>
      <c r="J132" s="1023">
        <f>IF('WS3 - Notional General Income'!L42=".",".",'WS3 - Notional General Income'!L42/'WS3 - Notional General Income'!D42)</f>
        <v>6485.491834712353</v>
      </c>
      <c r="K132" s="1023">
        <f>IF('WS4 - Yr 1 YIELD'!L39=".",".",'WS4 - Yr 1 YIELD'!L39/'WS4 - Yr 1 YIELD'!D39)</f>
        <v>7458.3156099192056</v>
      </c>
      <c r="L132" s="1024">
        <v>7682.0650782167813</v>
      </c>
      <c r="M132" s="1024">
        <v>7912.5270305632848</v>
      </c>
      <c r="N132" s="1024">
        <v>8149.9028414801833</v>
      </c>
      <c r="O132" s="1024">
        <v>8394.399926724589</v>
      </c>
      <c r="P132" s="1024">
        <v>8646.2319245263261</v>
      </c>
      <c r="Q132" s="1024">
        <v>8905.6188822621152</v>
      </c>
      <c r="R132" s="76"/>
      <c r="S132" s="3"/>
      <c r="T132" s="1028">
        <f>'WS3 - Notional General Income'!$D42</f>
        <v>1951</v>
      </c>
      <c r="U132" s="1029">
        <f>'WS4 - Yr 1 YIELD'!$D39</f>
        <v>1951</v>
      </c>
      <c r="V132" s="1035"/>
      <c r="W132" s="3"/>
      <c r="X132" s="1041">
        <f t="shared" si="75"/>
        <v>972.82377520685259</v>
      </c>
      <c r="Y132" s="542">
        <f t="shared" si="56"/>
        <v>223.74946829757573</v>
      </c>
      <c r="Z132" s="542">
        <f t="shared" si="57"/>
        <v>230.46195234650349</v>
      </c>
      <c r="AA132" s="542">
        <f t="shared" si="58"/>
        <v>237.37581091689844</v>
      </c>
      <c r="AB132" s="542">
        <f t="shared" si="59"/>
        <v>244.49708524440575</v>
      </c>
      <c r="AC132" s="542">
        <f t="shared" si="60"/>
        <v>251.83199780173709</v>
      </c>
      <c r="AD132" s="1042">
        <f t="shared" si="61"/>
        <v>259.38695773578911</v>
      </c>
      <c r="AE132" s="3"/>
      <c r="AF132" s="1055">
        <f t="shared" ref="AF132:AF177" si="81">IFERROR(K132/J132-1,".")</f>
        <v>0.14999999999999991</v>
      </c>
      <c r="AG132" s="258">
        <f t="shared" si="63"/>
        <v>3.0000000000000027E-2</v>
      </c>
      <c r="AH132" s="258">
        <f t="shared" ref="AH132:AH177" si="82">IFERROR(M132/L132-1,".")</f>
        <v>3.0000000000000027E-2</v>
      </c>
      <c r="AI132" s="258">
        <f t="shared" si="65"/>
        <v>3.0000000000000027E-2</v>
      </c>
      <c r="AJ132" s="258">
        <f t="shared" si="66"/>
        <v>3.0000000000000027E-2</v>
      </c>
      <c r="AK132" s="258">
        <f t="shared" si="67"/>
        <v>3.0000000000000027E-2</v>
      </c>
      <c r="AL132" s="1056">
        <f t="shared" si="68"/>
        <v>3.0000000000000027E-2</v>
      </c>
      <c r="AM132" s="3"/>
      <c r="AN132" s="1139">
        <f>IF(X132=".",".",SUM($X132:X132))</f>
        <v>972.82377520685259</v>
      </c>
      <c r="AO132" s="1140">
        <f>IF(Y132=".",".",SUM($X132:Y132))</f>
        <v>1196.5732435044283</v>
      </c>
      <c r="AP132" s="1140">
        <f>IF(Z132=".",".",SUM($X132:Z132))</f>
        <v>1427.0351958509318</v>
      </c>
      <c r="AQ132" s="1140">
        <f>IF(AA132=".",".",SUM($X132:AA132))</f>
        <v>1664.4110067678303</v>
      </c>
      <c r="AR132" s="1140">
        <f>IF(AB132=".",".",SUM($X132:AB132))</f>
        <v>1908.908092012236</v>
      </c>
      <c r="AS132" s="1140">
        <f>IF(AC132=".",".",SUM($X132:AC132))</f>
        <v>2160.7400898139731</v>
      </c>
      <c r="AT132" s="1141">
        <f>IF(AD132=".",".",SUM($X132:AD132))</f>
        <v>2420.1270475497622</v>
      </c>
      <c r="AU132" s="3"/>
      <c r="AV132" s="1132">
        <f t="shared" si="76"/>
        <v>0.14999999999999991</v>
      </c>
      <c r="AW132" s="543">
        <f t="shared" si="69"/>
        <v>0.18449999999999989</v>
      </c>
      <c r="AX132" s="543">
        <f t="shared" si="70"/>
        <v>0.22003499999999998</v>
      </c>
      <c r="AY132" s="543">
        <f t="shared" si="71"/>
        <v>0.25663604999999978</v>
      </c>
      <c r="AZ132" s="543">
        <f t="shared" si="72"/>
        <v>0.29433513149999979</v>
      </c>
      <c r="BA132" s="543">
        <f t="shared" si="73"/>
        <v>0.33316518544499973</v>
      </c>
      <c r="BB132" s="1133">
        <f t="shared" si="74"/>
        <v>0.3731601410083496</v>
      </c>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row>
    <row r="133" spans="1:91" x14ac:dyDescent="0.2">
      <c r="A133" s="620"/>
      <c r="B133" s="290" t="s">
        <v>581</v>
      </c>
      <c r="C133" s="1022" t="str">
        <f>IF('WS3 - Notional General Income'!C43="","",'WS3 - Notional General Income'!C43)</f>
        <v>Chatswood Town Centre</v>
      </c>
      <c r="D133" s="1006" t="s">
        <v>687</v>
      </c>
      <c r="E133" s="1022"/>
      <c r="F133" s="1022"/>
      <c r="G133" s="1022"/>
      <c r="H133" s="1022"/>
      <c r="I133" s="1022"/>
      <c r="J133" s="1023">
        <f>IF('WS3 - Notional General Income'!L43=".",".",'WS3 - Notional General Income'!L43/'WS3 - Notional General Income'!D43)</f>
        <v>7802.7999950660378</v>
      </c>
      <c r="K133" s="1023">
        <f>IF('WS4 - Yr 1 YIELD'!L40=".",".",'WS4 - Yr 1 YIELD'!L40/'WS4 - Yr 1 YIELD'!D40)</f>
        <v>8973.219994325942</v>
      </c>
      <c r="L133" s="1024">
        <v>9242.4165941557203</v>
      </c>
      <c r="M133" s="1024">
        <v>9519.6890919803936</v>
      </c>
      <c r="N133" s="1024">
        <v>9805.2797647398056</v>
      </c>
      <c r="O133" s="1024">
        <v>10099.438157682</v>
      </c>
      <c r="P133" s="1024">
        <v>10402.421302412458</v>
      </c>
      <c r="Q133" s="1024">
        <v>10714.493941484836</v>
      </c>
      <c r="R133" s="76"/>
      <c r="S133" s="3"/>
      <c r="T133" s="1028">
        <f>'WS3 - Notional General Income'!$D43</f>
        <v>954</v>
      </c>
      <c r="U133" s="1029">
        <f>'WS4 - Yr 1 YIELD'!$D40</f>
        <v>954</v>
      </c>
      <c r="V133" s="1035"/>
      <c r="W133" s="3"/>
      <c r="X133" s="1043">
        <f t="shared" si="75"/>
        <v>1170.4199992599042</v>
      </c>
      <c r="Y133" s="1044">
        <f t="shared" si="56"/>
        <v>269.19659982977828</v>
      </c>
      <c r="Z133" s="1044">
        <f t="shared" ref="Z133:Z164" si="83">IF(M133="",".",M133-L133)</f>
        <v>277.27249782467334</v>
      </c>
      <c r="AA133" s="1044">
        <f t="shared" ref="AA133:AA164" si="84">IF(N133="",".",N133-M133)</f>
        <v>285.59067275941197</v>
      </c>
      <c r="AB133" s="1044">
        <f t="shared" ref="AB133:AB164" si="85">IF(O133="",".",O133-N133)</f>
        <v>294.15839294219404</v>
      </c>
      <c r="AC133" s="1044">
        <f t="shared" ref="AC133:AC164" si="86">IF(P133="",".",P133-O133)</f>
        <v>302.98314473045866</v>
      </c>
      <c r="AD133" s="1045">
        <f t="shared" ref="AD133:AD164" si="87">IF(Q133="",".",Q133-P133)</f>
        <v>312.07263907237757</v>
      </c>
      <c r="AE133" s="3"/>
      <c r="AF133" s="1055">
        <f t="shared" si="81"/>
        <v>0.14999999999999991</v>
      </c>
      <c r="AG133" s="258">
        <f t="shared" si="63"/>
        <v>3.0000000000000027E-2</v>
      </c>
      <c r="AH133" s="258">
        <f t="shared" si="82"/>
        <v>3.0000000000000249E-2</v>
      </c>
      <c r="AI133" s="258">
        <f t="shared" si="65"/>
        <v>3.0000000000000027E-2</v>
      </c>
      <c r="AJ133" s="258">
        <f t="shared" si="66"/>
        <v>3.0000000000000027E-2</v>
      </c>
      <c r="AK133" s="258">
        <f t="shared" si="67"/>
        <v>2.9999999999999805E-2</v>
      </c>
      <c r="AL133" s="1056">
        <f t="shared" si="68"/>
        <v>3.0000000000000471E-2</v>
      </c>
      <c r="AM133" s="3"/>
      <c r="AN133" s="1139">
        <f>IF(X133=".",".",SUM($X133:X133))</f>
        <v>1170.4199992599042</v>
      </c>
      <c r="AO133" s="1140">
        <f>IF(Y133=".",".",SUM($X133:Y133))</f>
        <v>1439.6165990896825</v>
      </c>
      <c r="AP133" s="1140">
        <f>IF(Z133=".",".",SUM($X133:Z133))</f>
        <v>1716.8890969143558</v>
      </c>
      <c r="AQ133" s="1140">
        <f>IF(AA133=".",".",SUM($X133:AA133))</f>
        <v>2002.4797696737678</v>
      </c>
      <c r="AR133" s="1140">
        <f>IF(AB133=".",".",SUM($X133:AB133))</f>
        <v>2296.6381626159618</v>
      </c>
      <c r="AS133" s="1140">
        <f>IF(AC133=".",".",SUM($X133:AC133))</f>
        <v>2599.6213073464205</v>
      </c>
      <c r="AT133" s="1141">
        <f>IF(AD133=".",".",SUM($X133:AD133))</f>
        <v>2911.6939464187981</v>
      </c>
      <c r="AU133" s="3"/>
      <c r="AV133" s="1055">
        <f t="shared" si="76"/>
        <v>0.14999999999999991</v>
      </c>
      <c r="AW133" s="258">
        <f t="shared" si="69"/>
        <v>0.18449999999999989</v>
      </c>
      <c r="AX133" s="258">
        <f t="shared" si="70"/>
        <v>0.22003499999999998</v>
      </c>
      <c r="AY133" s="258">
        <f t="shared" si="71"/>
        <v>0.25663605</v>
      </c>
      <c r="AZ133" s="258">
        <f t="shared" si="72"/>
        <v>0.29433513150000001</v>
      </c>
      <c r="BA133" s="258">
        <f t="shared" si="73"/>
        <v>0.33316518544499996</v>
      </c>
      <c r="BB133" s="1056">
        <f t="shared" si="74"/>
        <v>0.37316014100835027</v>
      </c>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row>
    <row r="134" spans="1:91" x14ac:dyDescent="0.2">
      <c r="A134" s="620"/>
      <c r="B134" s="290" t="s">
        <v>581</v>
      </c>
      <c r="C134" s="1022" t="str">
        <f>IF('WS3 - Notional General Income'!C44="","",'WS3 - Notional General Income'!C44)</f>
        <v>Chatswood Major Retail - Chase</v>
      </c>
      <c r="D134" s="1006" t="s">
        <v>687</v>
      </c>
      <c r="E134" s="1022"/>
      <c r="F134" s="1022"/>
      <c r="G134" s="1022"/>
      <c r="H134" s="1022"/>
      <c r="I134" s="1022"/>
      <c r="J134" s="1023">
        <f>IF('WS3 - Notional General Income'!L44=".",".",'WS3 - Notional General Income'!L44/'WS3 - Notional General Income'!D44)</f>
        <v>940896.80999999994</v>
      </c>
      <c r="K134" s="1023">
        <f>IF('WS4 - Yr 1 YIELD'!L41=".",".",'WS4 - Yr 1 YIELD'!L41/'WS4 - Yr 1 YIELD'!D41)</f>
        <v>1082031.3314999999</v>
      </c>
      <c r="L134" s="1024">
        <v>1114492.2714450001</v>
      </c>
      <c r="M134" s="1024">
        <v>1147927.0395883499</v>
      </c>
      <c r="N134" s="1024">
        <v>1182364.8507760004</v>
      </c>
      <c r="O134" s="1024">
        <v>1217835.7962992804</v>
      </c>
      <c r="P134" s="1024">
        <v>1254370.8701882588</v>
      </c>
      <c r="Q134" s="1024">
        <v>1292001.9962939066</v>
      </c>
      <c r="R134" s="76"/>
      <c r="S134" s="3"/>
      <c r="T134" s="1028">
        <f>'WS3 - Notional General Income'!$D44</f>
        <v>1</v>
      </c>
      <c r="U134" s="1029">
        <f>'WS4 - Yr 1 YIELD'!$D41</f>
        <v>1</v>
      </c>
      <c r="V134" s="1035"/>
      <c r="W134" s="3"/>
      <c r="X134" s="1043">
        <f t="shared" si="75"/>
        <v>141134.52149999992</v>
      </c>
      <c r="Y134" s="1044">
        <f t="shared" si="56"/>
        <v>32460.939945000224</v>
      </c>
      <c r="Z134" s="1044">
        <f t="shared" si="83"/>
        <v>33434.768143349793</v>
      </c>
      <c r="AA134" s="1044">
        <f t="shared" si="84"/>
        <v>34437.811187650543</v>
      </c>
      <c r="AB134" s="1044">
        <f t="shared" si="85"/>
        <v>35470.945523279952</v>
      </c>
      <c r="AC134" s="1044">
        <f t="shared" si="86"/>
        <v>36535.073888978455</v>
      </c>
      <c r="AD134" s="1045">
        <f t="shared" si="87"/>
        <v>37631.126105647767</v>
      </c>
      <c r="AE134" s="3"/>
      <c r="AF134" s="1055">
        <f t="shared" si="81"/>
        <v>0.14999999999999991</v>
      </c>
      <c r="AG134" s="258">
        <f t="shared" si="63"/>
        <v>3.0000000000000249E-2</v>
      </c>
      <c r="AH134" s="258">
        <f t="shared" si="82"/>
        <v>2.9999999999999805E-2</v>
      </c>
      <c r="AI134" s="258">
        <f t="shared" si="65"/>
        <v>3.0000000000000027E-2</v>
      </c>
      <c r="AJ134" s="258">
        <f t="shared" si="66"/>
        <v>3.0000000000000027E-2</v>
      </c>
      <c r="AK134" s="258">
        <f t="shared" si="67"/>
        <v>3.0000000000000027E-2</v>
      </c>
      <c r="AL134" s="1056">
        <f t="shared" si="68"/>
        <v>3.0000000000000027E-2</v>
      </c>
      <c r="AM134" s="3"/>
      <c r="AN134" s="1139">
        <f>IF(X134=".",".",SUM($X134:X134))</f>
        <v>141134.52149999992</v>
      </c>
      <c r="AO134" s="1140">
        <f>IF(Y134=".",".",SUM($X134:Y134))</f>
        <v>173595.46144500014</v>
      </c>
      <c r="AP134" s="1140">
        <f>IF(Z134=".",".",SUM($X134:Z134))</f>
        <v>207030.22958834993</v>
      </c>
      <c r="AQ134" s="1140">
        <f>IF(AA134=".",".",SUM($X134:AA134))</f>
        <v>241468.04077600047</v>
      </c>
      <c r="AR134" s="1140">
        <f>IF(AB134=".",".",SUM($X134:AB134))</f>
        <v>276938.98629928043</v>
      </c>
      <c r="AS134" s="1140">
        <f>IF(AC134=".",".",SUM($X134:AC134))</f>
        <v>313474.06018825888</v>
      </c>
      <c r="AT134" s="1141">
        <f>IF(AD134=".",".",SUM($X134:AD134))</f>
        <v>351105.18629390665</v>
      </c>
      <c r="AU134" s="3"/>
      <c r="AV134" s="1055">
        <f t="shared" si="76"/>
        <v>0.14999999999999991</v>
      </c>
      <c r="AW134" s="258">
        <f t="shared" si="69"/>
        <v>0.18450000000000011</v>
      </c>
      <c r="AX134" s="258">
        <f t="shared" si="70"/>
        <v>0.22003499999999998</v>
      </c>
      <c r="AY134" s="258">
        <f t="shared" si="71"/>
        <v>0.25663605</v>
      </c>
      <c r="AZ134" s="258">
        <f t="shared" si="72"/>
        <v>0.29433513150000001</v>
      </c>
      <c r="BA134" s="258">
        <f t="shared" si="73"/>
        <v>0.33316518544499996</v>
      </c>
      <c r="BB134" s="1056">
        <f t="shared" si="74"/>
        <v>0.37316014100835004</v>
      </c>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row>
    <row r="135" spans="1:91" x14ac:dyDescent="0.2">
      <c r="A135" s="620"/>
      <c r="B135" s="290" t="s">
        <v>581</v>
      </c>
      <c r="C135" s="1022" t="str">
        <f>IF('WS3 - Notional General Income'!C45="","",'WS3 - Notional General Income'!C45)</f>
        <v>Chatswood Major Retail - Westfield</v>
      </c>
      <c r="D135" s="1006" t="s">
        <v>687</v>
      </c>
      <c r="E135" s="1022"/>
      <c r="F135" s="1022"/>
      <c r="G135" s="1022"/>
      <c r="H135" s="1022"/>
      <c r="I135" s="1022"/>
      <c r="J135" s="1023">
        <f>IF('WS3 - Notional General Income'!L45=".",".",'WS3 - Notional General Income'!L45/'WS3 - Notional General Income'!D45)</f>
        <v>120181.5056</v>
      </c>
      <c r="K135" s="1023">
        <f>IF('WS4 - Yr 1 YIELD'!L42=".",".",'WS4 - Yr 1 YIELD'!L42/'WS4 - Yr 1 YIELD'!D42)</f>
        <v>138208.73144000003</v>
      </c>
      <c r="L135" s="1024">
        <v>142354.99338320002</v>
      </c>
      <c r="M135" s="1024">
        <v>146625.64318469603</v>
      </c>
      <c r="N135" s="1024">
        <v>151024.4124802369</v>
      </c>
      <c r="O135" s="1024">
        <v>155555.14485464399</v>
      </c>
      <c r="P135" s="1024">
        <v>160221.79920028333</v>
      </c>
      <c r="Q135" s="1024">
        <v>165028.45317629183</v>
      </c>
      <c r="R135" s="76"/>
      <c r="S135" s="3"/>
      <c r="T135" s="1028">
        <f>'WS3 - Notional General Income'!$D45</f>
        <v>10</v>
      </c>
      <c r="U135" s="1029">
        <f>'WS4 - Yr 1 YIELD'!$D42</f>
        <v>10</v>
      </c>
      <c r="V135" s="1035"/>
      <c r="W135" s="3"/>
      <c r="X135" s="1043">
        <f t="shared" si="75"/>
        <v>18027.225840000028</v>
      </c>
      <c r="Y135" s="1044">
        <f t="shared" si="56"/>
        <v>4146.2619431999919</v>
      </c>
      <c r="Z135" s="1044">
        <f t="shared" si="83"/>
        <v>4270.6498014960089</v>
      </c>
      <c r="AA135" s="1044">
        <f t="shared" si="84"/>
        <v>4398.7692955408711</v>
      </c>
      <c r="AB135" s="1044">
        <f t="shared" si="85"/>
        <v>4530.7323744070891</v>
      </c>
      <c r="AC135" s="1044">
        <f t="shared" si="86"/>
        <v>4666.654345639341</v>
      </c>
      <c r="AD135" s="1045">
        <f t="shared" si="87"/>
        <v>4806.6539760084997</v>
      </c>
      <c r="AE135" s="3"/>
      <c r="AF135" s="1055">
        <f t="shared" si="81"/>
        <v>0.15000000000000013</v>
      </c>
      <c r="AG135" s="258">
        <f t="shared" si="63"/>
        <v>3.0000000000000027E-2</v>
      </c>
      <c r="AH135" s="258">
        <f t="shared" si="82"/>
        <v>3.0000000000000027E-2</v>
      </c>
      <c r="AI135" s="258">
        <f t="shared" si="65"/>
        <v>3.0000000000000027E-2</v>
      </c>
      <c r="AJ135" s="258">
        <f t="shared" si="66"/>
        <v>2.9999999999999805E-2</v>
      </c>
      <c r="AK135" s="258">
        <f t="shared" si="67"/>
        <v>3.0000000000000027E-2</v>
      </c>
      <c r="AL135" s="1056">
        <f t="shared" si="68"/>
        <v>3.0000000000000027E-2</v>
      </c>
      <c r="AM135" s="3"/>
      <c r="AN135" s="1139">
        <f>IF(X135=".",".",SUM($X135:X135))</f>
        <v>18027.225840000028</v>
      </c>
      <c r="AO135" s="1140">
        <f>IF(Y135=".",".",SUM($X135:Y135))</f>
        <v>22173.48778320002</v>
      </c>
      <c r="AP135" s="1140">
        <f>IF(Z135=".",".",SUM($X135:Z135))</f>
        <v>26444.137584696029</v>
      </c>
      <c r="AQ135" s="1140">
        <f>IF(AA135=".",".",SUM($X135:AA135))</f>
        <v>30842.9068802369</v>
      </c>
      <c r="AR135" s="1140">
        <f>IF(AB135=".",".",SUM($X135:AB135))</f>
        <v>35373.639254643989</v>
      </c>
      <c r="AS135" s="1140">
        <f>IF(AC135=".",".",SUM($X135:AC135))</f>
        <v>40040.29360028333</v>
      </c>
      <c r="AT135" s="1141">
        <f>IF(AD135=".",".",SUM($X135:AD135))</f>
        <v>44846.94757629183</v>
      </c>
      <c r="AU135" s="3"/>
      <c r="AV135" s="1055">
        <f t="shared" si="76"/>
        <v>0.15000000000000013</v>
      </c>
      <c r="AW135" s="258">
        <f t="shared" si="69"/>
        <v>0.18450000000000011</v>
      </c>
      <c r="AX135" s="258">
        <f t="shared" si="70"/>
        <v>0.2200350000000002</v>
      </c>
      <c r="AY135" s="258">
        <f t="shared" si="71"/>
        <v>0.25663605000000023</v>
      </c>
      <c r="AZ135" s="258">
        <f t="shared" si="72"/>
        <v>0.29433513150000001</v>
      </c>
      <c r="BA135" s="258">
        <f t="shared" si="73"/>
        <v>0.33316518544500018</v>
      </c>
      <c r="BB135" s="1056">
        <f t="shared" si="74"/>
        <v>0.37316014100835027</v>
      </c>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row>
    <row r="136" spans="1:91" x14ac:dyDescent="0.2">
      <c r="A136" s="620"/>
      <c r="B136" s="290" t="s">
        <v>581</v>
      </c>
      <c r="C136" s="1022" t="str">
        <f>IF('WS3 - Notional General Income'!C46="","",'WS3 - Notional General Income'!C46)</f>
        <v>Strata Storage</v>
      </c>
      <c r="D136" s="1006" t="s">
        <v>687</v>
      </c>
      <c r="E136" s="1022"/>
      <c r="F136" s="1022"/>
      <c r="G136" s="1022"/>
      <c r="H136" s="1022"/>
      <c r="I136" s="1022"/>
      <c r="J136" s="1023">
        <f>IF('WS3 - Notional General Income'!L46=".",".",'WS3 - Notional General Income'!L46/'WS3 - Notional General Income'!D46)</f>
        <v>871.17046106194687</v>
      </c>
      <c r="K136" s="1023">
        <f>IF('WS4 - Yr 1 YIELD'!L43=".",".",'WS4 - Yr 1 YIELD'!L43/'WS4 - Yr 1 YIELD'!D43)</f>
        <v>1001.8460302212389</v>
      </c>
      <c r="L136" s="1024">
        <v>1031.9014111278761</v>
      </c>
      <c r="M136" s="1024">
        <v>1062.8584534617123</v>
      </c>
      <c r="N136" s="1024">
        <v>1094.7442070655638</v>
      </c>
      <c r="O136" s="1024">
        <v>1127.5865332775309</v>
      </c>
      <c r="P136" s="1024">
        <v>1161.4141292758566</v>
      </c>
      <c r="Q136" s="1024">
        <v>1196.2565531541325</v>
      </c>
      <c r="R136" s="76"/>
      <c r="S136" s="3"/>
      <c r="T136" s="1028">
        <f>'WS3 - Notional General Income'!$D46</f>
        <v>113</v>
      </c>
      <c r="U136" s="1029">
        <f>'WS4 - Yr 1 YIELD'!$D43</f>
        <v>113</v>
      </c>
      <c r="V136" s="1035"/>
      <c r="W136" s="3"/>
      <c r="X136" s="1043">
        <f t="shared" si="75"/>
        <v>130.67556915929208</v>
      </c>
      <c r="Y136" s="1044">
        <f t="shared" si="56"/>
        <v>30.055380906637197</v>
      </c>
      <c r="Z136" s="1044">
        <f t="shared" si="83"/>
        <v>30.957042333836171</v>
      </c>
      <c r="AA136" s="1044">
        <f t="shared" si="84"/>
        <v>31.885753603851526</v>
      </c>
      <c r="AB136" s="1044">
        <f t="shared" si="85"/>
        <v>32.84232621196702</v>
      </c>
      <c r="AC136" s="1044">
        <f t="shared" si="86"/>
        <v>33.827595998325705</v>
      </c>
      <c r="AD136" s="1045">
        <f t="shared" si="87"/>
        <v>34.842423878275895</v>
      </c>
      <c r="AE136" s="3"/>
      <c r="AF136" s="1055">
        <f t="shared" si="81"/>
        <v>0.15000000000000013</v>
      </c>
      <c r="AG136" s="258">
        <f t="shared" si="63"/>
        <v>3.0000000000000027E-2</v>
      </c>
      <c r="AH136" s="258">
        <f t="shared" si="82"/>
        <v>2.9999999999999805E-2</v>
      </c>
      <c r="AI136" s="258">
        <f t="shared" si="65"/>
        <v>3.0000000000000249E-2</v>
      </c>
      <c r="AJ136" s="258">
        <f t="shared" si="66"/>
        <v>3.0000000000000027E-2</v>
      </c>
      <c r="AK136" s="258">
        <f t="shared" si="67"/>
        <v>2.9999999999999805E-2</v>
      </c>
      <c r="AL136" s="1056">
        <f t="shared" si="68"/>
        <v>3.0000000000000249E-2</v>
      </c>
      <c r="AM136" s="3"/>
      <c r="AN136" s="1139">
        <f>IF(X136=".",".",SUM($X136:X136))</f>
        <v>130.67556915929208</v>
      </c>
      <c r="AO136" s="1140">
        <f>IF(Y136=".",".",SUM($X136:Y136))</f>
        <v>160.73095006592928</v>
      </c>
      <c r="AP136" s="1140">
        <f>IF(Z136=".",".",SUM($X136:Z136))</f>
        <v>191.68799239976545</v>
      </c>
      <c r="AQ136" s="1140">
        <f>IF(AA136=".",".",SUM($X136:AA136))</f>
        <v>223.57374600361698</v>
      </c>
      <c r="AR136" s="1140">
        <f>IF(AB136=".",".",SUM($X136:AB136))</f>
        <v>256.41607221558399</v>
      </c>
      <c r="AS136" s="1140">
        <f>IF(AC136=".",".",SUM($X136:AC136))</f>
        <v>290.2436682139097</v>
      </c>
      <c r="AT136" s="1141">
        <f>IF(AD136=".",".",SUM($X136:AD136))</f>
        <v>325.08609209218559</v>
      </c>
      <c r="AU136" s="3"/>
      <c r="AV136" s="1055">
        <f t="shared" si="76"/>
        <v>0.15000000000000013</v>
      </c>
      <c r="AW136" s="258">
        <f t="shared" si="69"/>
        <v>0.18450000000000011</v>
      </c>
      <c r="AX136" s="258">
        <f t="shared" si="70"/>
        <v>0.22003499999999998</v>
      </c>
      <c r="AY136" s="258">
        <f t="shared" si="71"/>
        <v>0.25663605000000023</v>
      </c>
      <c r="AZ136" s="258">
        <f t="shared" si="72"/>
        <v>0.29433513150000024</v>
      </c>
      <c r="BA136" s="258">
        <f t="shared" si="73"/>
        <v>0.33316518544499996</v>
      </c>
      <c r="BB136" s="1056">
        <f t="shared" si="74"/>
        <v>0.37316014100835027</v>
      </c>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row>
    <row r="137" spans="1:91" x14ac:dyDescent="0.2">
      <c r="A137" s="620"/>
      <c r="B137" s="290" t="s">
        <v>581</v>
      </c>
      <c r="C137" s="1022" t="str">
        <f>IF('WS3 - Notional General Income'!C47="","",'WS3 - Notional General Income'!C47)</f>
        <v/>
      </c>
      <c r="D137" s="1006" t="s">
        <v>687</v>
      </c>
      <c r="E137" s="1022"/>
      <c r="F137" s="1022"/>
      <c r="G137" s="1022"/>
      <c r="H137" s="1022"/>
      <c r="I137" s="1022"/>
      <c r="J137" s="1023" t="str">
        <f>IF('WS3 - Notional General Income'!L47=".",".",'WS3 - Notional General Income'!L47/'WS3 - Notional General Income'!D47)</f>
        <v>.</v>
      </c>
      <c r="K137" s="1023" t="str">
        <f>IF('WS4 - Yr 1 YIELD'!L44=".",".",'WS4 - Yr 1 YIELD'!L44/'WS4 - Yr 1 YIELD'!D44)</f>
        <v>.</v>
      </c>
      <c r="L137" s="1024"/>
      <c r="M137" s="1024"/>
      <c r="N137" s="1024"/>
      <c r="O137" s="1024"/>
      <c r="P137" s="1024"/>
      <c r="Q137" s="1024"/>
      <c r="R137" s="76"/>
      <c r="S137" s="3"/>
      <c r="T137" s="1028">
        <f>'WS3 - Notional General Income'!$D47</f>
        <v>0</v>
      </c>
      <c r="U137" s="1029">
        <f>'WS4 - Yr 1 YIELD'!$D44</f>
        <v>0</v>
      </c>
      <c r="V137" s="1035"/>
      <c r="W137" s="3"/>
      <c r="X137" s="1043" t="str">
        <f t="shared" si="75"/>
        <v>.</v>
      </c>
      <c r="Y137" s="1044" t="str">
        <f t="shared" si="56"/>
        <v>.</v>
      </c>
      <c r="Z137" s="1044" t="str">
        <f t="shared" si="83"/>
        <v>.</v>
      </c>
      <c r="AA137" s="1044" t="str">
        <f t="shared" si="84"/>
        <v>.</v>
      </c>
      <c r="AB137" s="1044" t="str">
        <f t="shared" si="85"/>
        <v>.</v>
      </c>
      <c r="AC137" s="1044" t="str">
        <f t="shared" si="86"/>
        <v>.</v>
      </c>
      <c r="AD137" s="1045" t="str">
        <f t="shared" si="87"/>
        <v>.</v>
      </c>
      <c r="AE137" s="3"/>
      <c r="AF137" s="1055" t="str">
        <f t="shared" si="81"/>
        <v>.</v>
      </c>
      <c r="AG137" s="258" t="str">
        <f t="shared" si="63"/>
        <v>.</v>
      </c>
      <c r="AH137" s="258" t="str">
        <f t="shared" si="82"/>
        <v>.</v>
      </c>
      <c r="AI137" s="258" t="str">
        <f t="shared" si="65"/>
        <v>.</v>
      </c>
      <c r="AJ137" s="258" t="str">
        <f t="shared" si="66"/>
        <v>.</v>
      </c>
      <c r="AK137" s="258" t="str">
        <f t="shared" si="67"/>
        <v>.</v>
      </c>
      <c r="AL137" s="1056" t="str">
        <f t="shared" si="68"/>
        <v>.</v>
      </c>
      <c r="AM137" s="3"/>
      <c r="AN137" s="1139" t="str">
        <f>IF(X137=".",".",SUM($X137:X137))</f>
        <v>.</v>
      </c>
      <c r="AO137" s="1140" t="str">
        <f>IF(Y137=".",".",SUM($X137:Y137))</f>
        <v>.</v>
      </c>
      <c r="AP137" s="1140" t="str">
        <f>IF(Z137=".",".",SUM($X137:Z137))</f>
        <v>.</v>
      </c>
      <c r="AQ137" s="1140" t="str">
        <f>IF(AA137=".",".",SUM($X137:AA137))</f>
        <v>.</v>
      </c>
      <c r="AR137" s="1140" t="str">
        <f>IF(AB137=".",".",SUM($X137:AB137))</f>
        <v>.</v>
      </c>
      <c r="AS137" s="1140" t="str">
        <f>IF(AC137=".",".",SUM($X137:AC137))</f>
        <v>.</v>
      </c>
      <c r="AT137" s="1141" t="str">
        <f>IF(AD137=".",".",SUM($X137:AD137))</f>
        <v>.</v>
      </c>
      <c r="AU137" s="3"/>
      <c r="AV137" s="1055" t="str">
        <f t="shared" si="76"/>
        <v>.</v>
      </c>
      <c r="AW137" s="258" t="str">
        <f t="shared" si="69"/>
        <v>.</v>
      </c>
      <c r="AX137" s="258" t="str">
        <f t="shared" si="70"/>
        <v>.</v>
      </c>
      <c r="AY137" s="258" t="str">
        <f t="shared" si="71"/>
        <v>.</v>
      </c>
      <c r="AZ137" s="258" t="str">
        <f t="shared" si="72"/>
        <v>.</v>
      </c>
      <c r="BA137" s="258" t="str">
        <f t="shared" si="73"/>
        <v>.</v>
      </c>
      <c r="BB137" s="1056" t="str">
        <f t="shared" si="74"/>
        <v>.</v>
      </c>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row>
    <row r="138" spans="1:91" x14ac:dyDescent="0.2">
      <c r="A138" s="620"/>
      <c r="B138" s="290" t="s">
        <v>581</v>
      </c>
      <c r="C138" s="1022" t="str">
        <f>IF('WS3 - Notional General Income'!C48="","",'WS3 - Notional General Income'!C48)</f>
        <v/>
      </c>
      <c r="D138" s="1006" t="s">
        <v>687</v>
      </c>
      <c r="E138" s="1022"/>
      <c r="F138" s="1022"/>
      <c r="G138" s="1022"/>
      <c r="H138" s="1022"/>
      <c r="I138" s="1022"/>
      <c r="J138" s="1023" t="str">
        <f>IF('WS3 - Notional General Income'!L48=".",".",'WS3 - Notional General Income'!L48/'WS3 - Notional General Income'!D48)</f>
        <v>.</v>
      </c>
      <c r="K138" s="1023" t="str">
        <f>IF('WS4 - Yr 1 YIELD'!L45=".",".",'WS4 - Yr 1 YIELD'!L45/'WS4 - Yr 1 YIELD'!D45)</f>
        <v>.</v>
      </c>
      <c r="L138" s="1024"/>
      <c r="M138" s="1024"/>
      <c r="N138" s="1024"/>
      <c r="O138" s="1024"/>
      <c r="P138" s="1024"/>
      <c r="Q138" s="1024"/>
      <c r="R138" s="76"/>
      <c r="S138" s="3"/>
      <c r="T138" s="1028">
        <f>'WS3 - Notional General Income'!$D48</f>
        <v>0</v>
      </c>
      <c r="U138" s="1029">
        <f>'WS4 - Yr 1 YIELD'!$D45</f>
        <v>0</v>
      </c>
      <c r="V138" s="1035"/>
      <c r="W138" s="3"/>
      <c r="X138" s="1043" t="str">
        <f t="shared" si="75"/>
        <v>.</v>
      </c>
      <c r="Y138" s="1044" t="str">
        <f t="shared" si="56"/>
        <v>.</v>
      </c>
      <c r="Z138" s="1044" t="str">
        <f t="shared" si="83"/>
        <v>.</v>
      </c>
      <c r="AA138" s="1044" t="str">
        <f t="shared" si="84"/>
        <v>.</v>
      </c>
      <c r="AB138" s="1044" t="str">
        <f t="shared" si="85"/>
        <v>.</v>
      </c>
      <c r="AC138" s="1044" t="str">
        <f t="shared" si="86"/>
        <v>.</v>
      </c>
      <c r="AD138" s="1045" t="str">
        <f t="shared" si="87"/>
        <v>.</v>
      </c>
      <c r="AE138" s="3"/>
      <c r="AF138" s="1055" t="str">
        <f t="shared" si="81"/>
        <v>.</v>
      </c>
      <c r="AG138" s="258" t="str">
        <f t="shared" si="63"/>
        <v>.</v>
      </c>
      <c r="AH138" s="258" t="str">
        <f t="shared" si="82"/>
        <v>.</v>
      </c>
      <c r="AI138" s="258" t="str">
        <f t="shared" si="65"/>
        <v>.</v>
      </c>
      <c r="AJ138" s="258" t="str">
        <f t="shared" si="66"/>
        <v>.</v>
      </c>
      <c r="AK138" s="258" t="str">
        <f t="shared" si="67"/>
        <v>.</v>
      </c>
      <c r="AL138" s="1056" t="str">
        <f t="shared" si="68"/>
        <v>.</v>
      </c>
      <c r="AM138" s="3"/>
      <c r="AN138" s="1139" t="str">
        <f>IF(X138=".",".",SUM($X138:X138))</f>
        <v>.</v>
      </c>
      <c r="AO138" s="1140" t="str">
        <f>IF(Y138=".",".",SUM($X138:Y138))</f>
        <v>.</v>
      </c>
      <c r="AP138" s="1140" t="str">
        <f>IF(Z138=".",".",SUM($X138:Z138))</f>
        <v>.</v>
      </c>
      <c r="AQ138" s="1140" t="str">
        <f>IF(AA138=".",".",SUM($X138:AA138))</f>
        <v>.</v>
      </c>
      <c r="AR138" s="1140" t="str">
        <f>IF(AB138=".",".",SUM($X138:AB138))</f>
        <v>.</v>
      </c>
      <c r="AS138" s="1140" t="str">
        <f>IF(AC138=".",".",SUM($X138:AC138))</f>
        <v>.</v>
      </c>
      <c r="AT138" s="1141" t="str">
        <f>IF(AD138=".",".",SUM($X138:AD138))</f>
        <v>.</v>
      </c>
      <c r="AU138" s="3"/>
      <c r="AV138" s="1055" t="str">
        <f t="shared" si="76"/>
        <v>.</v>
      </c>
      <c r="AW138" s="258" t="str">
        <f t="shared" si="69"/>
        <v>.</v>
      </c>
      <c r="AX138" s="258" t="str">
        <f t="shared" si="70"/>
        <v>.</v>
      </c>
      <c r="AY138" s="258" t="str">
        <f t="shared" si="71"/>
        <v>.</v>
      </c>
      <c r="AZ138" s="258" t="str">
        <f t="shared" si="72"/>
        <v>.</v>
      </c>
      <c r="BA138" s="258" t="str">
        <f t="shared" si="73"/>
        <v>.</v>
      </c>
      <c r="BB138" s="1056" t="str">
        <f t="shared" si="74"/>
        <v>.</v>
      </c>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row>
    <row r="139" spans="1:91" x14ac:dyDescent="0.2">
      <c r="A139" s="620"/>
      <c r="B139" s="290" t="s">
        <v>581</v>
      </c>
      <c r="C139" s="1022" t="str">
        <f>IF('WS3 - Notional General Income'!C49="","",'WS3 - Notional General Income'!C49)</f>
        <v/>
      </c>
      <c r="D139" s="1006" t="s">
        <v>687</v>
      </c>
      <c r="E139" s="1022"/>
      <c r="F139" s="1022"/>
      <c r="G139" s="1022"/>
      <c r="H139" s="1022"/>
      <c r="I139" s="1022"/>
      <c r="J139" s="1023" t="str">
        <f>IF('WS3 - Notional General Income'!L49=".",".",'WS3 - Notional General Income'!L49/'WS3 - Notional General Income'!D49)</f>
        <v>.</v>
      </c>
      <c r="K139" s="1023" t="str">
        <f>IF('WS4 - Yr 1 YIELD'!L46=".",".",'WS4 - Yr 1 YIELD'!L46/'WS4 - Yr 1 YIELD'!D46)</f>
        <v>.</v>
      </c>
      <c r="L139" s="1024"/>
      <c r="M139" s="1024"/>
      <c r="N139" s="1024"/>
      <c r="O139" s="1024"/>
      <c r="P139" s="1024"/>
      <c r="Q139" s="1024"/>
      <c r="R139" s="76"/>
      <c r="S139" s="3"/>
      <c r="T139" s="1028">
        <f>'WS3 - Notional General Income'!$D49</f>
        <v>0</v>
      </c>
      <c r="U139" s="1029">
        <f>'WS4 - Yr 1 YIELD'!$D46</f>
        <v>0</v>
      </c>
      <c r="V139" s="1035"/>
      <c r="W139" s="3"/>
      <c r="X139" s="1043" t="str">
        <f t="shared" si="75"/>
        <v>.</v>
      </c>
      <c r="Y139" s="1044" t="str">
        <f t="shared" si="56"/>
        <v>.</v>
      </c>
      <c r="Z139" s="1044" t="str">
        <f t="shared" si="83"/>
        <v>.</v>
      </c>
      <c r="AA139" s="1044" t="str">
        <f t="shared" si="84"/>
        <v>.</v>
      </c>
      <c r="AB139" s="1044" t="str">
        <f t="shared" si="85"/>
        <v>.</v>
      </c>
      <c r="AC139" s="1044" t="str">
        <f t="shared" si="86"/>
        <v>.</v>
      </c>
      <c r="AD139" s="1045" t="str">
        <f t="shared" si="87"/>
        <v>.</v>
      </c>
      <c r="AE139" s="3"/>
      <c r="AF139" s="1055" t="str">
        <f t="shared" si="81"/>
        <v>.</v>
      </c>
      <c r="AG139" s="258" t="str">
        <f t="shared" si="63"/>
        <v>.</v>
      </c>
      <c r="AH139" s="258" t="str">
        <f t="shared" si="82"/>
        <v>.</v>
      </c>
      <c r="AI139" s="258" t="str">
        <f t="shared" si="65"/>
        <v>.</v>
      </c>
      <c r="AJ139" s="258" t="str">
        <f t="shared" si="66"/>
        <v>.</v>
      </c>
      <c r="AK139" s="258" t="str">
        <f t="shared" si="67"/>
        <v>.</v>
      </c>
      <c r="AL139" s="1056" t="str">
        <f t="shared" si="68"/>
        <v>.</v>
      </c>
      <c r="AM139" s="3"/>
      <c r="AN139" s="1139" t="str">
        <f>IF(X139=".",".",SUM($X139:X139))</f>
        <v>.</v>
      </c>
      <c r="AO139" s="1140" t="str">
        <f>IF(Y139=".",".",SUM($X139:Y139))</f>
        <v>.</v>
      </c>
      <c r="AP139" s="1140" t="str">
        <f>IF(Z139=".",".",SUM($X139:Z139))</f>
        <v>.</v>
      </c>
      <c r="AQ139" s="1140" t="str">
        <f>IF(AA139=".",".",SUM($X139:AA139))</f>
        <v>.</v>
      </c>
      <c r="AR139" s="1140" t="str">
        <f>IF(AB139=".",".",SUM($X139:AB139))</f>
        <v>.</v>
      </c>
      <c r="AS139" s="1140" t="str">
        <f>IF(AC139=".",".",SUM($X139:AC139))</f>
        <v>.</v>
      </c>
      <c r="AT139" s="1141" t="str">
        <f>IF(AD139=".",".",SUM($X139:AD139))</f>
        <v>.</v>
      </c>
      <c r="AU139" s="3"/>
      <c r="AV139" s="1055" t="str">
        <f t="shared" si="76"/>
        <v>.</v>
      </c>
      <c r="AW139" s="258" t="str">
        <f t="shared" si="69"/>
        <v>.</v>
      </c>
      <c r="AX139" s="258" t="str">
        <f t="shared" si="70"/>
        <v>.</v>
      </c>
      <c r="AY139" s="258" t="str">
        <f t="shared" si="71"/>
        <v>.</v>
      </c>
      <c r="AZ139" s="258" t="str">
        <f t="shared" si="72"/>
        <v>.</v>
      </c>
      <c r="BA139" s="258" t="str">
        <f t="shared" si="73"/>
        <v>.</v>
      </c>
      <c r="BB139" s="1056" t="str">
        <f t="shared" si="74"/>
        <v>.</v>
      </c>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row>
    <row r="140" spans="1:91" x14ac:dyDescent="0.2">
      <c r="A140" s="620"/>
      <c r="B140" s="290" t="s">
        <v>581</v>
      </c>
      <c r="C140" s="1022" t="str">
        <f>IF('WS3 - Notional General Income'!C50="","",'WS3 - Notional General Income'!C50)</f>
        <v/>
      </c>
      <c r="D140" s="1006" t="s">
        <v>687</v>
      </c>
      <c r="E140" s="1022"/>
      <c r="F140" s="1022"/>
      <c r="G140" s="1022"/>
      <c r="H140" s="1022"/>
      <c r="I140" s="1022"/>
      <c r="J140" s="1023" t="str">
        <f>IF('WS3 - Notional General Income'!L50=".",".",'WS3 - Notional General Income'!L50/'WS3 - Notional General Income'!D50)</f>
        <v>.</v>
      </c>
      <c r="K140" s="1023" t="str">
        <f>IF('WS4 - Yr 1 YIELD'!L47=".",".",'WS4 - Yr 1 YIELD'!L47/'WS4 - Yr 1 YIELD'!D47)</f>
        <v>.</v>
      </c>
      <c r="L140" s="1024"/>
      <c r="M140" s="1024"/>
      <c r="N140" s="1024"/>
      <c r="O140" s="1024"/>
      <c r="P140" s="1024"/>
      <c r="Q140" s="1024"/>
      <c r="R140" s="76"/>
      <c r="S140" s="3"/>
      <c r="T140" s="1028">
        <f>'WS3 - Notional General Income'!$D50</f>
        <v>0</v>
      </c>
      <c r="U140" s="1029">
        <f>'WS4 - Yr 1 YIELD'!$D47</f>
        <v>0</v>
      </c>
      <c r="V140" s="1035"/>
      <c r="W140" s="3"/>
      <c r="X140" s="1043" t="str">
        <f t="shared" si="75"/>
        <v>.</v>
      </c>
      <c r="Y140" s="1044" t="str">
        <f t="shared" si="56"/>
        <v>.</v>
      </c>
      <c r="Z140" s="1044" t="str">
        <f t="shared" si="83"/>
        <v>.</v>
      </c>
      <c r="AA140" s="1044" t="str">
        <f t="shared" si="84"/>
        <v>.</v>
      </c>
      <c r="AB140" s="1044" t="str">
        <f t="shared" si="85"/>
        <v>.</v>
      </c>
      <c r="AC140" s="1044" t="str">
        <f t="shared" si="86"/>
        <v>.</v>
      </c>
      <c r="AD140" s="1045" t="str">
        <f t="shared" si="87"/>
        <v>.</v>
      </c>
      <c r="AE140" s="3"/>
      <c r="AF140" s="1055" t="str">
        <f t="shared" si="81"/>
        <v>.</v>
      </c>
      <c r="AG140" s="258" t="str">
        <f t="shared" si="63"/>
        <v>.</v>
      </c>
      <c r="AH140" s="258" t="str">
        <f t="shared" si="82"/>
        <v>.</v>
      </c>
      <c r="AI140" s="258" t="str">
        <f t="shared" si="65"/>
        <v>.</v>
      </c>
      <c r="AJ140" s="258" t="str">
        <f t="shared" si="66"/>
        <v>.</v>
      </c>
      <c r="AK140" s="258" t="str">
        <f t="shared" si="67"/>
        <v>.</v>
      </c>
      <c r="AL140" s="1056" t="str">
        <f t="shared" si="68"/>
        <v>.</v>
      </c>
      <c r="AM140" s="3"/>
      <c r="AN140" s="1139" t="str">
        <f>IF(X140=".",".",SUM($X140:X140))</f>
        <v>.</v>
      </c>
      <c r="AO140" s="1140" t="str">
        <f>IF(Y140=".",".",SUM($X140:Y140))</f>
        <v>.</v>
      </c>
      <c r="AP140" s="1140" t="str">
        <f>IF(Z140=".",".",SUM($X140:Z140))</f>
        <v>.</v>
      </c>
      <c r="AQ140" s="1140" t="str">
        <f>IF(AA140=".",".",SUM($X140:AA140))</f>
        <v>.</v>
      </c>
      <c r="AR140" s="1140" t="str">
        <f>IF(AB140=".",".",SUM($X140:AB140))</f>
        <v>.</v>
      </c>
      <c r="AS140" s="1140" t="str">
        <f>IF(AC140=".",".",SUM($X140:AC140))</f>
        <v>.</v>
      </c>
      <c r="AT140" s="1141" t="str">
        <f>IF(AD140=".",".",SUM($X140:AD140))</f>
        <v>.</v>
      </c>
      <c r="AU140" s="3"/>
      <c r="AV140" s="1055" t="str">
        <f t="shared" si="76"/>
        <v>.</v>
      </c>
      <c r="AW140" s="258" t="str">
        <f t="shared" si="69"/>
        <v>.</v>
      </c>
      <c r="AX140" s="258" t="str">
        <f t="shared" si="70"/>
        <v>.</v>
      </c>
      <c r="AY140" s="258" t="str">
        <f t="shared" si="71"/>
        <v>.</v>
      </c>
      <c r="AZ140" s="258" t="str">
        <f t="shared" si="72"/>
        <v>.</v>
      </c>
      <c r="BA140" s="258" t="str">
        <f t="shared" si="73"/>
        <v>.</v>
      </c>
      <c r="BB140" s="1056" t="str">
        <f t="shared" si="74"/>
        <v>.</v>
      </c>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row>
    <row r="141" spans="1:91" x14ac:dyDescent="0.2">
      <c r="A141" s="620"/>
      <c r="B141" s="290" t="s">
        <v>581</v>
      </c>
      <c r="C141" s="1022" t="str">
        <f>IF('WS3 - Notional General Income'!C51="","",'WS3 - Notional General Income'!C51)</f>
        <v/>
      </c>
      <c r="D141" s="1006" t="s">
        <v>687</v>
      </c>
      <c r="E141" s="1022"/>
      <c r="F141" s="1022"/>
      <c r="G141" s="1022"/>
      <c r="H141" s="1022"/>
      <c r="I141" s="1022"/>
      <c r="J141" s="1023" t="str">
        <f>IF('WS3 - Notional General Income'!L51=".",".",'WS3 - Notional General Income'!L51/'WS3 - Notional General Income'!D51)</f>
        <v>.</v>
      </c>
      <c r="K141" s="1023" t="str">
        <f>IF('WS4 - Yr 1 YIELD'!L48=".",".",'WS4 - Yr 1 YIELD'!L48/'WS4 - Yr 1 YIELD'!D48)</f>
        <v>.</v>
      </c>
      <c r="L141" s="1024"/>
      <c r="M141" s="1024"/>
      <c r="N141" s="1024"/>
      <c r="O141" s="1024"/>
      <c r="P141" s="1024"/>
      <c r="Q141" s="1024"/>
      <c r="R141" s="76"/>
      <c r="S141" s="3"/>
      <c r="T141" s="1028">
        <f>'WS3 - Notional General Income'!$D51</f>
        <v>0</v>
      </c>
      <c r="U141" s="1029">
        <f>'WS4 - Yr 1 YIELD'!$D48</f>
        <v>0</v>
      </c>
      <c r="V141" s="1035"/>
      <c r="W141" s="3"/>
      <c r="X141" s="1043" t="str">
        <f t="shared" si="75"/>
        <v>.</v>
      </c>
      <c r="Y141" s="1044" t="str">
        <f t="shared" si="56"/>
        <v>.</v>
      </c>
      <c r="Z141" s="1044" t="str">
        <f t="shared" si="83"/>
        <v>.</v>
      </c>
      <c r="AA141" s="1044" t="str">
        <f t="shared" si="84"/>
        <v>.</v>
      </c>
      <c r="AB141" s="1044" t="str">
        <f t="shared" si="85"/>
        <v>.</v>
      </c>
      <c r="AC141" s="1044" t="str">
        <f t="shared" si="86"/>
        <v>.</v>
      </c>
      <c r="AD141" s="1045" t="str">
        <f t="shared" si="87"/>
        <v>.</v>
      </c>
      <c r="AE141" s="3"/>
      <c r="AF141" s="1055" t="str">
        <f t="shared" si="81"/>
        <v>.</v>
      </c>
      <c r="AG141" s="258" t="str">
        <f t="shared" si="63"/>
        <v>.</v>
      </c>
      <c r="AH141" s="258" t="str">
        <f t="shared" si="82"/>
        <v>.</v>
      </c>
      <c r="AI141" s="258" t="str">
        <f t="shared" si="65"/>
        <v>.</v>
      </c>
      <c r="AJ141" s="258" t="str">
        <f t="shared" si="66"/>
        <v>.</v>
      </c>
      <c r="AK141" s="258" t="str">
        <f t="shared" si="67"/>
        <v>.</v>
      </c>
      <c r="AL141" s="1056" t="str">
        <f t="shared" si="68"/>
        <v>.</v>
      </c>
      <c r="AM141" s="3"/>
      <c r="AN141" s="1139" t="str">
        <f>IF(X141=".",".",SUM($X141:X141))</f>
        <v>.</v>
      </c>
      <c r="AO141" s="1140" t="str">
        <f>IF(Y141=".",".",SUM($X141:Y141))</f>
        <v>.</v>
      </c>
      <c r="AP141" s="1140" t="str">
        <f>IF(Z141=".",".",SUM($X141:Z141))</f>
        <v>.</v>
      </c>
      <c r="AQ141" s="1140" t="str">
        <f>IF(AA141=".",".",SUM($X141:AA141))</f>
        <v>.</v>
      </c>
      <c r="AR141" s="1140" t="str">
        <f>IF(AB141=".",".",SUM($X141:AB141))</f>
        <v>.</v>
      </c>
      <c r="AS141" s="1140" t="str">
        <f>IF(AC141=".",".",SUM($X141:AC141))</f>
        <v>.</v>
      </c>
      <c r="AT141" s="1141" t="str">
        <f>IF(AD141=".",".",SUM($X141:AD141))</f>
        <v>.</v>
      </c>
      <c r="AU141" s="3"/>
      <c r="AV141" s="1055" t="str">
        <f t="shared" si="76"/>
        <v>.</v>
      </c>
      <c r="AW141" s="258" t="str">
        <f t="shared" si="69"/>
        <v>.</v>
      </c>
      <c r="AX141" s="258" t="str">
        <f t="shared" si="70"/>
        <v>.</v>
      </c>
      <c r="AY141" s="258" t="str">
        <f t="shared" si="71"/>
        <v>.</v>
      </c>
      <c r="AZ141" s="258" t="str">
        <f t="shared" si="72"/>
        <v>.</v>
      </c>
      <c r="BA141" s="258" t="str">
        <f t="shared" si="73"/>
        <v>.</v>
      </c>
      <c r="BB141" s="1056" t="str">
        <f t="shared" si="74"/>
        <v>.</v>
      </c>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row>
    <row r="142" spans="1:91" x14ac:dyDescent="0.2">
      <c r="A142" s="620"/>
      <c r="B142" s="290" t="s">
        <v>581</v>
      </c>
      <c r="C142" s="1022" t="str">
        <f>IF('WS3 - Notional General Income'!C52="","",'WS3 - Notional General Income'!C52)</f>
        <v/>
      </c>
      <c r="D142" s="1006" t="s">
        <v>687</v>
      </c>
      <c r="E142" s="1022"/>
      <c r="F142" s="1022"/>
      <c r="G142" s="1022"/>
      <c r="H142" s="1022"/>
      <c r="I142" s="1022"/>
      <c r="J142" s="1023" t="str">
        <f>IF('WS3 - Notional General Income'!L52=".",".",'WS3 - Notional General Income'!L52/'WS3 - Notional General Income'!D52)</f>
        <v>.</v>
      </c>
      <c r="K142" s="1023" t="str">
        <f>IF('WS4 - Yr 1 YIELD'!L49=".",".",'WS4 - Yr 1 YIELD'!L49/'WS4 - Yr 1 YIELD'!D49)</f>
        <v>.</v>
      </c>
      <c r="L142" s="1024"/>
      <c r="M142" s="1024"/>
      <c r="N142" s="1024"/>
      <c r="O142" s="1024"/>
      <c r="P142" s="1024"/>
      <c r="Q142" s="1024"/>
      <c r="R142" s="76"/>
      <c r="S142" s="3"/>
      <c r="T142" s="1028">
        <f>'WS3 - Notional General Income'!$D52</f>
        <v>0</v>
      </c>
      <c r="U142" s="1029">
        <f>'WS4 - Yr 1 YIELD'!$D49</f>
        <v>0</v>
      </c>
      <c r="V142" s="1035"/>
      <c r="W142" s="3"/>
      <c r="X142" s="1043" t="str">
        <f t="shared" si="75"/>
        <v>.</v>
      </c>
      <c r="Y142" s="1044" t="str">
        <f t="shared" si="56"/>
        <v>.</v>
      </c>
      <c r="Z142" s="1044" t="str">
        <f t="shared" si="83"/>
        <v>.</v>
      </c>
      <c r="AA142" s="1044" t="str">
        <f t="shared" si="84"/>
        <v>.</v>
      </c>
      <c r="AB142" s="1044" t="str">
        <f t="shared" si="85"/>
        <v>.</v>
      </c>
      <c r="AC142" s="1044" t="str">
        <f t="shared" si="86"/>
        <v>.</v>
      </c>
      <c r="AD142" s="1045" t="str">
        <f t="shared" si="87"/>
        <v>.</v>
      </c>
      <c r="AE142" s="3"/>
      <c r="AF142" s="1055" t="str">
        <f t="shared" si="81"/>
        <v>.</v>
      </c>
      <c r="AG142" s="258" t="str">
        <f t="shared" si="63"/>
        <v>.</v>
      </c>
      <c r="AH142" s="258" t="str">
        <f t="shared" si="82"/>
        <v>.</v>
      </c>
      <c r="AI142" s="258" t="str">
        <f t="shared" si="65"/>
        <v>.</v>
      </c>
      <c r="AJ142" s="258" t="str">
        <f t="shared" si="66"/>
        <v>.</v>
      </c>
      <c r="AK142" s="258" t="str">
        <f t="shared" si="67"/>
        <v>.</v>
      </c>
      <c r="AL142" s="1056" t="str">
        <f t="shared" si="68"/>
        <v>.</v>
      </c>
      <c r="AM142" s="3"/>
      <c r="AN142" s="1139" t="str">
        <f>IF(X142=".",".",SUM($X142:X142))</f>
        <v>.</v>
      </c>
      <c r="AO142" s="1140" t="str">
        <f>IF(Y142=".",".",SUM($X142:Y142))</f>
        <v>.</v>
      </c>
      <c r="AP142" s="1140" t="str">
        <f>IF(Z142=".",".",SUM($X142:Z142))</f>
        <v>.</v>
      </c>
      <c r="AQ142" s="1140" t="str">
        <f>IF(AA142=".",".",SUM($X142:AA142))</f>
        <v>.</v>
      </c>
      <c r="AR142" s="1140" t="str">
        <f>IF(AB142=".",".",SUM($X142:AB142))</f>
        <v>.</v>
      </c>
      <c r="AS142" s="1140" t="str">
        <f>IF(AC142=".",".",SUM($X142:AC142))</f>
        <v>.</v>
      </c>
      <c r="AT142" s="1141" t="str">
        <f>IF(AD142=".",".",SUM($X142:AD142))</f>
        <v>.</v>
      </c>
      <c r="AU142" s="3"/>
      <c r="AV142" s="1055" t="str">
        <f t="shared" si="76"/>
        <v>.</v>
      </c>
      <c r="AW142" s="258" t="str">
        <f t="shared" si="69"/>
        <v>.</v>
      </c>
      <c r="AX142" s="258" t="str">
        <f t="shared" si="70"/>
        <v>.</v>
      </c>
      <c r="AY142" s="258" t="str">
        <f t="shared" si="71"/>
        <v>.</v>
      </c>
      <c r="AZ142" s="258" t="str">
        <f t="shared" si="72"/>
        <v>.</v>
      </c>
      <c r="BA142" s="258" t="str">
        <f t="shared" si="73"/>
        <v>.</v>
      </c>
      <c r="BB142" s="1056" t="str">
        <f t="shared" si="74"/>
        <v>.</v>
      </c>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row>
    <row r="143" spans="1:91" x14ac:dyDescent="0.2">
      <c r="A143" s="620"/>
      <c r="B143" s="290" t="s">
        <v>581</v>
      </c>
      <c r="C143" s="1022" t="str">
        <f>IF('WS3 - Notional General Income'!C53="","",'WS3 - Notional General Income'!C53)</f>
        <v/>
      </c>
      <c r="D143" s="1006" t="s">
        <v>687</v>
      </c>
      <c r="E143" s="1022"/>
      <c r="F143" s="1022"/>
      <c r="G143" s="1022"/>
      <c r="H143" s="1022"/>
      <c r="I143" s="1022"/>
      <c r="J143" s="1023" t="str">
        <f>IF('WS3 - Notional General Income'!L53=".",".",'WS3 - Notional General Income'!L53/'WS3 - Notional General Income'!D53)</f>
        <v>.</v>
      </c>
      <c r="K143" s="1023" t="str">
        <f>IF('WS4 - Yr 1 YIELD'!L50=".",".",'WS4 - Yr 1 YIELD'!L50/'WS4 - Yr 1 YIELD'!D50)</f>
        <v>.</v>
      </c>
      <c r="L143" s="1024"/>
      <c r="M143" s="1024"/>
      <c r="N143" s="1024"/>
      <c r="O143" s="1024"/>
      <c r="P143" s="1024"/>
      <c r="Q143" s="1024"/>
      <c r="R143" s="76"/>
      <c r="S143" s="3"/>
      <c r="T143" s="1028">
        <f>'WS3 - Notional General Income'!$D53</f>
        <v>0</v>
      </c>
      <c r="U143" s="1029">
        <f>'WS4 - Yr 1 YIELD'!$D50</f>
        <v>0</v>
      </c>
      <c r="V143" s="1035"/>
      <c r="W143" s="3"/>
      <c r="X143" s="1043" t="str">
        <f t="shared" si="75"/>
        <v>.</v>
      </c>
      <c r="Y143" s="1044" t="str">
        <f t="shared" si="56"/>
        <v>.</v>
      </c>
      <c r="Z143" s="1044" t="str">
        <f t="shared" si="83"/>
        <v>.</v>
      </c>
      <c r="AA143" s="1044" t="str">
        <f t="shared" si="84"/>
        <v>.</v>
      </c>
      <c r="AB143" s="1044" t="str">
        <f t="shared" si="85"/>
        <v>.</v>
      </c>
      <c r="AC143" s="1044" t="str">
        <f t="shared" si="86"/>
        <v>.</v>
      </c>
      <c r="AD143" s="1045" t="str">
        <f t="shared" si="87"/>
        <v>.</v>
      </c>
      <c r="AE143" s="3"/>
      <c r="AF143" s="1055" t="str">
        <f t="shared" si="81"/>
        <v>.</v>
      </c>
      <c r="AG143" s="258" t="str">
        <f t="shared" si="63"/>
        <v>.</v>
      </c>
      <c r="AH143" s="258" t="str">
        <f t="shared" si="82"/>
        <v>.</v>
      </c>
      <c r="AI143" s="258" t="str">
        <f t="shared" si="65"/>
        <v>.</v>
      </c>
      <c r="AJ143" s="258" t="str">
        <f t="shared" si="66"/>
        <v>.</v>
      </c>
      <c r="AK143" s="258" t="str">
        <f t="shared" si="67"/>
        <v>.</v>
      </c>
      <c r="AL143" s="1056" t="str">
        <f t="shared" si="68"/>
        <v>.</v>
      </c>
      <c r="AM143" s="3"/>
      <c r="AN143" s="1139" t="str">
        <f>IF(X143=".",".",SUM($X143:X143))</f>
        <v>.</v>
      </c>
      <c r="AO143" s="1140" t="str">
        <f>IF(Y143=".",".",SUM($X143:Y143))</f>
        <v>.</v>
      </c>
      <c r="AP143" s="1140" t="str">
        <f>IF(Z143=".",".",SUM($X143:Z143))</f>
        <v>.</v>
      </c>
      <c r="AQ143" s="1140" t="str">
        <f>IF(AA143=".",".",SUM($X143:AA143))</f>
        <v>.</v>
      </c>
      <c r="AR143" s="1140" t="str">
        <f>IF(AB143=".",".",SUM($X143:AB143))</f>
        <v>.</v>
      </c>
      <c r="AS143" s="1140" t="str">
        <f>IF(AC143=".",".",SUM($X143:AC143))</f>
        <v>.</v>
      </c>
      <c r="AT143" s="1141" t="str">
        <f>IF(AD143=".",".",SUM($X143:AD143))</f>
        <v>.</v>
      </c>
      <c r="AU143" s="3"/>
      <c r="AV143" s="1055" t="str">
        <f t="shared" si="76"/>
        <v>.</v>
      </c>
      <c r="AW143" s="258" t="str">
        <f t="shared" si="69"/>
        <v>.</v>
      </c>
      <c r="AX143" s="258" t="str">
        <f t="shared" si="70"/>
        <v>.</v>
      </c>
      <c r="AY143" s="258" t="str">
        <f t="shared" si="71"/>
        <v>.</v>
      </c>
      <c r="AZ143" s="258" t="str">
        <f t="shared" si="72"/>
        <v>.</v>
      </c>
      <c r="BA143" s="258" t="str">
        <f t="shared" si="73"/>
        <v>.</v>
      </c>
      <c r="BB143" s="1056" t="str">
        <f t="shared" si="74"/>
        <v>.</v>
      </c>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row>
    <row r="144" spans="1:91" x14ac:dyDescent="0.2">
      <c r="A144" s="620"/>
      <c r="B144" s="290" t="s">
        <v>581</v>
      </c>
      <c r="C144" s="1022" t="str">
        <f>IF('WS3 - Notional General Income'!C54="","",'WS3 - Notional General Income'!C54)</f>
        <v/>
      </c>
      <c r="D144" s="1006" t="s">
        <v>687</v>
      </c>
      <c r="E144" s="1022"/>
      <c r="F144" s="1022"/>
      <c r="G144" s="1022"/>
      <c r="H144" s="1022"/>
      <c r="I144" s="1022"/>
      <c r="J144" s="1023" t="str">
        <f>IF('WS3 - Notional General Income'!L54=".",".",'WS3 - Notional General Income'!L54/'WS3 - Notional General Income'!D54)</f>
        <v>.</v>
      </c>
      <c r="K144" s="1023" t="str">
        <f>IF('WS4 - Yr 1 YIELD'!L51=".",".",'WS4 - Yr 1 YIELD'!L51/'WS4 - Yr 1 YIELD'!D51)</f>
        <v>.</v>
      </c>
      <c r="L144" s="1024"/>
      <c r="M144" s="1024"/>
      <c r="N144" s="1024"/>
      <c r="O144" s="1024"/>
      <c r="P144" s="1024"/>
      <c r="Q144" s="1024"/>
      <c r="R144" s="76"/>
      <c r="S144" s="3"/>
      <c r="T144" s="1028">
        <f>'WS3 - Notional General Income'!$D54</f>
        <v>0</v>
      </c>
      <c r="U144" s="1029">
        <f>'WS4 - Yr 1 YIELD'!$D51</f>
        <v>0</v>
      </c>
      <c r="V144" s="1035"/>
      <c r="W144" s="3"/>
      <c r="X144" s="1043" t="str">
        <f t="shared" si="75"/>
        <v>.</v>
      </c>
      <c r="Y144" s="1044" t="str">
        <f t="shared" si="56"/>
        <v>.</v>
      </c>
      <c r="Z144" s="1044" t="str">
        <f t="shared" si="83"/>
        <v>.</v>
      </c>
      <c r="AA144" s="1044" t="str">
        <f t="shared" si="84"/>
        <v>.</v>
      </c>
      <c r="AB144" s="1044" t="str">
        <f t="shared" si="85"/>
        <v>.</v>
      </c>
      <c r="AC144" s="1044" t="str">
        <f t="shared" si="86"/>
        <v>.</v>
      </c>
      <c r="AD144" s="1045" t="str">
        <f t="shared" si="87"/>
        <v>.</v>
      </c>
      <c r="AE144" s="3"/>
      <c r="AF144" s="1055" t="str">
        <f t="shared" si="81"/>
        <v>.</v>
      </c>
      <c r="AG144" s="258" t="str">
        <f t="shared" si="63"/>
        <v>.</v>
      </c>
      <c r="AH144" s="258" t="str">
        <f t="shared" si="82"/>
        <v>.</v>
      </c>
      <c r="AI144" s="258" t="str">
        <f t="shared" si="65"/>
        <v>.</v>
      </c>
      <c r="AJ144" s="258" t="str">
        <f t="shared" si="66"/>
        <v>.</v>
      </c>
      <c r="AK144" s="258" t="str">
        <f t="shared" si="67"/>
        <v>.</v>
      </c>
      <c r="AL144" s="1056" t="str">
        <f t="shared" si="68"/>
        <v>.</v>
      </c>
      <c r="AM144" s="3"/>
      <c r="AN144" s="1139" t="str">
        <f>IF(X144=".",".",SUM($X144:X144))</f>
        <v>.</v>
      </c>
      <c r="AO144" s="1140" t="str">
        <f>IF(Y144=".",".",SUM($X144:Y144))</f>
        <v>.</v>
      </c>
      <c r="AP144" s="1140" t="str">
        <f>IF(Z144=".",".",SUM($X144:Z144))</f>
        <v>.</v>
      </c>
      <c r="AQ144" s="1140" t="str">
        <f>IF(AA144=".",".",SUM($X144:AA144))</f>
        <v>.</v>
      </c>
      <c r="AR144" s="1140" t="str">
        <f>IF(AB144=".",".",SUM($X144:AB144))</f>
        <v>.</v>
      </c>
      <c r="AS144" s="1140" t="str">
        <f>IF(AC144=".",".",SUM($X144:AC144))</f>
        <v>.</v>
      </c>
      <c r="AT144" s="1141" t="str">
        <f>IF(AD144=".",".",SUM($X144:AD144))</f>
        <v>.</v>
      </c>
      <c r="AU144" s="3"/>
      <c r="AV144" s="1055" t="str">
        <f t="shared" si="76"/>
        <v>.</v>
      </c>
      <c r="AW144" s="258" t="str">
        <f t="shared" si="69"/>
        <v>.</v>
      </c>
      <c r="AX144" s="258" t="str">
        <f t="shared" si="70"/>
        <v>.</v>
      </c>
      <c r="AY144" s="258" t="str">
        <f t="shared" si="71"/>
        <v>.</v>
      </c>
      <c r="AZ144" s="258" t="str">
        <f t="shared" si="72"/>
        <v>.</v>
      </c>
      <c r="BA144" s="258" t="str">
        <f t="shared" si="73"/>
        <v>.</v>
      </c>
      <c r="BB144" s="1056" t="str">
        <f t="shared" si="74"/>
        <v>.</v>
      </c>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row>
    <row r="145" spans="1:91" x14ac:dyDescent="0.2">
      <c r="A145" s="620"/>
      <c r="B145" s="290" t="s">
        <v>581</v>
      </c>
      <c r="C145" s="1022" t="str">
        <f>IF('WS3 - Notional General Income'!C55="","",'WS3 - Notional General Income'!C55)</f>
        <v/>
      </c>
      <c r="D145" s="1006" t="s">
        <v>687</v>
      </c>
      <c r="E145" s="1022"/>
      <c r="F145" s="1022"/>
      <c r="G145" s="1022"/>
      <c r="H145" s="1022"/>
      <c r="I145" s="1022"/>
      <c r="J145" s="1023" t="str">
        <f>IF('WS3 - Notional General Income'!L55=".",".",'WS3 - Notional General Income'!L55/'WS3 - Notional General Income'!D55)</f>
        <v>.</v>
      </c>
      <c r="K145" s="1023" t="str">
        <f>IF('WS4 - Yr 1 YIELD'!L52=".",".",'WS4 - Yr 1 YIELD'!L52/'WS4 - Yr 1 YIELD'!D52)</f>
        <v>.</v>
      </c>
      <c r="L145" s="1024"/>
      <c r="M145" s="1024"/>
      <c r="N145" s="1024"/>
      <c r="O145" s="1024"/>
      <c r="P145" s="1024"/>
      <c r="Q145" s="1024"/>
      <c r="R145" s="76"/>
      <c r="S145" s="3"/>
      <c r="T145" s="1028">
        <f>'WS3 - Notional General Income'!$D55</f>
        <v>0</v>
      </c>
      <c r="U145" s="1029">
        <f>'WS4 - Yr 1 YIELD'!$D52</f>
        <v>0</v>
      </c>
      <c r="V145" s="1035"/>
      <c r="W145" s="3"/>
      <c r="X145" s="1043" t="str">
        <f t="shared" si="75"/>
        <v>.</v>
      </c>
      <c r="Y145" s="1044" t="str">
        <f t="shared" si="56"/>
        <v>.</v>
      </c>
      <c r="Z145" s="1044" t="str">
        <f t="shared" si="83"/>
        <v>.</v>
      </c>
      <c r="AA145" s="1044" t="str">
        <f t="shared" si="84"/>
        <v>.</v>
      </c>
      <c r="AB145" s="1044" t="str">
        <f t="shared" si="85"/>
        <v>.</v>
      </c>
      <c r="AC145" s="1044" t="str">
        <f t="shared" si="86"/>
        <v>.</v>
      </c>
      <c r="AD145" s="1045" t="str">
        <f t="shared" si="87"/>
        <v>.</v>
      </c>
      <c r="AE145" s="3"/>
      <c r="AF145" s="1055" t="str">
        <f t="shared" si="81"/>
        <v>.</v>
      </c>
      <c r="AG145" s="258" t="str">
        <f t="shared" si="63"/>
        <v>.</v>
      </c>
      <c r="AH145" s="258" t="str">
        <f t="shared" si="82"/>
        <v>.</v>
      </c>
      <c r="AI145" s="258" t="str">
        <f t="shared" si="65"/>
        <v>.</v>
      </c>
      <c r="AJ145" s="258" t="str">
        <f t="shared" si="66"/>
        <v>.</v>
      </c>
      <c r="AK145" s="258" t="str">
        <f t="shared" si="67"/>
        <v>.</v>
      </c>
      <c r="AL145" s="1056" t="str">
        <f t="shared" si="68"/>
        <v>.</v>
      </c>
      <c r="AM145" s="3"/>
      <c r="AN145" s="1139" t="str">
        <f>IF(X145=".",".",SUM($X145:X145))</f>
        <v>.</v>
      </c>
      <c r="AO145" s="1140" t="str">
        <f>IF(Y145=".",".",SUM($X145:Y145))</f>
        <v>.</v>
      </c>
      <c r="AP145" s="1140" t="str">
        <f>IF(Z145=".",".",SUM($X145:Z145))</f>
        <v>.</v>
      </c>
      <c r="AQ145" s="1140" t="str">
        <f>IF(AA145=".",".",SUM($X145:AA145))</f>
        <v>.</v>
      </c>
      <c r="AR145" s="1140" t="str">
        <f>IF(AB145=".",".",SUM($X145:AB145))</f>
        <v>.</v>
      </c>
      <c r="AS145" s="1140" t="str">
        <f>IF(AC145=".",".",SUM($X145:AC145))</f>
        <v>.</v>
      </c>
      <c r="AT145" s="1141" t="str">
        <f>IF(AD145=".",".",SUM($X145:AD145))</f>
        <v>.</v>
      </c>
      <c r="AU145" s="3"/>
      <c r="AV145" s="1055" t="str">
        <f t="shared" si="76"/>
        <v>.</v>
      </c>
      <c r="AW145" s="258" t="str">
        <f t="shared" si="69"/>
        <v>.</v>
      </c>
      <c r="AX145" s="258" t="str">
        <f t="shared" si="70"/>
        <v>.</v>
      </c>
      <c r="AY145" s="258" t="str">
        <f t="shared" si="71"/>
        <v>.</v>
      </c>
      <c r="AZ145" s="258" t="str">
        <f t="shared" si="72"/>
        <v>.</v>
      </c>
      <c r="BA145" s="258" t="str">
        <f t="shared" si="73"/>
        <v>.</v>
      </c>
      <c r="BB145" s="1056" t="str">
        <f t="shared" si="74"/>
        <v>.</v>
      </c>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row>
    <row r="146" spans="1:91" x14ac:dyDescent="0.2">
      <c r="A146" s="620"/>
      <c r="B146" s="290" t="s">
        <v>581</v>
      </c>
      <c r="C146" s="1022" t="str">
        <f>IF('WS3 - Notional General Income'!C56="","",'WS3 - Notional General Income'!C56)</f>
        <v/>
      </c>
      <c r="D146" s="1006" t="s">
        <v>687</v>
      </c>
      <c r="E146" s="1022"/>
      <c r="F146" s="1022"/>
      <c r="G146" s="1022"/>
      <c r="H146" s="1022"/>
      <c r="I146" s="1022"/>
      <c r="J146" s="1023" t="str">
        <f>IF('WS3 - Notional General Income'!L56=".",".",'WS3 - Notional General Income'!L56/'WS3 - Notional General Income'!D56)</f>
        <v>.</v>
      </c>
      <c r="K146" s="1023" t="str">
        <f>IF('WS4 - Yr 1 YIELD'!L53=".",".",'WS4 - Yr 1 YIELD'!L53/'WS4 - Yr 1 YIELD'!D53)</f>
        <v>.</v>
      </c>
      <c r="L146" s="1024"/>
      <c r="M146" s="1024"/>
      <c r="N146" s="1024"/>
      <c r="O146" s="1024"/>
      <c r="P146" s="1024"/>
      <c r="Q146" s="1024"/>
      <c r="R146" s="76"/>
      <c r="S146" s="3"/>
      <c r="T146" s="1028">
        <f>'WS3 - Notional General Income'!$D56</f>
        <v>0</v>
      </c>
      <c r="U146" s="1029">
        <f>'WS4 - Yr 1 YIELD'!$D53</f>
        <v>0</v>
      </c>
      <c r="V146" s="1035"/>
      <c r="W146" s="3"/>
      <c r="X146" s="1043" t="str">
        <f t="shared" si="75"/>
        <v>.</v>
      </c>
      <c r="Y146" s="1044" t="str">
        <f t="shared" si="56"/>
        <v>.</v>
      </c>
      <c r="Z146" s="1044" t="str">
        <f t="shared" si="83"/>
        <v>.</v>
      </c>
      <c r="AA146" s="1044" t="str">
        <f t="shared" si="84"/>
        <v>.</v>
      </c>
      <c r="AB146" s="1044" t="str">
        <f t="shared" si="85"/>
        <v>.</v>
      </c>
      <c r="AC146" s="1044" t="str">
        <f t="shared" si="86"/>
        <v>.</v>
      </c>
      <c r="AD146" s="1045" t="str">
        <f t="shared" si="87"/>
        <v>.</v>
      </c>
      <c r="AE146" s="3"/>
      <c r="AF146" s="1055" t="str">
        <f t="shared" si="81"/>
        <v>.</v>
      </c>
      <c r="AG146" s="258" t="str">
        <f t="shared" si="63"/>
        <v>.</v>
      </c>
      <c r="AH146" s="258" t="str">
        <f t="shared" si="82"/>
        <v>.</v>
      </c>
      <c r="AI146" s="258" t="str">
        <f t="shared" si="65"/>
        <v>.</v>
      </c>
      <c r="AJ146" s="258" t="str">
        <f t="shared" si="66"/>
        <v>.</v>
      </c>
      <c r="AK146" s="258" t="str">
        <f t="shared" si="67"/>
        <v>.</v>
      </c>
      <c r="AL146" s="1056" t="str">
        <f t="shared" si="68"/>
        <v>.</v>
      </c>
      <c r="AM146" s="3"/>
      <c r="AN146" s="1139" t="str">
        <f>IF(X146=".",".",SUM($X146:X146))</f>
        <v>.</v>
      </c>
      <c r="AO146" s="1140" t="str">
        <f>IF(Y146=".",".",SUM($X146:Y146))</f>
        <v>.</v>
      </c>
      <c r="AP146" s="1140" t="str">
        <f>IF(Z146=".",".",SUM($X146:Z146))</f>
        <v>.</v>
      </c>
      <c r="AQ146" s="1140" t="str">
        <f>IF(AA146=".",".",SUM($X146:AA146))</f>
        <v>.</v>
      </c>
      <c r="AR146" s="1140" t="str">
        <f>IF(AB146=".",".",SUM($X146:AB146))</f>
        <v>.</v>
      </c>
      <c r="AS146" s="1140" t="str">
        <f>IF(AC146=".",".",SUM($X146:AC146))</f>
        <v>.</v>
      </c>
      <c r="AT146" s="1141" t="str">
        <f>IF(AD146=".",".",SUM($X146:AD146))</f>
        <v>.</v>
      </c>
      <c r="AU146" s="3"/>
      <c r="AV146" s="1055" t="str">
        <f t="shared" si="76"/>
        <v>.</v>
      </c>
      <c r="AW146" s="258" t="str">
        <f t="shared" si="69"/>
        <v>.</v>
      </c>
      <c r="AX146" s="258" t="str">
        <f t="shared" si="70"/>
        <v>.</v>
      </c>
      <c r="AY146" s="258" t="str">
        <f t="shared" si="71"/>
        <v>.</v>
      </c>
      <c r="AZ146" s="258" t="str">
        <f t="shared" si="72"/>
        <v>.</v>
      </c>
      <c r="BA146" s="258" t="str">
        <f t="shared" si="73"/>
        <v>.</v>
      </c>
      <c r="BB146" s="1056" t="str">
        <f t="shared" si="74"/>
        <v>.</v>
      </c>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row>
    <row r="147" spans="1:91" x14ac:dyDescent="0.2">
      <c r="A147" s="620"/>
      <c r="B147" s="290" t="s">
        <v>581</v>
      </c>
      <c r="C147" s="1022" t="str">
        <f>IF('WS3 - Notional General Income'!C57="","",'WS3 - Notional General Income'!C57)</f>
        <v/>
      </c>
      <c r="D147" s="1006" t="s">
        <v>687</v>
      </c>
      <c r="E147" s="1022"/>
      <c r="F147" s="1022"/>
      <c r="G147" s="1022"/>
      <c r="H147" s="1022"/>
      <c r="I147" s="1022"/>
      <c r="J147" s="1023" t="str">
        <f>IF('WS3 - Notional General Income'!L57=".",".",'WS3 - Notional General Income'!L57/'WS3 - Notional General Income'!D57)</f>
        <v>.</v>
      </c>
      <c r="K147" s="1023" t="str">
        <f>IF('WS4 - Yr 1 YIELD'!L54=".",".",'WS4 - Yr 1 YIELD'!L54/'WS4 - Yr 1 YIELD'!D54)</f>
        <v>.</v>
      </c>
      <c r="L147" s="1024"/>
      <c r="M147" s="1024"/>
      <c r="N147" s="1024"/>
      <c r="O147" s="1024"/>
      <c r="P147" s="1024"/>
      <c r="Q147" s="1024"/>
      <c r="R147" s="76"/>
      <c r="S147" s="3"/>
      <c r="T147" s="1028">
        <f>'WS3 - Notional General Income'!$D57</f>
        <v>0</v>
      </c>
      <c r="U147" s="1029">
        <f>'WS4 - Yr 1 YIELD'!$D54</f>
        <v>0</v>
      </c>
      <c r="V147" s="1035"/>
      <c r="W147" s="3"/>
      <c r="X147" s="1043" t="str">
        <f t="shared" si="75"/>
        <v>.</v>
      </c>
      <c r="Y147" s="1044" t="str">
        <f t="shared" si="56"/>
        <v>.</v>
      </c>
      <c r="Z147" s="1044" t="str">
        <f t="shared" si="83"/>
        <v>.</v>
      </c>
      <c r="AA147" s="1044" t="str">
        <f t="shared" si="84"/>
        <v>.</v>
      </c>
      <c r="AB147" s="1044" t="str">
        <f t="shared" si="85"/>
        <v>.</v>
      </c>
      <c r="AC147" s="1044" t="str">
        <f t="shared" si="86"/>
        <v>.</v>
      </c>
      <c r="AD147" s="1045" t="str">
        <f t="shared" si="87"/>
        <v>.</v>
      </c>
      <c r="AE147" s="3"/>
      <c r="AF147" s="1055" t="str">
        <f t="shared" si="81"/>
        <v>.</v>
      </c>
      <c r="AG147" s="258" t="str">
        <f t="shared" si="63"/>
        <v>.</v>
      </c>
      <c r="AH147" s="258" t="str">
        <f t="shared" si="82"/>
        <v>.</v>
      </c>
      <c r="AI147" s="258" t="str">
        <f t="shared" si="65"/>
        <v>.</v>
      </c>
      <c r="AJ147" s="258" t="str">
        <f t="shared" si="66"/>
        <v>.</v>
      </c>
      <c r="AK147" s="258" t="str">
        <f t="shared" si="67"/>
        <v>.</v>
      </c>
      <c r="AL147" s="1056" t="str">
        <f t="shared" si="68"/>
        <v>.</v>
      </c>
      <c r="AM147" s="3"/>
      <c r="AN147" s="1139" t="str">
        <f>IF(X147=".",".",SUM($X147:X147))</f>
        <v>.</v>
      </c>
      <c r="AO147" s="1140" t="str">
        <f>IF(Y147=".",".",SUM($X147:Y147))</f>
        <v>.</v>
      </c>
      <c r="AP147" s="1140" t="str">
        <f>IF(Z147=".",".",SUM($X147:Z147))</f>
        <v>.</v>
      </c>
      <c r="AQ147" s="1140" t="str">
        <f>IF(AA147=".",".",SUM($X147:AA147))</f>
        <v>.</v>
      </c>
      <c r="AR147" s="1140" t="str">
        <f>IF(AB147=".",".",SUM($X147:AB147))</f>
        <v>.</v>
      </c>
      <c r="AS147" s="1140" t="str">
        <f>IF(AC147=".",".",SUM($X147:AC147))</f>
        <v>.</v>
      </c>
      <c r="AT147" s="1141" t="str">
        <f>IF(AD147=".",".",SUM($X147:AD147))</f>
        <v>.</v>
      </c>
      <c r="AU147" s="3"/>
      <c r="AV147" s="1055" t="str">
        <f t="shared" si="76"/>
        <v>.</v>
      </c>
      <c r="AW147" s="258" t="str">
        <f t="shared" si="69"/>
        <v>.</v>
      </c>
      <c r="AX147" s="258" t="str">
        <f t="shared" si="70"/>
        <v>.</v>
      </c>
      <c r="AY147" s="258" t="str">
        <f t="shared" si="71"/>
        <v>.</v>
      </c>
      <c r="AZ147" s="258" t="str">
        <f t="shared" si="72"/>
        <v>.</v>
      </c>
      <c r="BA147" s="258" t="str">
        <f t="shared" si="73"/>
        <v>.</v>
      </c>
      <c r="BB147" s="1056" t="str">
        <f t="shared" si="74"/>
        <v>.</v>
      </c>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row>
    <row r="148" spans="1:91" x14ac:dyDescent="0.2">
      <c r="A148" s="620"/>
      <c r="B148" s="290" t="s">
        <v>581</v>
      </c>
      <c r="C148" s="1022" t="str">
        <f>IF('WS3 - Notional General Income'!C58="","",'WS3 - Notional General Income'!C58)</f>
        <v/>
      </c>
      <c r="D148" s="1006" t="s">
        <v>687</v>
      </c>
      <c r="E148" s="1022"/>
      <c r="F148" s="1022"/>
      <c r="G148" s="1022"/>
      <c r="H148" s="1022"/>
      <c r="I148" s="1022"/>
      <c r="J148" s="1023" t="str">
        <f>IF('WS3 - Notional General Income'!L58=".",".",'WS3 - Notional General Income'!L58/'WS3 - Notional General Income'!D58)</f>
        <v>.</v>
      </c>
      <c r="K148" s="1023" t="str">
        <f>IF('WS4 - Yr 1 YIELD'!L55=".",".",'WS4 - Yr 1 YIELD'!L55/'WS4 - Yr 1 YIELD'!D55)</f>
        <v>.</v>
      </c>
      <c r="L148" s="1024"/>
      <c r="M148" s="1024"/>
      <c r="N148" s="1024"/>
      <c r="O148" s="1024"/>
      <c r="P148" s="1024"/>
      <c r="Q148" s="1024"/>
      <c r="R148" s="76"/>
      <c r="S148" s="3"/>
      <c r="T148" s="1028">
        <f>'WS3 - Notional General Income'!$D58</f>
        <v>0</v>
      </c>
      <c r="U148" s="1029">
        <f>'WS4 - Yr 1 YIELD'!$D55</f>
        <v>0</v>
      </c>
      <c r="V148" s="1035"/>
      <c r="W148" s="3"/>
      <c r="X148" s="1043" t="str">
        <f t="shared" si="75"/>
        <v>.</v>
      </c>
      <c r="Y148" s="1044" t="str">
        <f t="shared" si="56"/>
        <v>.</v>
      </c>
      <c r="Z148" s="1044" t="str">
        <f t="shared" si="83"/>
        <v>.</v>
      </c>
      <c r="AA148" s="1044" t="str">
        <f t="shared" si="84"/>
        <v>.</v>
      </c>
      <c r="AB148" s="1044" t="str">
        <f t="shared" si="85"/>
        <v>.</v>
      </c>
      <c r="AC148" s="1044" t="str">
        <f t="shared" si="86"/>
        <v>.</v>
      </c>
      <c r="AD148" s="1045" t="str">
        <f t="shared" si="87"/>
        <v>.</v>
      </c>
      <c r="AE148" s="3"/>
      <c r="AF148" s="1055" t="str">
        <f t="shared" si="81"/>
        <v>.</v>
      </c>
      <c r="AG148" s="258" t="str">
        <f t="shared" si="63"/>
        <v>.</v>
      </c>
      <c r="AH148" s="258" t="str">
        <f t="shared" si="82"/>
        <v>.</v>
      </c>
      <c r="AI148" s="258" t="str">
        <f t="shared" si="65"/>
        <v>.</v>
      </c>
      <c r="AJ148" s="258" t="str">
        <f t="shared" si="66"/>
        <v>.</v>
      </c>
      <c r="AK148" s="258" t="str">
        <f t="shared" si="67"/>
        <v>.</v>
      </c>
      <c r="AL148" s="1056" t="str">
        <f t="shared" si="68"/>
        <v>.</v>
      </c>
      <c r="AM148" s="3"/>
      <c r="AN148" s="1139" t="str">
        <f>IF(X148=".",".",SUM($X148:X148))</f>
        <v>.</v>
      </c>
      <c r="AO148" s="1140" t="str">
        <f>IF(Y148=".",".",SUM($X148:Y148))</f>
        <v>.</v>
      </c>
      <c r="AP148" s="1140" t="str">
        <f>IF(Z148=".",".",SUM($X148:Z148))</f>
        <v>.</v>
      </c>
      <c r="AQ148" s="1140" t="str">
        <f>IF(AA148=".",".",SUM($X148:AA148))</f>
        <v>.</v>
      </c>
      <c r="AR148" s="1140" t="str">
        <f>IF(AB148=".",".",SUM($X148:AB148))</f>
        <v>.</v>
      </c>
      <c r="AS148" s="1140" t="str">
        <f>IF(AC148=".",".",SUM($X148:AC148))</f>
        <v>.</v>
      </c>
      <c r="AT148" s="1141" t="str">
        <f>IF(AD148=".",".",SUM($X148:AD148))</f>
        <v>.</v>
      </c>
      <c r="AU148" s="3"/>
      <c r="AV148" s="1055" t="str">
        <f t="shared" si="76"/>
        <v>.</v>
      </c>
      <c r="AW148" s="258" t="str">
        <f t="shared" si="69"/>
        <v>.</v>
      </c>
      <c r="AX148" s="258" t="str">
        <f t="shared" si="70"/>
        <v>.</v>
      </c>
      <c r="AY148" s="258" t="str">
        <f t="shared" si="71"/>
        <v>.</v>
      </c>
      <c r="AZ148" s="258" t="str">
        <f t="shared" si="72"/>
        <v>.</v>
      </c>
      <c r="BA148" s="258" t="str">
        <f t="shared" si="73"/>
        <v>.</v>
      </c>
      <c r="BB148" s="1056" t="str">
        <f t="shared" si="74"/>
        <v>.</v>
      </c>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row>
    <row r="149" spans="1:91" x14ac:dyDescent="0.2">
      <c r="A149" s="620"/>
      <c r="B149" s="290" t="s">
        <v>581</v>
      </c>
      <c r="C149" s="1022" t="str">
        <f>IF('WS3 - Notional General Income'!C59="","",'WS3 - Notional General Income'!C59)</f>
        <v/>
      </c>
      <c r="D149" s="1006" t="s">
        <v>687</v>
      </c>
      <c r="E149" s="1022"/>
      <c r="F149" s="1022"/>
      <c r="G149" s="1022"/>
      <c r="H149" s="1022"/>
      <c r="I149" s="1022"/>
      <c r="J149" s="1023" t="str">
        <f>IF('WS3 - Notional General Income'!L59=".",".",'WS3 - Notional General Income'!L59/'WS3 - Notional General Income'!D59)</f>
        <v>.</v>
      </c>
      <c r="K149" s="1023" t="str">
        <f>IF('WS4 - Yr 1 YIELD'!L56=".",".",'WS4 - Yr 1 YIELD'!L56/'WS4 - Yr 1 YIELD'!D56)</f>
        <v>.</v>
      </c>
      <c r="L149" s="1024"/>
      <c r="M149" s="1024"/>
      <c r="N149" s="1024"/>
      <c r="O149" s="1024"/>
      <c r="P149" s="1024"/>
      <c r="Q149" s="1024"/>
      <c r="R149" s="76"/>
      <c r="S149" s="3"/>
      <c r="T149" s="1028">
        <f>'WS3 - Notional General Income'!$D59</f>
        <v>0</v>
      </c>
      <c r="U149" s="1029">
        <f>'WS4 - Yr 1 YIELD'!$D56</f>
        <v>0</v>
      </c>
      <c r="V149" s="1035"/>
      <c r="W149" s="3"/>
      <c r="X149" s="1043" t="str">
        <f t="shared" si="75"/>
        <v>.</v>
      </c>
      <c r="Y149" s="1044" t="str">
        <f t="shared" si="56"/>
        <v>.</v>
      </c>
      <c r="Z149" s="1044" t="str">
        <f t="shared" si="83"/>
        <v>.</v>
      </c>
      <c r="AA149" s="1044" t="str">
        <f t="shared" si="84"/>
        <v>.</v>
      </c>
      <c r="AB149" s="1044" t="str">
        <f t="shared" si="85"/>
        <v>.</v>
      </c>
      <c r="AC149" s="1044" t="str">
        <f t="shared" si="86"/>
        <v>.</v>
      </c>
      <c r="AD149" s="1045" t="str">
        <f t="shared" si="87"/>
        <v>.</v>
      </c>
      <c r="AE149" s="3"/>
      <c r="AF149" s="1055" t="str">
        <f t="shared" si="81"/>
        <v>.</v>
      </c>
      <c r="AG149" s="258" t="str">
        <f t="shared" si="63"/>
        <v>.</v>
      </c>
      <c r="AH149" s="258" t="str">
        <f t="shared" si="82"/>
        <v>.</v>
      </c>
      <c r="AI149" s="258" t="str">
        <f t="shared" si="65"/>
        <v>.</v>
      </c>
      <c r="AJ149" s="258" t="str">
        <f t="shared" si="66"/>
        <v>.</v>
      </c>
      <c r="AK149" s="258" t="str">
        <f t="shared" si="67"/>
        <v>.</v>
      </c>
      <c r="AL149" s="1056" t="str">
        <f t="shared" si="68"/>
        <v>.</v>
      </c>
      <c r="AM149" s="3"/>
      <c r="AN149" s="1139" t="str">
        <f>IF(X149=".",".",SUM($X149:X149))</f>
        <v>.</v>
      </c>
      <c r="AO149" s="1140" t="str">
        <f>IF(Y149=".",".",SUM($X149:Y149))</f>
        <v>.</v>
      </c>
      <c r="AP149" s="1140" t="str">
        <f>IF(Z149=".",".",SUM($X149:Z149))</f>
        <v>.</v>
      </c>
      <c r="AQ149" s="1140" t="str">
        <f>IF(AA149=".",".",SUM($X149:AA149))</f>
        <v>.</v>
      </c>
      <c r="AR149" s="1140" t="str">
        <f>IF(AB149=".",".",SUM($X149:AB149))</f>
        <v>.</v>
      </c>
      <c r="AS149" s="1140" t="str">
        <f>IF(AC149=".",".",SUM($X149:AC149))</f>
        <v>.</v>
      </c>
      <c r="AT149" s="1141" t="str">
        <f>IF(AD149=".",".",SUM($X149:AD149))</f>
        <v>.</v>
      </c>
      <c r="AU149" s="3"/>
      <c r="AV149" s="1055" t="str">
        <f t="shared" si="76"/>
        <v>.</v>
      </c>
      <c r="AW149" s="258" t="str">
        <f t="shared" si="69"/>
        <v>.</v>
      </c>
      <c r="AX149" s="258" t="str">
        <f t="shared" si="70"/>
        <v>.</v>
      </c>
      <c r="AY149" s="258" t="str">
        <f t="shared" si="71"/>
        <v>.</v>
      </c>
      <c r="AZ149" s="258" t="str">
        <f t="shared" si="72"/>
        <v>.</v>
      </c>
      <c r="BA149" s="258" t="str">
        <f t="shared" si="73"/>
        <v>.</v>
      </c>
      <c r="BB149" s="1056" t="str">
        <f t="shared" si="74"/>
        <v>.</v>
      </c>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row>
    <row r="150" spans="1:91" x14ac:dyDescent="0.2">
      <c r="A150" s="620"/>
      <c r="B150" s="290" t="s">
        <v>581</v>
      </c>
      <c r="C150" s="1022" t="str">
        <f>IF('WS3 - Notional General Income'!C60="","",'WS3 - Notional General Income'!C60)</f>
        <v/>
      </c>
      <c r="D150" s="1006" t="s">
        <v>687</v>
      </c>
      <c r="E150" s="1022"/>
      <c r="F150" s="1022"/>
      <c r="G150" s="1022"/>
      <c r="H150" s="1022"/>
      <c r="I150" s="1022"/>
      <c r="J150" s="1023" t="str">
        <f>IF('WS3 - Notional General Income'!L60=".",".",'WS3 - Notional General Income'!L60/'WS3 - Notional General Income'!D60)</f>
        <v>.</v>
      </c>
      <c r="K150" s="1023" t="str">
        <f>IF('WS4 - Yr 1 YIELD'!L57=".",".",'WS4 - Yr 1 YIELD'!L57/'WS4 - Yr 1 YIELD'!D57)</f>
        <v>.</v>
      </c>
      <c r="L150" s="1024"/>
      <c r="M150" s="1024"/>
      <c r="N150" s="1024"/>
      <c r="O150" s="1024"/>
      <c r="P150" s="1024"/>
      <c r="Q150" s="1024"/>
      <c r="R150" s="76"/>
      <c r="S150" s="3"/>
      <c r="T150" s="1028">
        <f>'WS3 - Notional General Income'!$D60</f>
        <v>0</v>
      </c>
      <c r="U150" s="1029">
        <f>'WS4 - Yr 1 YIELD'!$D57</f>
        <v>0</v>
      </c>
      <c r="V150" s="1035"/>
      <c r="W150" s="3"/>
      <c r="X150" s="1043" t="str">
        <f t="shared" si="75"/>
        <v>.</v>
      </c>
      <c r="Y150" s="1044" t="str">
        <f t="shared" si="56"/>
        <v>.</v>
      </c>
      <c r="Z150" s="1044" t="str">
        <f t="shared" si="83"/>
        <v>.</v>
      </c>
      <c r="AA150" s="1044" t="str">
        <f t="shared" si="84"/>
        <v>.</v>
      </c>
      <c r="AB150" s="1044" t="str">
        <f t="shared" si="85"/>
        <v>.</v>
      </c>
      <c r="AC150" s="1044" t="str">
        <f t="shared" si="86"/>
        <v>.</v>
      </c>
      <c r="AD150" s="1045" t="str">
        <f t="shared" si="87"/>
        <v>.</v>
      </c>
      <c r="AE150" s="3"/>
      <c r="AF150" s="1055" t="str">
        <f t="shared" si="81"/>
        <v>.</v>
      </c>
      <c r="AG150" s="258" t="str">
        <f t="shared" si="63"/>
        <v>.</v>
      </c>
      <c r="AH150" s="258" t="str">
        <f t="shared" si="82"/>
        <v>.</v>
      </c>
      <c r="AI150" s="258" t="str">
        <f t="shared" si="65"/>
        <v>.</v>
      </c>
      <c r="AJ150" s="258" t="str">
        <f t="shared" si="66"/>
        <v>.</v>
      </c>
      <c r="AK150" s="258" t="str">
        <f t="shared" si="67"/>
        <v>.</v>
      </c>
      <c r="AL150" s="1056" t="str">
        <f t="shared" si="68"/>
        <v>.</v>
      </c>
      <c r="AM150" s="3"/>
      <c r="AN150" s="1139" t="str">
        <f>IF(X150=".",".",SUM($X150:X150))</f>
        <v>.</v>
      </c>
      <c r="AO150" s="1140" t="str">
        <f>IF(Y150=".",".",SUM($X150:Y150))</f>
        <v>.</v>
      </c>
      <c r="AP150" s="1140" t="str">
        <f>IF(Z150=".",".",SUM($X150:Z150))</f>
        <v>.</v>
      </c>
      <c r="AQ150" s="1140" t="str">
        <f>IF(AA150=".",".",SUM($X150:AA150))</f>
        <v>.</v>
      </c>
      <c r="AR150" s="1140" t="str">
        <f>IF(AB150=".",".",SUM($X150:AB150))</f>
        <v>.</v>
      </c>
      <c r="AS150" s="1140" t="str">
        <f>IF(AC150=".",".",SUM($X150:AC150))</f>
        <v>.</v>
      </c>
      <c r="AT150" s="1141" t="str">
        <f>IF(AD150=".",".",SUM($X150:AD150))</f>
        <v>.</v>
      </c>
      <c r="AU150" s="3"/>
      <c r="AV150" s="1055" t="str">
        <f t="shared" si="76"/>
        <v>.</v>
      </c>
      <c r="AW150" s="258" t="str">
        <f t="shared" si="69"/>
        <v>.</v>
      </c>
      <c r="AX150" s="258" t="str">
        <f t="shared" si="70"/>
        <v>.</v>
      </c>
      <c r="AY150" s="258" t="str">
        <f t="shared" si="71"/>
        <v>.</v>
      </c>
      <c r="AZ150" s="258" t="str">
        <f t="shared" si="72"/>
        <v>.</v>
      </c>
      <c r="BA150" s="258" t="str">
        <f t="shared" si="73"/>
        <v>.</v>
      </c>
      <c r="BB150" s="1056" t="str">
        <f t="shared" si="74"/>
        <v>.</v>
      </c>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row>
    <row r="151" spans="1:91" x14ac:dyDescent="0.2">
      <c r="A151" s="620"/>
      <c r="B151" s="290" t="s">
        <v>581</v>
      </c>
      <c r="C151" s="1022" t="str">
        <f>IF('WS3 - Notional General Income'!C61="","",'WS3 - Notional General Income'!C61)</f>
        <v/>
      </c>
      <c r="D151" s="1006" t="s">
        <v>687</v>
      </c>
      <c r="E151" s="1022"/>
      <c r="F151" s="1022"/>
      <c r="G151" s="1022"/>
      <c r="H151" s="1022"/>
      <c r="I151" s="1022"/>
      <c r="J151" s="1023" t="str">
        <f>IF('WS3 - Notional General Income'!L61=".",".",'WS3 - Notional General Income'!L61/'WS3 - Notional General Income'!D61)</f>
        <v>.</v>
      </c>
      <c r="K151" s="1023" t="str">
        <f>IF('WS4 - Yr 1 YIELD'!L58=".",".",'WS4 - Yr 1 YIELD'!L58/'WS4 - Yr 1 YIELD'!D58)</f>
        <v>.</v>
      </c>
      <c r="L151" s="1024"/>
      <c r="M151" s="1024"/>
      <c r="N151" s="1024"/>
      <c r="O151" s="1024"/>
      <c r="P151" s="1024"/>
      <c r="Q151" s="1024"/>
      <c r="R151" s="76"/>
      <c r="S151" s="3"/>
      <c r="T151" s="1028">
        <f>'WS3 - Notional General Income'!$D61</f>
        <v>0</v>
      </c>
      <c r="U151" s="1029">
        <f>'WS4 - Yr 1 YIELD'!$D58</f>
        <v>0</v>
      </c>
      <c r="V151" s="1035"/>
      <c r="W151" s="3"/>
      <c r="X151" s="1043" t="str">
        <f t="shared" si="75"/>
        <v>.</v>
      </c>
      <c r="Y151" s="1044" t="str">
        <f t="shared" si="56"/>
        <v>.</v>
      </c>
      <c r="Z151" s="1044" t="str">
        <f t="shared" si="83"/>
        <v>.</v>
      </c>
      <c r="AA151" s="1044" t="str">
        <f t="shared" si="84"/>
        <v>.</v>
      </c>
      <c r="AB151" s="1044" t="str">
        <f t="shared" si="85"/>
        <v>.</v>
      </c>
      <c r="AC151" s="1044" t="str">
        <f t="shared" si="86"/>
        <v>.</v>
      </c>
      <c r="AD151" s="1045" t="str">
        <f t="shared" si="87"/>
        <v>.</v>
      </c>
      <c r="AE151" s="3"/>
      <c r="AF151" s="1055" t="str">
        <f t="shared" si="81"/>
        <v>.</v>
      </c>
      <c r="AG151" s="258" t="str">
        <f t="shared" si="63"/>
        <v>.</v>
      </c>
      <c r="AH151" s="258" t="str">
        <f t="shared" si="82"/>
        <v>.</v>
      </c>
      <c r="AI151" s="258" t="str">
        <f t="shared" si="65"/>
        <v>.</v>
      </c>
      <c r="AJ151" s="258" t="str">
        <f t="shared" si="66"/>
        <v>.</v>
      </c>
      <c r="AK151" s="258" t="str">
        <f t="shared" si="67"/>
        <v>.</v>
      </c>
      <c r="AL151" s="1056" t="str">
        <f t="shared" si="68"/>
        <v>.</v>
      </c>
      <c r="AM151" s="3"/>
      <c r="AN151" s="1139" t="str">
        <f>IF(X151=".",".",SUM($X151:X151))</f>
        <v>.</v>
      </c>
      <c r="AO151" s="1140" t="str">
        <f>IF(Y151=".",".",SUM($X151:Y151))</f>
        <v>.</v>
      </c>
      <c r="AP151" s="1140" t="str">
        <f>IF(Z151=".",".",SUM($X151:Z151))</f>
        <v>.</v>
      </c>
      <c r="AQ151" s="1140" t="str">
        <f>IF(AA151=".",".",SUM($X151:AA151))</f>
        <v>.</v>
      </c>
      <c r="AR151" s="1140" t="str">
        <f>IF(AB151=".",".",SUM($X151:AB151))</f>
        <v>.</v>
      </c>
      <c r="AS151" s="1140" t="str">
        <f>IF(AC151=".",".",SUM($X151:AC151))</f>
        <v>.</v>
      </c>
      <c r="AT151" s="1141" t="str">
        <f>IF(AD151=".",".",SUM($X151:AD151))</f>
        <v>.</v>
      </c>
      <c r="AU151" s="3"/>
      <c r="AV151" s="1055" t="str">
        <f t="shared" si="76"/>
        <v>.</v>
      </c>
      <c r="AW151" s="258" t="str">
        <f t="shared" si="69"/>
        <v>.</v>
      </c>
      <c r="AX151" s="258" t="str">
        <f t="shared" si="70"/>
        <v>.</v>
      </c>
      <c r="AY151" s="258" t="str">
        <f t="shared" si="71"/>
        <v>.</v>
      </c>
      <c r="AZ151" s="258" t="str">
        <f t="shared" si="72"/>
        <v>.</v>
      </c>
      <c r="BA151" s="258" t="str">
        <f t="shared" si="73"/>
        <v>.</v>
      </c>
      <c r="BB151" s="1056" t="str">
        <f t="shared" si="74"/>
        <v>.</v>
      </c>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row>
    <row r="152" spans="1:91" x14ac:dyDescent="0.2">
      <c r="A152" s="620"/>
      <c r="B152" s="290" t="s">
        <v>581</v>
      </c>
      <c r="C152" s="1022" t="str">
        <f>IF('WS3 - Notional General Income'!C62="","",'WS3 - Notional General Income'!C62)</f>
        <v/>
      </c>
      <c r="D152" s="1006" t="s">
        <v>687</v>
      </c>
      <c r="E152" s="1022"/>
      <c r="F152" s="1022"/>
      <c r="G152" s="1022"/>
      <c r="H152" s="1022"/>
      <c r="I152" s="1022"/>
      <c r="J152" s="1023" t="str">
        <f>IF('WS3 - Notional General Income'!L62=".",".",'WS3 - Notional General Income'!L62/'WS3 - Notional General Income'!D62)</f>
        <v>.</v>
      </c>
      <c r="K152" s="1023" t="str">
        <f>IF('WS4 - Yr 1 YIELD'!L59=".",".",'WS4 - Yr 1 YIELD'!L59/'WS4 - Yr 1 YIELD'!D59)</f>
        <v>.</v>
      </c>
      <c r="L152" s="1024"/>
      <c r="M152" s="1024"/>
      <c r="N152" s="1024"/>
      <c r="O152" s="1024"/>
      <c r="P152" s="1024"/>
      <c r="Q152" s="1024"/>
      <c r="R152" s="76"/>
      <c r="S152" s="3"/>
      <c r="T152" s="1028">
        <f>'WS3 - Notional General Income'!$D62</f>
        <v>0</v>
      </c>
      <c r="U152" s="1029">
        <f>'WS4 - Yr 1 YIELD'!$D59</f>
        <v>0</v>
      </c>
      <c r="V152" s="1035"/>
      <c r="W152" s="3"/>
      <c r="X152" s="1043" t="str">
        <f t="shared" si="75"/>
        <v>.</v>
      </c>
      <c r="Y152" s="1044" t="str">
        <f t="shared" si="56"/>
        <v>.</v>
      </c>
      <c r="Z152" s="1044" t="str">
        <f t="shared" si="83"/>
        <v>.</v>
      </c>
      <c r="AA152" s="1044" t="str">
        <f t="shared" si="84"/>
        <v>.</v>
      </c>
      <c r="AB152" s="1044" t="str">
        <f t="shared" si="85"/>
        <v>.</v>
      </c>
      <c r="AC152" s="1044" t="str">
        <f t="shared" si="86"/>
        <v>.</v>
      </c>
      <c r="AD152" s="1045" t="str">
        <f t="shared" si="87"/>
        <v>.</v>
      </c>
      <c r="AE152" s="3"/>
      <c r="AF152" s="1055" t="str">
        <f t="shared" si="81"/>
        <v>.</v>
      </c>
      <c r="AG152" s="258" t="str">
        <f t="shared" si="63"/>
        <v>.</v>
      </c>
      <c r="AH152" s="258" t="str">
        <f t="shared" si="82"/>
        <v>.</v>
      </c>
      <c r="AI152" s="258" t="str">
        <f t="shared" si="65"/>
        <v>.</v>
      </c>
      <c r="AJ152" s="258" t="str">
        <f t="shared" si="66"/>
        <v>.</v>
      </c>
      <c r="AK152" s="258" t="str">
        <f t="shared" si="67"/>
        <v>.</v>
      </c>
      <c r="AL152" s="1056" t="str">
        <f t="shared" si="68"/>
        <v>.</v>
      </c>
      <c r="AM152" s="3"/>
      <c r="AN152" s="1139" t="str">
        <f>IF(X152=".",".",SUM($X152:X152))</f>
        <v>.</v>
      </c>
      <c r="AO152" s="1140" t="str">
        <f>IF(Y152=".",".",SUM($X152:Y152))</f>
        <v>.</v>
      </c>
      <c r="AP152" s="1140" t="str">
        <f>IF(Z152=".",".",SUM($X152:Z152))</f>
        <v>.</v>
      </c>
      <c r="AQ152" s="1140" t="str">
        <f>IF(AA152=".",".",SUM($X152:AA152))</f>
        <v>.</v>
      </c>
      <c r="AR152" s="1140" t="str">
        <f>IF(AB152=".",".",SUM($X152:AB152))</f>
        <v>.</v>
      </c>
      <c r="AS152" s="1140" t="str">
        <f>IF(AC152=".",".",SUM($X152:AC152))</f>
        <v>.</v>
      </c>
      <c r="AT152" s="1141" t="str">
        <f>IF(AD152=".",".",SUM($X152:AD152))</f>
        <v>.</v>
      </c>
      <c r="AU152" s="3"/>
      <c r="AV152" s="1055" t="str">
        <f t="shared" si="76"/>
        <v>.</v>
      </c>
      <c r="AW152" s="258" t="str">
        <f t="shared" si="69"/>
        <v>.</v>
      </c>
      <c r="AX152" s="258" t="str">
        <f t="shared" si="70"/>
        <v>.</v>
      </c>
      <c r="AY152" s="258" t="str">
        <f t="shared" si="71"/>
        <v>.</v>
      </c>
      <c r="AZ152" s="258" t="str">
        <f t="shared" si="72"/>
        <v>.</v>
      </c>
      <c r="BA152" s="258" t="str">
        <f t="shared" si="73"/>
        <v>.</v>
      </c>
      <c r="BB152" s="1056" t="str">
        <f t="shared" si="74"/>
        <v>.</v>
      </c>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row>
    <row r="153" spans="1:91" x14ac:dyDescent="0.2">
      <c r="A153" s="620"/>
      <c r="B153" s="290" t="s">
        <v>581</v>
      </c>
      <c r="C153" s="1022" t="str">
        <f>IF('WS3 - Notional General Income'!C63="","",'WS3 - Notional General Income'!C63)</f>
        <v/>
      </c>
      <c r="D153" s="1006" t="s">
        <v>687</v>
      </c>
      <c r="E153" s="1022"/>
      <c r="F153" s="1022"/>
      <c r="G153" s="1022"/>
      <c r="H153" s="1022"/>
      <c r="I153" s="1022"/>
      <c r="J153" s="1023" t="str">
        <f>IF('WS3 - Notional General Income'!L63=".",".",'WS3 - Notional General Income'!L63/'WS3 - Notional General Income'!D63)</f>
        <v>.</v>
      </c>
      <c r="K153" s="1023" t="str">
        <f>IF('WS4 - Yr 1 YIELD'!L60=".",".",'WS4 - Yr 1 YIELD'!L60/'WS4 - Yr 1 YIELD'!D60)</f>
        <v>.</v>
      </c>
      <c r="L153" s="1024"/>
      <c r="M153" s="1024"/>
      <c r="N153" s="1024"/>
      <c r="O153" s="1024"/>
      <c r="P153" s="1024"/>
      <c r="Q153" s="1024"/>
      <c r="R153" s="76"/>
      <c r="S153" s="3"/>
      <c r="T153" s="1028">
        <f>'WS3 - Notional General Income'!$D63</f>
        <v>0</v>
      </c>
      <c r="U153" s="1029">
        <f>'WS4 - Yr 1 YIELD'!$D60</f>
        <v>0</v>
      </c>
      <c r="V153" s="1035"/>
      <c r="W153" s="3"/>
      <c r="X153" s="1043" t="str">
        <f t="shared" si="75"/>
        <v>.</v>
      </c>
      <c r="Y153" s="1044" t="str">
        <f t="shared" si="56"/>
        <v>.</v>
      </c>
      <c r="Z153" s="1044" t="str">
        <f t="shared" si="83"/>
        <v>.</v>
      </c>
      <c r="AA153" s="1044" t="str">
        <f t="shared" si="84"/>
        <v>.</v>
      </c>
      <c r="AB153" s="1044" t="str">
        <f t="shared" si="85"/>
        <v>.</v>
      </c>
      <c r="AC153" s="1044" t="str">
        <f t="shared" si="86"/>
        <v>.</v>
      </c>
      <c r="AD153" s="1045" t="str">
        <f t="shared" si="87"/>
        <v>.</v>
      </c>
      <c r="AE153" s="3"/>
      <c r="AF153" s="1055" t="str">
        <f t="shared" si="81"/>
        <v>.</v>
      </c>
      <c r="AG153" s="258" t="str">
        <f t="shared" si="63"/>
        <v>.</v>
      </c>
      <c r="AH153" s="258" t="str">
        <f t="shared" si="82"/>
        <v>.</v>
      </c>
      <c r="AI153" s="258" t="str">
        <f t="shared" si="65"/>
        <v>.</v>
      </c>
      <c r="AJ153" s="258" t="str">
        <f t="shared" si="66"/>
        <v>.</v>
      </c>
      <c r="AK153" s="258" t="str">
        <f t="shared" si="67"/>
        <v>.</v>
      </c>
      <c r="AL153" s="1056" t="str">
        <f t="shared" si="68"/>
        <v>.</v>
      </c>
      <c r="AM153" s="3"/>
      <c r="AN153" s="1139" t="str">
        <f>IF(X153=".",".",SUM($X153:X153))</f>
        <v>.</v>
      </c>
      <c r="AO153" s="1140" t="str">
        <f>IF(Y153=".",".",SUM($X153:Y153))</f>
        <v>.</v>
      </c>
      <c r="AP153" s="1140" t="str">
        <f>IF(Z153=".",".",SUM($X153:Z153))</f>
        <v>.</v>
      </c>
      <c r="AQ153" s="1140" t="str">
        <f>IF(AA153=".",".",SUM($X153:AA153))</f>
        <v>.</v>
      </c>
      <c r="AR153" s="1140" t="str">
        <f>IF(AB153=".",".",SUM($X153:AB153))</f>
        <v>.</v>
      </c>
      <c r="AS153" s="1140" t="str">
        <f>IF(AC153=".",".",SUM($X153:AC153))</f>
        <v>.</v>
      </c>
      <c r="AT153" s="1141" t="str">
        <f>IF(AD153=".",".",SUM($X153:AD153))</f>
        <v>.</v>
      </c>
      <c r="AU153" s="3"/>
      <c r="AV153" s="1055" t="str">
        <f t="shared" si="76"/>
        <v>.</v>
      </c>
      <c r="AW153" s="258" t="str">
        <f t="shared" si="69"/>
        <v>.</v>
      </c>
      <c r="AX153" s="258" t="str">
        <f t="shared" si="70"/>
        <v>.</v>
      </c>
      <c r="AY153" s="258" t="str">
        <f t="shared" si="71"/>
        <v>.</v>
      </c>
      <c r="AZ153" s="258" t="str">
        <f t="shared" si="72"/>
        <v>.</v>
      </c>
      <c r="BA153" s="258" t="str">
        <f t="shared" si="73"/>
        <v>.</v>
      </c>
      <c r="BB153" s="1056" t="str">
        <f t="shared" si="74"/>
        <v>.</v>
      </c>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row>
    <row r="154" spans="1:91" x14ac:dyDescent="0.2">
      <c r="A154" s="620"/>
      <c r="B154" s="290" t="s">
        <v>581</v>
      </c>
      <c r="C154" s="1022" t="str">
        <f>IF('WS3 - Notional General Income'!C64="","",'WS3 - Notional General Income'!C64)</f>
        <v/>
      </c>
      <c r="D154" s="1006" t="s">
        <v>687</v>
      </c>
      <c r="E154" s="1022"/>
      <c r="F154" s="1022"/>
      <c r="G154" s="1022"/>
      <c r="H154" s="1022"/>
      <c r="I154" s="1022"/>
      <c r="J154" s="1023" t="str">
        <f>IF('WS3 - Notional General Income'!L64=".",".",'WS3 - Notional General Income'!L64/'WS3 - Notional General Income'!D64)</f>
        <v>.</v>
      </c>
      <c r="K154" s="1023" t="str">
        <f>IF('WS4 - Yr 1 YIELD'!L61=".",".",'WS4 - Yr 1 YIELD'!L61/'WS4 - Yr 1 YIELD'!D61)</f>
        <v>.</v>
      </c>
      <c r="L154" s="1024"/>
      <c r="M154" s="1024"/>
      <c r="N154" s="1024"/>
      <c r="O154" s="1024"/>
      <c r="P154" s="1024"/>
      <c r="Q154" s="1024"/>
      <c r="R154" s="76"/>
      <c r="S154" s="3"/>
      <c r="T154" s="1028">
        <f>'WS3 - Notional General Income'!$D64</f>
        <v>0</v>
      </c>
      <c r="U154" s="1029">
        <f>'WS4 - Yr 1 YIELD'!$D61</f>
        <v>0</v>
      </c>
      <c r="V154" s="1035"/>
      <c r="W154" s="3"/>
      <c r="X154" s="1043" t="str">
        <f t="shared" si="75"/>
        <v>.</v>
      </c>
      <c r="Y154" s="1044" t="str">
        <f t="shared" si="56"/>
        <v>.</v>
      </c>
      <c r="Z154" s="1044" t="str">
        <f t="shared" si="83"/>
        <v>.</v>
      </c>
      <c r="AA154" s="1044" t="str">
        <f t="shared" si="84"/>
        <v>.</v>
      </c>
      <c r="AB154" s="1044" t="str">
        <f t="shared" si="85"/>
        <v>.</v>
      </c>
      <c r="AC154" s="1044" t="str">
        <f t="shared" si="86"/>
        <v>.</v>
      </c>
      <c r="AD154" s="1045" t="str">
        <f t="shared" si="87"/>
        <v>.</v>
      </c>
      <c r="AE154" s="3"/>
      <c r="AF154" s="1055" t="str">
        <f t="shared" si="81"/>
        <v>.</v>
      </c>
      <c r="AG154" s="258" t="str">
        <f t="shared" si="63"/>
        <v>.</v>
      </c>
      <c r="AH154" s="258" t="str">
        <f t="shared" si="82"/>
        <v>.</v>
      </c>
      <c r="AI154" s="258" t="str">
        <f t="shared" si="65"/>
        <v>.</v>
      </c>
      <c r="AJ154" s="258" t="str">
        <f t="shared" si="66"/>
        <v>.</v>
      </c>
      <c r="AK154" s="258" t="str">
        <f t="shared" si="67"/>
        <v>.</v>
      </c>
      <c r="AL154" s="1056" t="str">
        <f t="shared" si="68"/>
        <v>.</v>
      </c>
      <c r="AM154" s="3"/>
      <c r="AN154" s="1139" t="str">
        <f>IF(X154=".",".",SUM($X154:X154))</f>
        <v>.</v>
      </c>
      <c r="AO154" s="1140" t="str">
        <f>IF(Y154=".",".",SUM($X154:Y154))</f>
        <v>.</v>
      </c>
      <c r="AP154" s="1140" t="str">
        <f>IF(Z154=".",".",SUM($X154:Z154))</f>
        <v>.</v>
      </c>
      <c r="AQ154" s="1140" t="str">
        <f>IF(AA154=".",".",SUM($X154:AA154))</f>
        <v>.</v>
      </c>
      <c r="AR154" s="1140" t="str">
        <f>IF(AB154=".",".",SUM($X154:AB154))</f>
        <v>.</v>
      </c>
      <c r="AS154" s="1140" t="str">
        <f>IF(AC154=".",".",SUM($X154:AC154))</f>
        <v>.</v>
      </c>
      <c r="AT154" s="1141" t="str">
        <f>IF(AD154=".",".",SUM($X154:AD154))</f>
        <v>.</v>
      </c>
      <c r="AU154" s="3"/>
      <c r="AV154" s="1055" t="str">
        <f t="shared" si="76"/>
        <v>.</v>
      </c>
      <c r="AW154" s="258" t="str">
        <f t="shared" si="69"/>
        <v>.</v>
      </c>
      <c r="AX154" s="258" t="str">
        <f t="shared" si="70"/>
        <v>.</v>
      </c>
      <c r="AY154" s="258" t="str">
        <f t="shared" si="71"/>
        <v>.</v>
      </c>
      <c r="AZ154" s="258" t="str">
        <f t="shared" si="72"/>
        <v>.</v>
      </c>
      <c r="BA154" s="258" t="str">
        <f t="shared" si="73"/>
        <v>.</v>
      </c>
      <c r="BB154" s="1056" t="str">
        <f t="shared" si="74"/>
        <v>.</v>
      </c>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row>
    <row r="155" spans="1:91" x14ac:dyDescent="0.2">
      <c r="A155" s="620"/>
      <c r="B155" s="290" t="s">
        <v>581</v>
      </c>
      <c r="C155" s="1022" t="str">
        <f>IF('WS3 - Notional General Income'!C65="","",'WS3 - Notional General Income'!C65)</f>
        <v/>
      </c>
      <c r="D155" s="1006" t="s">
        <v>687</v>
      </c>
      <c r="E155" s="1022"/>
      <c r="F155" s="1022"/>
      <c r="G155" s="1022"/>
      <c r="H155" s="1022"/>
      <c r="I155" s="1022"/>
      <c r="J155" s="1023" t="str">
        <f>IF('WS3 - Notional General Income'!L65=".",".",'WS3 - Notional General Income'!L65/'WS3 - Notional General Income'!D65)</f>
        <v>.</v>
      </c>
      <c r="K155" s="1023" t="str">
        <f>IF('WS4 - Yr 1 YIELD'!L62=".",".",'WS4 - Yr 1 YIELD'!L62/'WS4 - Yr 1 YIELD'!D62)</f>
        <v>.</v>
      </c>
      <c r="L155" s="1024"/>
      <c r="M155" s="1024"/>
      <c r="N155" s="1024"/>
      <c r="O155" s="1024"/>
      <c r="P155" s="1024"/>
      <c r="Q155" s="1024"/>
      <c r="R155" s="76"/>
      <c r="S155" s="3"/>
      <c r="T155" s="1028">
        <f>'WS3 - Notional General Income'!$D65</f>
        <v>0</v>
      </c>
      <c r="U155" s="1029">
        <f>'WS4 - Yr 1 YIELD'!$D62</f>
        <v>0</v>
      </c>
      <c r="V155" s="1035"/>
      <c r="W155" s="3"/>
      <c r="X155" s="1043" t="str">
        <f t="shared" si="75"/>
        <v>.</v>
      </c>
      <c r="Y155" s="1044" t="str">
        <f t="shared" si="56"/>
        <v>.</v>
      </c>
      <c r="Z155" s="1044" t="str">
        <f t="shared" si="83"/>
        <v>.</v>
      </c>
      <c r="AA155" s="1044" t="str">
        <f t="shared" si="84"/>
        <v>.</v>
      </c>
      <c r="AB155" s="1044" t="str">
        <f t="shared" si="85"/>
        <v>.</v>
      </c>
      <c r="AC155" s="1044" t="str">
        <f t="shared" si="86"/>
        <v>.</v>
      </c>
      <c r="AD155" s="1045" t="str">
        <f t="shared" si="87"/>
        <v>.</v>
      </c>
      <c r="AE155" s="3"/>
      <c r="AF155" s="1055" t="str">
        <f t="shared" si="81"/>
        <v>.</v>
      </c>
      <c r="AG155" s="258" t="str">
        <f t="shared" si="63"/>
        <v>.</v>
      </c>
      <c r="AH155" s="258" t="str">
        <f t="shared" si="82"/>
        <v>.</v>
      </c>
      <c r="AI155" s="258" t="str">
        <f t="shared" si="65"/>
        <v>.</v>
      </c>
      <c r="AJ155" s="258" t="str">
        <f t="shared" si="66"/>
        <v>.</v>
      </c>
      <c r="AK155" s="258" t="str">
        <f t="shared" si="67"/>
        <v>.</v>
      </c>
      <c r="AL155" s="1056" t="str">
        <f t="shared" si="68"/>
        <v>.</v>
      </c>
      <c r="AM155" s="3"/>
      <c r="AN155" s="1139" t="str">
        <f>IF(X155=".",".",SUM($X155:X155))</f>
        <v>.</v>
      </c>
      <c r="AO155" s="1140" t="str">
        <f>IF(Y155=".",".",SUM($X155:Y155))</f>
        <v>.</v>
      </c>
      <c r="AP155" s="1140" t="str">
        <f>IF(Z155=".",".",SUM($X155:Z155))</f>
        <v>.</v>
      </c>
      <c r="AQ155" s="1140" t="str">
        <f>IF(AA155=".",".",SUM($X155:AA155))</f>
        <v>.</v>
      </c>
      <c r="AR155" s="1140" t="str">
        <f>IF(AB155=".",".",SUM($X155:AB155))</f>
        <v>.</v>
      </c>
      <c r="AS155" s="1140" t="str">
        <f>IF(AC155=".",".",SUM($X155:AC155))</f>
        <v>.</v>
      </c>
      <c r="AT155" s="1141" t="str">
        <f>IF(AD155=".",".",SUM($X155:AD155))</f>
        <v>.</v>
      </c>
      <c r="AU155" s="3"/>
      <c r="AV155" s="1055" t="str">
        <f t="shared" si="76"/>
        <v>.</v>
      </c>
      <c r="AW155" s="258" t="str">
        <f t="shared" si="69"/>
        <v>.</v>
      </c>
      <c r="AX155" s="258" t="str">
        <f t="shared" si="70"/>
        <v>.</v>
      </c>
      <c r="AY155" s="258" t="str">
        <f t="shared" si="71"/>
        <v>.</v>
      </c>
      <c r="AZ155" s="258" t="str">
        <f t="shared" si="72"/>
        <v>.</v>
      </c>
      <c r="BA155" s="258" t="str">
        <f t="shared" si="73"/>
        <v>.</v>
      </c>
      <c r="BB155" s="1056" t="str">
        <f t="shared" si="74"/>
        <v>.</v>
      </c>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row>
    <row r="156" spans="1:91" ht="12.75" thickBot="1" x14ac:dyDescent="0.25">
      <c r="A156" s="620"/>
      <c r="B156" s="290" t="s">
        <v>581</v>
      </c>
      <c r="C156" s="1022" t="str">
        <f>IF('WS3 - Notional General Income'!C66="","",'WS3 - Notional General Income'!C66)</f>
        <v/>
      </c>
      <c r="D156" s="1006" t="s">
        <v>687</v>
      </c>
      <c r="E156" s="1022"/>
      <c r="F156" s="1022"/>
      <c r="G156" s="1022"/>
      <c r="H156" s="1022"/>
      <c r="I156" s="1022"/>
      <c r="J156" s="1023" t="str">
        <f>IF('WS3 - Notional General Income'!L66=".",".",'WS3 - Notional General Income'!L66/'WS3 - Notional General Income'!D66)</f>
        <v>.</v>
      </c>
      <c r="K156" s="1023" t="str">
        <f>IF('WS4 - Yr 1 YIELD'!L63=".",".",'WS4 - Yr 1 YIELD'!L63/'WS4 - Yr 1 YIELD'!D63)</f>
        <v>.</v>
      </c>
      <c r="L156" s="1024"/>
      <c r="M156" s="1024"/>
      <c r="N156" s="1024"/>
      <c r="O156" s="1024"/>
      <c r="P156" s="1024"/>
      <c r="Q156" s="1024"/>
      <c r="R156" s="76"/>
      <c r="S156" s="3"/>
      <c r="T156" s="1030">
        <f>'WS3 - Notional General Income'!$D66</f>
        <v>0</v>
      </c>
      <c r="U156" s="1031">
        <f>'WS4 - Yr 1 YIELD'!$D63</f>
        <v>0</v>
      </c>
      <c r="V156" s="1035"/>
      <c r="W156" s="3"/>
      <c r="X156" s="1043" t="str">
        <f t="shared" si="75"/>
        <v>.</v>
      </c>
      <c r="Y156" s="1044" t="str">
        <f t="shared" si="56"/>
        <v>.</v>
      </c>
      <c r="Z156" s="1044" t="str">
        <f t="shared" si="83"/>
        <v>.</v>
      </c>
      <c r="AA156" s="1044" t="str">
        <f t="shared" si="84"/>
        <v>.</v>
      </c>
      <c r="AB156" s="1044" t="str">
        <f t="shared" si="85"/>
        <v>.</v>
      </c>
      <c r="AC156" s="1044" t="str">
        <f t="shared" si="86"/>
        <v>.</v>
      </c>
      <c r="AD156" s="1045" t="str">
        <f t="shared" si="87"/>
        <v>.</v>
      </c>
      <c r="AE156" s="3"/>
      <c r="AF156" s="1055" t="str">
        <f t="shared" si="81"/>
        <v>.</v>
      </c>
      <c r="AG156" s="258" t="str">
        <f t="shared" si="63"/>
        <v>.</v>
      </c>
      <c r="AH156" s="258" t="str">
        <f t="shared" si="82"/>
        <v>.</v>
      </c>
      <c r="AI156" s="258" t="str">
        <f t="shared" si="65"/>
        <v>.</v>
      </c>
      <c r="AJ156" s="258" t="str">
        <f t="shared" si="66"/>
        <v>.</v>
      </c>
      <c r="AK156" s="258" t="str">
        <f t="shared" si="67"/>
        <v>.</v>
      </c>
      <c r="AL156" s="1056" t="str">
        <f t="shared" si="68"/>
        <v>.</v>
      </c>
      <c r="AM156" s="3"/>
      <c r="AN156" s="1139" t="str">
        <f>IF(X156=".",".",SUM($X156:X156))</f>
        <v>.</v>
      </c>
      <c r="AO156" s="1140" t="str">
        <f>IF(Y156=".",".",SUM($X156:Y156))</f>
        <v>.</v>
      </c>
      <c r="AP156" s="1140" t="str">
        <f>IF(Z156=".",".",SUM($X156:Z156))</f>
        <v>.</v>
      </c>
      <c r="AQ156" s="1140" t="str">
        <f>IF(AA156=".",".",SUM($X156:AA156))</f>
        <v>.</v>
      </c>
      <c r="AR156" s="1140" t="str">
        <f>IF(AB156=".",".",SUM($X156:AB156))</f>
        <v>.</v>
      </c>
      <c r="AS156" s="1140" t="str">
        <f>IF(AC156=".",".",SUM($X156:AC156))</f>
        <v>.</v>
      </c>
      <c r="AT156" s="1141" t="str">
        <f>IF(AD156=".",".",SUM($X156:AD156))</f>
        <v>.</v>
      </c>
      <c r="AU156" s="3"/>
      <c r="AV156" s="1055" t="str">
        <f t="shared" si="76"/>
        <v>.</v>
      </c>
      <c r="AW156" s="258" t="str">
        <f t="shared" si="69"/>
        <v>.</v>
      </c>
      <c r="AX156" s="258" t="str">
        <f t="shared" si="70"/>
        <v>.</v>
      </c>
      <c r="AY156" s="258" t="str">
        <f t="shared" si="71"/>
        <v>.</v>
      </c>
      <c r="AZ156" s="258" t="str">
        <f t="shared" si="72"/>
        <v>.</v>
      </c>
      <c r="BA156" s="258" t="str">
        <f t="shared" si="73"/>
        <v>.</v>
      </c>
      <c r="BB156" s="1056" t="str">
        <f t="shared" si="74"/>
        <v>.</v>
      </c>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row>
    <row r="157" spans="1:91" ht="12.75" thickTop="1" x14ac:dyDescent="0.2">
      <c r="A157" s="620"/>
      <c r="B157" s="290" t="s">
        <v>697</v>
      </c>
      <c r="C157" s="1022" t="str">
        <f>IF('WS3 - Notional General Income'!C106="","",'WS3 - Notional General Income'!C106)</f>
        <v/>
      </c>
      <c r="D157" s="1006" t="s">
        <v>687</v>
      </c>
      <c r="E157" s="1022"/>
      <c r="F157" s="1022"/>
      <c r="G157" s="1022"/>
      <c r="H157" s="1022"/>
      <c r="I157" s="1022"/>
      <c r="J157" s="1023" t="str">
        <f>IF('WS3 - Notional General Income'!L106=".",".",'WS3 - Notional General Income'!L106/'WS3 - Notional General Income'!D106)</f>
        <v>.</v>
      </c>
      <c r="K157" s="1023" t="str">
        <f>IF('WS4 - Yr 1 YIELD'!L103=".",".",'WS4 - Yr 1 YIELD'!L103/'WS4 - Yr 1 YIELD'!D103)</f>
        <v>.</v>
      </c>
      <c r="L157" s="1024"/>
      <c r="M157" s="1024"/>
      <c r="N157" s="1024"/>
      <c r="O157" s="1024"/>
      <c r="P157" s="1024"/>
      <c r="Q157" s="1024"/>
      <c r="R157" s="76"/>
      <c r="S157" s="3"/>
      <c r="T157" s="1028">
        <f>'WS3 - Notional General Income'!$D106</f>
        <v>0</v>
      </c>
      <c r="U157" s="1029">
        <f>'WS4 - Yr 1 YIELD'!$D103</f>
        <v>0</v>
      </c>
      <c r="V157" s="1035"/>
      <c r="W157" s="3"/>
      <c r="X157" s="1043" t="str">
        <f t="shared" si="75"/>
        <v>.</v>
      </c>
      <c r="Y157" s="1044" t="str">
        <f t="shared" si="56"/>
        <v>.</v>
      </c>
      <c r="Z157" s="1044" t="str">
        <f t="shared" si="83"/>
        <v>.</v>
      </c>
      <c r="AA157" s="1044" t="str">
        <f t="shared" si="84"/>
        <v>.</v>
      </c>
      <c r="AB157" s="1044" t="str">
        <f t="shared" si="85"/>
        <v>.</v>
      </c>
      <c r="AC157" s="1044" t="str">
        <f t="shared" si="86"/>
        <v>.</v>
      </c>
      <c r="AD157" s="1045" t="str">
        <f t="shared" si="87"/>
        <v>.</v>
      </c>
      <c r="AE157" s="3"/>
      <c r="AF157" s="1055" t="str">
        <f t="shared" si="81"/>
        <v>.</v>
      </c>
      <c r="AG157" s="258" t="str">
        <f t="shared" si="63"/>
        <v>.</v>
      </c>
      <c r="AH157" s="258" t="str">
        <f t="shared" si="82"/>
        <v>.</v>
      </c>
      <c r="AI157" s="258" t="str">
        <f t="shared" si="65"/>
        <v>.</v>
      </c>
      <c r="AJ157" s="258" t="str">
        <f t="shared" si="66"/>
        <v>.</v>
      </c>
      <c r="AK157" s="258" t="str">
        <f t="shared" si="67"/>
        <v>.</v>
      </c>
      <c r="AL157" s="1056" t="str">
        <f t="shared" si="68"/>
        <v>.</v>
      </c>
      <c r="AM157" s="3"/>
      <c r="AN157" s="1139" t="str">
        <f>IF(X157=".",".",SUM($X157:X157))</f>
        <v>.</v>
      </c>
      <c r="AO157" s="1140" t="str">
        <f>IF(Y157=".",".",SUM($X157:Y157))</f>
        <v>.</v>
      </c>
      <c r="AP157" s="1140" t="str">
        <f>IF(Z157=".",".",SUM($X157:Z157))</f>
        <v>.</v>
      </c>
      <c r="AQ157" s="1140" t="str">
        <f>IF(AA157=".",".",SUM($X157:AA157))</f>
        <v>.</v>
      </c>
      <c r="AR157" s="1140" t="str">
        <f>IF(AB157=".",".",SUM($X157:AB157))</f>
        <v>.</v>
      </c>
      <c r="AS157" s="1140" t="str">
        <f>IF(AC157=".",".",SUM($X157:AC157))</f>
        <v>.</v>
      </c>
      <c r="AT157" s="1141" t="str">
        <f>IF(AD157=".",".",SUM($X157:AD157))</f>
        <v>.</v>
      </c>
      <c r="AU157" s="3"/>
      <c r="AV157" s="1055" t="str">
        <f t="shared" si="76"/>
        <v>.</v>
      </c>
      <c r="AW157" s="258" t="str">
        <f t="shared" si="69"/>
        <v>.</v>
      </c>
      <c r="AX157" s="258" t="str">
        <f t="shared" si="70"/>
        <v>.</v>
      </c>
      <c r="AY157" s="258" t="str">
        <f t="shared" si="71"/>
        <v>.</v>
      </c>
      <c r="AZ157" s="258" t="str">
        <f t="shared" si="72"/>
        <v>.</v>
      </c>
      <c r="BA157" s="258" t="str">
        <f t="shared" si="73"/>
        <v>.</v>
      </c>
      <c r="BB157" s="1056" t="str">
        <f t="shared" si="74"/>
        <v>.</v>
      </c>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row>
    <row r="158" spans="1:91" x14ac:dyDescent="0.2">
      <c r="A158" s="620"/>
      <c r="B158" s="290" t="s">
        <v>697</v>
      </c>
      <c r="C158" s="1022" t="str">
        <f>IF('WS3 - Notional General Income'!C107="","",'WS3 - Notional General Income'!C107)</f>
        <v/>
      </c>
      <c r="D158" s="1006" t="s">
        <v>687</v>
      </c>
      <c r="E158" s="1022"/>
      <c r="F158" s="1022"/>
      <c r="G158" s="1022"/>
      <c r="H158" s="1022"/>
      <c r="I158" s="1022"/>
      <c r="J158" s="1023" t="str">
        <f>IF('WS3 - Notional General Income'!L107=".",".",'WS3 - Notional General Income'!L107/'WS3 - Notional General Income'!D107)</f>
        <v>.</v>
      </c>
      <c r="K158" s="1023" t="str">
        <f>IF('WS4 - Yr 1 YIELD'!L104=".",".",'WS4 - Yr 1 YIELD'!L104/'WS4 - Yr 1 YIELD'!D104)</f>
        <v>.</v>
      </c>
      <c r="L158" s="1024"/>
      <c r="M158" s="1024"/>
      <c r="N158" s="1024"/>
      <c r="O158" s="1024"/>
      <c r="P158" s="1024"/>
      <c r="Q158" s="1024"/>
      <c r="R158" s="76"/>
      <c r="S158" s="3"/>
      <c r="T158" s="1028">
        <f>'WS3 - Notional General Income'!$D107</f>
        <v>0</v>
      </c>
      <c r="U158" s="1029">
        <f>'WS4 - Yr 1 YIELD'!$D104</f>
        <v>0</v>
      </c>
      <c r="V158" s="1035"/>
      <c r="W158" s="3"/>
      <c r="X158" s="1043" t="str">
        <f t="shared" si="75"/>
        <v>.</v>
      </c>
      <c r="Y158" s="1044" t="str">
        <f t="shared" si="56"/>
        <v>.</v>
      </c>
      <c r="Z158" s="1044" t="str">
        <f t="shared" si="83"/>
        <v>.</v>
      </c>
      <c r="AA158" s="1044" t="str">
        <f t="shared" si="84"/>
        <v>.</v>
      </c>
      <c r="AB158" s="1044" t="str">
        <f t="shared" si="85"/>
        <v>.</v>
      </c>
      <c r="AC158" s="1044" t="str">
        <f t="shared" si="86"/>
        <v>.</v>
      </c>
      <c r="AD158" s="1045" t="str">
        <f t="shared" si="87"/>
        <v>.</v>
      </c>
      <c r="AE158" s="3"/>
      <c r="AF158" s="1055" t="str">
        <f t="shared" si="81"/>
        <v>.</v>
      </c>
      <c r="AG158" s="258" t="str">
        <f t="shared" si="63"/>
        <v>.</v>
      </c>
      <c r="AH158" s="258" t="str">
        <f t="shared" si="82"/>
        <v>.</v>
      </c>
      <c r="AI158" s="258" t="str">
        <f t="shared" si="65"/>
        <v>.</v>
      </c>
      <c r="AJ158" s="258" t="str">
        <f t="shared" si="66"/>
        <v>.</v>
      </c>
      <c r="AK158" s="258" t="str">
        <f t="shared" si="67"/>
        <v>.</v>
      </c>
      <c r="AL158" s="1056" t="str">
        <f t="shared" si="68"/>
        <v>.</v>
      </c>
      <c r="AM158" s="3"/>
      <c r="AN158" s="1139" t="str">
        <f>IF(X158=".",".",SUM($X158:X158))</f>
        <v>.</v>
      </c>
      <c r="AO158" s="1140" t="str">
        <f>IF(Y158=".",".",SUM($X158:Y158))</f>
        <v>.</v>
      </c>
      <c r="AP158" s="1140" t="str">
        <f>IF(Z158=".",".",SUM($X158:Z158))</f>
        <v>.</v>
      </c>
      <c r="AQ158" s="1140" t="str">
        <f>IF(AA158=".",".",SUM($X158:AA158))</f>
        <v>.</v>
      </c>
      <c r="AR158" s="1140" t="str">
        <f>IF(AB158=".",".",SUM($X158:AB158))</f>
        <v>.</v>
      </c>
      <c r="AS158" s="1140" t="str">
        <f>IF(AC158=".",".",SUM($X158:AC158))</f>
        <v>.</v>
      </c>
      <c r="AT158" s="1141" t="str">
        <f>IF(AD158=".",".",SUM($X158:AD158))</f>
        <v>.</v>
      </c>
      <c r="AU158" s="3"/>
      <c r="AV158" s="1055" t="str">
        <f t="shared" si="76"/>
        <v>.</v>
      </c>
      <c r="AW158" s="258" t="str">
        <f t="shared" si="69"/>
        <v>.</v>
      </c>
      <c r="AX158" s="258" t="str">
        <f t="shared" si="70"/>
        <v>.</v>
      </c>
      <c r="AY158" s="258" t="str">
        <f t="shared" si="71"/>
        <v>.</v>
      </c>
      <c r="AZ158" s="258" t="str">
        <f t="shared" si="72"/>
        <v>.</v>
      </c>
      <c r="BA158" s="258" t="str">
        <f t="shared" si="73"/>
        <v>.</v>
      </c>
      <c r="BB158" s="1056" t="str">
        <f t="shared" si="74"/>
        <v>.</v>
      </c>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row>
    <row r="159" spans="1:91" x14ac:dyDescent="0.2">
      <c r="A159" s="620"/>
      <c r="B159" s="290" t="s">
        <v>697</v>
      </c>
      <c r="C159" s="1022" t="str">
        <f>IF('WS3 - Notional General Income'!C108="","",'WS3 - Notional General Income'!C108)</f>
        <v/>
      </c>
      <c r="D159" s="1006" t="s">
        <v>687</v>
      </c>
      <c r="E159" s="1022"/>
      <c r="F159" s="1022"/>
      <c r="G159" s="1022"/>
      <c r="H159" s="1022"/>
      <c r="I159" s="1022"/>
      <c r="J159" s="1023" t="str">
        <f>IF('WS3 - Notional General Income'!L108=".",".",'WS3 - Notional General Income'!L108/'WS3 - Notional General Income'!D108)</f>
        <v>.</v>
      </c>
      <c r="K159" s="1023" t="str">
        <f>IF('WS4 - Yr 1 YIELD'!L105=".",".",'WS4 - Yr 1 YIELD'!L105/'WS4 - Yr 1 YIELD'!D105)</f>
        <v>.</v>
      </c>
      <c r="L159" s="1024"/>
      <c r="M159" s="1024"/>
      <c r="N159" s="1024"/>
      <c r="O159" s="1024"/>
      <c r="P159" s="1024"/>
      <c r="Q159" s="1024"/>
      <c r="R159" s="76"/>
      <c r="S159" s="3"/>
      <c r="T159" s="1028">
        <f>'WS3 - Notional General Income'!$D108</f>
        <v>0</v>
      </c>
      <c r="U159" s="1029">
        <f>'WS4 - Yr 1 YIELD'!$D105</f>
        <v>0</v>
      </c>
      <c r="V159" s="1035"/>
      <c r="W159" s="3"/>
      <c r="X159" s="1043" t="str">
        <f t="shared" si="75"/>
        <v>.</v>
      </c>
      <c r="Y159" s="1044" t="str">
        <f t="shared" si="56"/>
        <v>.</v>
      </c>
      <c r="Z159" s="1044" t="str">
        <f t="shared" si="83"/>
        <v>.</v>
      </c>
      <c r="AA159" s="1044" t="str">
        <f t="shared" si="84"/>
        <v>.</v>
      </c>
      <c r="AB159" s="1044" t="str">
        <f t="shared" si="85"/>
        <v>.</v>
      </c>
      <c r="AC159" s="1044" t="str">
        <f t="shared" si="86"/>
        <v>.</v>
      </c>
      <c r="AD159" s="1045" t="str">
        <f t="shared" si="87"/>
        <v>.</v>
      </c>
      <c r="AE159" s="3"/>
      <c r="AF159" s="1055" t="str">
        <f t="shared" si="81"/>
        <v>.</v>
      </c>
      <c r="AG159" s="258" t="str">
        <f t="shared" si="63"/>
        <v>.</v>
      </c>
      <c r="AH159" s="258" t="str">
        <f t="shared" si="82"/>
        <v>.</v>
      </c>
      <c r="AI159" s="258" t="str">
        <f t="shared" si="65"/>
        <v>.</v>
      </c>
      <c r="AJ159" s="258" t="str">
        <f t="shared" si="66"/>
        <v>.</v>
      </c>
      <c r="AK159" s="258" t="str">
        <f t="shared" si="67"/>
        <v>.</v>
      </c>
      <c r="AL159" s="1056" t="str">
        <f t="shared" si="68"/>
        <v>.</v>
      </c>
      <c r="AM159" s="3"/>
      <c r="AN159" s="1139" t="str">
        <f>IF(X159=".",".",SUM($X159:X159))</f>
        <v>.</v>
      </c>
      <c r="AO159" s="1140" t="str">
        <f>IF(Y159=".",".",SUM($X159:Y159))</f>
        <v>.</v>
      </c>
      <c r="AP159" s="1140" t="str">
        <f>IF(Z159=".",".",SUM($X159:Z159))</f>
        <v>.</v>
      </c>
      <c r="AQ159" s="1140" t="str">
        <f>IF(AA159=".",".",SUM($X159:AA159))</f>
        <v>.</v>
      </c>
      <c r="AR159" s="1140" t="str">
        <f>IF(AB159=".",".",SUM($X159:AB159))</f>
        <v>.</v>
      </c>
      <c r="AS159" s="1140" t="str">
        <f>IF(AC159=".",".",SUM($X159:AC159))</f>
        <v>.</v>
      </c>
      <c r="AT159" s="1141" t="str">
        <f>IF(AD159=".",".",SUM($X159:AD159))</f>
        <v>.</v>
      </c>
      <c r="AU159" s="3"/>
      <c r="AV159" s="1055" t="str">
        <f t="shared" si="76"/>
        <v>.</v>
      </c>
      <c r="AW159" s="258" t="str">
        <f t="shared" si="69"/>
        <v>.</v>
      </c>
      <c r="AX159" s="258" t="str">
        <f t="shared" si="70"/>
        <v>.</v>
      </c>
      <c r="AY159" s="258" t="str">
        <f t="shared" si="71"/>
        <v>.</v>
      </c>
      <c r="AZ159" s="258" t="str">
        <f t="shared" si="72"/>
        <v>.</v>
      </c>
      <c r="BA159" s="258" t="str">
        <f t="shared" si="73"/>
        <v>.</v>
      </c>
      <c r="BB159" s="1056" t="str">
        <f t="shared" si="74"/>
        <v>.</v>
      </c>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row>
    <row r="160" spans="1:91" x14ac:dyDescent="0.2">
      <c r="A160" s="620"/>
      <c r="B160" s="290" t="s">
        <v>697</v>
      </c>
      <c r="C160" s="1022" t="str">
        <f>IF('WS3 - Notional General Income'!C109="","",'WS3 - Notional General Income'!C109)</f>
        <v/>
      </c>
      <c r="D160" s="1006" t="s">
        <v>687</v>
      </c>
      <c r="E160" s="1022"/>
      <c r="F160" s="1022"/>
      <c r="G160" s="1022"/>
      <c r="H160" s="1022"/>
      <c r="I160" s="1022"/>
      <c r="J160" s="1023" t="str">
        <f>IF('WS3 - Notional General Income'!L109=".",".",'WS3 - Notional General Income'!L109/'WS3 - Notional General Income'!D109)</f>
        <v>.</v>
      </c>
      <c r="K160" s="1023" t="str">
        <f>IF('WS4 - Yr 1 YIELD'!L106=".",".",'WS4 - Yr 1 YIELD'!L106/'WS4 - Yr 1 YIELD'!D106)</f>
        <v>.</v>
      </c>
      <c r="L160" s="1024"/>
      <c r="M160" s="1024"/>
      <c r="N160" s="1024"/>
      <c r="O160" s="1024"/>
      <c r="P160" s="1024"/>
      <c r="Q160" s="1024"/>
      <c r="R160" s="76"/>
      <c r="S160" s="3"/>
      <c r="T160" s="1028">
        <f>'WS3 - Notional General Income'!$D109</f>
        <v>0</v>
      </c>
      <c r="U160" s="1029">
        <f>'WS4 - Yr 1 YIELD'!$D106</f>
        <v>0</v>
      </c>
      <c r="V160" s="1035"/>
      <c r="W160" s="3"/>
      <c r="X160" s="1043" t="str">
        <f t="shared" si="75"/>
        <v>.</v>
      </c>
      <c r="Y160" s="1044" t="str">
        <f t="shared" si="56"/>
        <v>.</v>
      </c>
      <c r="Z160" s="1044" t="str">
        <f t="shared" si="83"/>
        <v>.</v>
      </c>
      <c r="AA160" s="1044" t="str">
        <f t="shared" si="84"/>
        <v>.</v>
      </c>
      <c r="AB160" s="1044" t="str">
        <f t="shared" si="85"/>
        <v>.</v>
      </c>
      <c r="AC160" s="1044" t="str">
        <f t="shared" si="86"/>
        <v>.</v>
      </c>
      <c r="AD160" s="1045" t="str">
        <f t="shared" si="87"/>
        <v>.</v>
      </c>
      <c r="AE160" s="3"/>
      <c r="AF160" s="1055" t="str">
        <f t="shared" si="81"/>
        <v>.</v>
      </c>
      <c r="AG160" s="258" t="str">
        <f t="shared" si="63"/>
        <v>.</v>
      </c>
      <c r="AH160" s="258" t="str">
        <f t="shared" si="82"/>
        <v>.</v>
      </c>
      <c r="AI160" s="258" t="str">
        <f t="shared" si="65"/>
        <v>.</v>
      </c>
      <c r="AJ160" s="258" t="str">
        <f t="shared" si="66"/>
        <v>.</v>
      </c>
      <c r="AK160" s="258" t="str">
        <f t="shared" si="67"/>
        <v>.</v>
      </c>
      <c r="AL160" s="1056" t="str">
        <f t="shared" si="68"/>
        <v>.</v>
      </c>
      <c r="AM160" s="3"/>
      <c r="AN160" s="1139" t="str">
        <f>IF(X160=".",".",SUM($X160:X160))</f>
        <v>.</v>
      </c>
      <c r="AO160" s="1140" t="str">
        <f>IF(Y160=".",".",SUM($X160:Y160))</f>
        <v>.</v>
      </c>
      <c r="AP160" s="1140" t="str">
        <f>IF(Z160=".",".",SUM($X160:Z160))</f>
        <v>.</v>
      </c>
      <c r="AQ160" s="1140" t="str">
        <f>IF(AA160=".",".",SUM($X160:AA160))</f>
        <v>.</v>
      </c>
      <c r="AR160" s="1140" t="str">
        <f>IF(AB160=".",".",SUM($X160:AB160))</f>
        <v>.</v>
      </c>
      <c r="AS160" s="1140" t="str">
        <f>IF(AC160=".",".",SUM($X160:AC160))</f>
        <v>.</v>
      </c>
      <c r="AT160" s="1141" t="str">
        <f>IF(AD160=".",".",SUM($X160:AD160))</f>
        <v>.</v>
      </c>
      <c r="AU160" s="3"/>
      <c r="AV160" s="1055" t="str">
        <f t="shared" si="76"/>
        <v>.</v>
      </c>
      <c r="AW160" s="258" t="str">
        <f t="shared" si="69"/>
        <v>.</v>
      </c>
      <c r="AX160" s="258" t="str">
        <f t="shared" si="70"/>
        <v>.</v>
      </c>
      <c r="AY160" s="258" t="str">
        <f t="shared" si="71"/>
        <v>.</v>
      </c>
      <c r="AZ160" s="258" t="str">
        <f t="shared" si="72"/>
        <v>.</v>
      </c>
      <c r="BA160" s="258" t="str">
        <f t="shared" si="73"/>
        <v>.</v>
      </c>
      <c r="BB160" s="1056" t="str">
        <f t="shared" si="74"/>
        <v>.</v>
      </c>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row>
    <row r="161" spans="1:91" x14ac:dyDescent="0.2">
      <c r="A161" s="620"/>
      <c r="B161" s="290" t="s">
        <v>697</v>
      </c>
      <c r="C161" s="1022" t="str">
        <f>IF('WS3 - Notional General Income'!C110="","",'WS3 - Notional General Income'!C110)</f>
        <v/>
      </c>
      <c r="D161" s="1006" t="s">
        <v>687</v>
      </c>
      <c r="E161" s="1022"/>
      <c r="F161" s="1022"/>
      <c r="G161" s="1022"/>
      <c r="H161" s="1022"/>
      <c r="I161" s="1022"/>
      <c r="J161" s="1023" t="str">
        <f>IF('WS3 - Notional General Income'!L110=".",".",'WS3 - Notional General Income'!L110/'WS3 - Notional General Income'!D110)</f>
        <v>.</v>
      </c>
      <c r="K161" s="1023" t="str">
        <f>IF('WS4 - Yr 1 YIELD'!L107=".",".",'WS4 - Yr 1 YIELD'!L107/'WS4 - Yr 1 YIELD'!D107)</f>
        <v>.</v>
      </c>
      <c r="L161" s="1024"/>
      <c r="M161" s="1024"/>
      <c r="N161" s="1024"/>
      <c r="O161" s="1024"/>
      <c r="P161" s="1024"/>
      <c r="Q161" s="1024"/>
      <c r="R161" s="76"/>
      <c r="S161" s="3"/>
      <c r="T161" s="1028">
        <f>'WS3 - Notional General Income'!$D110</f>
        <v>0</v>
      </c>
      <c r="U161" s="1029">
        <f>'WS4 - Yr 1 YIELD'!$D107</f>
        <v>0</v>
      </c>
      <c r="V161" s="1035"/>
      <c r="W161" s="3"/>
      <c r="X161" s="1043" t="str">
        <f t="shared" si="75"/>
        <v>.</v>
      </c>
      <c r="Y161" s="1044" t="str">
        <f t="shared" si="56"/>
        <v>.</v>
      </c>
      <c r="Z161" s="1044" t="str">
        <f t="shared" si="83"/>
        <v>.</v>
      </c>
      <c r="AA161" s="1044" t="str">
        <f t="shared" si="84"/>
        <v>.</v>
      </c>
      <c r="AB161" s="1044" t="str">
        <f t="shared" si="85"/>
        <v>.</v>
      </c>
      <c r="AC161" s="1044" t="str">
        <f t="shared" si="86"/>
        <v>.</v>
      </c>
      <c r="AD161" s="1045" t="str">
        <f t="shared" si="87"/>
        <v>.</v>
      </c>
      <c r="AE161" s="3"/>
      <c r="AF161" s="1055" t="str">
        <f t="shared" si="81"/>
        <v>.</v>
      </c>
      <c r="AG161" s="258" t="str">
        <f t="shared" si="63"/>
        <v>.</v>
      </c>
      <c r="AH161" s="258" t="str">
        <f t="shared" si="82"/>
        <v>.</v>
      </c>
      <c r="AI161" s="258" t="str">
        <f t="shared" si="65"/>
        <v>.</v>
      </c>
      <c r="AJ161" s="258" t="str">
        <f t="shared" si="66"/>
        <v>.</v>
      </c>
      <c r="AK161" s="258" t="str">
        <f t="shared" si="67"/>
        <v>.</v>
      </c>
      <c r="AL161" s="1056" t="str">
        <f t="shared" si="68"/>
        <v>.</v>
      </c>
      <c r="AM161" s="3"/>
      <c r="AN161" s="1139" t="str">
        <f>IF(X161=".",".",SUM($X161:X161))</f>
        <v>.</v>
      </c>
      <c r="AO161" s="1140" t="str">
        <f>IF(Y161=".",".",SUM($X161:Y161))</f>
        <v>.</v>
      </c>
      <c r="AP161" s="1140" t="str">
        <f>IF(Z161=".",".",SUM($X161:Z161))</f>
        <v>.</v>
      </c>
      <c r="AQ161" s="1140" t="str">
        <f>IF(AA161=".",".",SUM($X161:AA161))</f>
        <v>.</v>
      </c>
      <c r="AR161" s="1140" t="str">
        <f>IF(AB161=".",".",SUM($X161:AB161))</f>
        <v>.</v>
      </c>
      <c r="AS161" s="1140" t="str">
        <f>IF(AC161=".",".",SUM($X161:AC161))</f>
        <v>.</v>
      </c>
      <c r="AT161" s="1141" t="str">
        <f>IF(AD161=".",".",SUM($X161:AD161))</f>
        <v>.</v>
      </c>
      <c r="AU161" s="3"/>
      <c r="AV161" s="1055" t="str">
        <f t="shared" si="76"/>
        <v>.</v>
      </c>
      <c r="AW161" s="258" t="str">
        <f t="shared" si="69"/>
        <v>.</v>
      </c>
      <c r="AX161" s="258" t="str">
        <f t="shared" si="70"/>
        <v>.</v>
      </c>
      <c r="AY161" s="258" t="str">
        <f t="shared" si="71"/>
        <v>.</v>
      </c>
      <c r="AZ161" s="258" t="str">
        <f t="shared" si="72"/>
        <v>.</v>
      </c>
      <c r="BA161" s="258" t="str">
        <f t="shared" si="73"/>
        <v>.</v>
      </c>
      <c r="BB161" s="1056" t="str">
        <f t="shared" si="74"/>
        <v>.</v>
      </c>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row>
    <row r="162" spans="1:91" x14ac:dyDescent="0.2">
      <c r="A162" s="620"/>
      <c r="B162" s="290" t="s">
        <v>697</v>
      </c>
      <c r="C162" s="1022" t="str">
        <f>IF('WS3 - Notional General Income'!C111="","",'WS3 - Notional General Income'!C111)</f>
        <v/>
      </c>
      <c r="D162" s="1006" t="s">
        <v>687</v>
      </c>
      <c r="E162" s="1022"/>
      <c r="F162" s="1022"/>
      <c r="G162" s="1022"/>
      <c r="H162" s="1022"/>
      <c r="I162" s="1022"/>
      <c r="J162" s="1023" t="str">
        <f>IF('WS3 - Notional General Income'!L111=".",".",'WS3 - Notional General Income'!L111/'WS3 - Notional General Income'!D111)</f>
        <v>.</v>
      </c>
      <c r="K162" s="1023" t="str">
        <f>IF('WS4 - Yr 1 YIELD'!L108=".",".",'WS4 - Yr 1 YIELD'!L108/'WS4 - Yr 1 YIELD'!D108)</f>
        <v>.</v>
      </c>
      <c r="L162" s="1024"/>
      <c r="M162" s="1024"/>
      <c r="N162" s="1024"/>
      <c r="O162" s="1024"/>
      <c r="P162" s="1024"/>
      <c r="Q162" s="1024"/>
      <c r="R162" s="76"/>
      <c r="S162" s="3"/>
      <c r="T162" s="1028">
        <f>'WS3 - Notional General Income'!$D111</f>
        <v>0</v>
      </c>
      <c r="U162" s="1029">
        <f>'WS4 - Yr 1 YIELD'!$D108</f>
        <v>0</v>
      </c>
      <c r="V162" s="1035"/>
      <c r="W162" s="3"/>
      <c r="X162" s="1043" t="str">
        <f t="shared" si="75"/>
        <v>.</v>
      </c>
      <c r="Y162" s="1044" t="str">
        <f t="shared" si="56"/>
        <v>.</v>
      </c>
      <c r="Z162" s="1044" t="str">
        <f t="shared" si="83"/>
        <v>.</v>
      </c>
      <c r="AA162" s="1044" t="str">
        <f t="shared" si="84"/>
        <v>.</v>
      </c>
      <c r="AB162" s="1044" t="str">
        <f t="shared" si="85"/>
        <v>.</v>
      </c>
      <c r="AC162" s="1044" t="str">
        <f t="shared" si="86"/>
        <v>.</v>
      </c>
      <c r="AD162" s="1045" t="str">
        <f t="shared" si="87"/>
        <v>.</v>
      </c>
      <c r="AE162" s="3"/>
      <c r="AF162" s="1055" t="str">
        <f t="shared" si="81"/>
        <v>.</v>
      </c>
      <c r="AG162" s="258" t="str">
        <f t="shared" si="63"/>
        <v>.</v>
      </c>
      <c r="AH162" s="258" t="str">
        <f t="shared" si="82"/>
        <v>.</v>
      </c>
      <c r="AI162" s="258" t="str">
        <f t="shared" si="65"/>
        <v>.</v>
      </c>
      <c r="AJ162" s="258" t="str">
        <f t="shared" si="66"/>
        <v>.</v>
      </c>
      <c r="AK162" s="258" t="str">
        <f t="shared" si="67"/>
        <v>.</v>
      </c>
      <c r="AL162" s="1056" t="str">
        <f t="shared" si="68"/>
        <v>.</v>
      </c>
      <c r="AM162" s="3"/>
      <c r="AN162" s="1139" t="str">
        <f>IF(X162=".",".",SUM($X162:X162))</f>
        <v>.</v>
      </c>
      <c r="AO162" s="1140" t="str">
        <f>IF(Y162=".",".",SUM($X162:Y162))</f>
        <v>.</v>
      </c>
      <c r="AP162" s="1140" t="str">
        <f>IF(Z162=".",".",SUM($X162:Z162))</f>
        <v>.</v>
      </c>
      <c r="AQ162" s="1140" t="str">
        <f>IF(AA162=".",".",SUM($X162:AA162))</f>
        <v>.</v>
      </c>
      <c r="AR162" s="1140" t="str">
        <f>IF(AB162=".",".",SUM($X162:AB162))</f>
        <v>.</v>
      </c>
      <c r="AS162" s="1140" t="str">
        <f>IF(AC162=".",".",SUM($X162:AC162))</f>
        <v>.</v>
      </c>
      <c r="AT162" s="1141" t="str">
        <f>IF(AD162=".",".",SUM($X162:AD162))</f>
        <v>.</v>
      </c>
      <c r="AU162" s="3"/>
      <c r="AV162" s="1055" t="str">
        <f t="shared" si="76"/>
        <v>.</v>
      </c>
      <c r="AW162" s="258" t="str">
        <f t="shared" si="69"/>
        <v>.</v>
      </c>
      <c r="AX162" s="258" t="str">
        <f t="shared" si="70"/>
        <v>.</v>
      </c>
      <c r="AY162" s="258" t="str">
        <f t="shared" si="71"/>
        <v>.</v>
      </c>
      <c r="AZ162" s="258" t="str">
        <f t="shared" si="72"/>
        <v>.</v>
      </c>
      <c r="BA162" s="258" t="str">
        <f t="shared" si="73"/>
        <v>.</v>
      </c>
      <c r="BB162" s="1056" t="str">
        <f t="shared" si="74"/>
        <v>.</v>
      </c>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row>
    <row r="163" spans="1:91" x14ac:dyDescent="0.2">
      <c r="A163" s="620"/>
      <c r="B163" s="290" t="s">
        <v>697</v>
      </c>
      <c r="C163" s="1022" t="str">
        <f>IF('WS3 - Notional General Income'!C112="","",'WS3 - Notional General Income'!C112)</f>
        <v/>
      </c>
      <c r="D163" s="1006" t="s">
        <v>687</v>
      </c>
      <c r="E163" s="1022"/>
      <c r="F163" s="1022"/>
      <c r="G163" s="1022"/>
      <c r="H163" s="1022"/>
      <c r="I163" s="1022"/>
      <c r="J163" s="1023" t="str">
        <f>IF('WS3 - Notional General Income'!L112=".",".",'WS3 - Notional General Income'!L112/'WS3 - Notional General Income'!D112)</f>
        <v>.</v>
      </c>
      <c r="K163" s="1023" t="str">
        <f>IF('WS4 - Yr 1 YIELD'!L109=".",".",'WS4 - Yr 1 YIELD'!L109/'WS4 - Yr 1 YIELD'!D109)</f>
        <v>.</v>
      </c>
      <c r="L163" s="1024"/>
      <c r="M163" s="1024"/>
      <c r="N163" s="1024"/>
      <c r="O163" s="1024"/>
      <c r="P163" s="1024"/>
      <c r="Q163" s="1024"/>
      <c r="R163" s="76"/>
      <c r="S163" s="3"/>
      <c r="T163" s="1028">
        <f>'WS3 - Notional General Income'!$D112</f>
        <v>0</v>
      </c>
      <c r="U163" s="1029">
        <f>'WS4 - Yr 1 YIELD'!$D109</f>
        <v>0</v>
      </c>
      <c r="V163" s="1035"/>
      <c r="W163" s="3"/>
      <c r="X163" s="1043" t="str">
        <f t="shared" si="75"/>
        <v>.</v>
      </c>
      <c r="Y163" s="1044" t="str">
        <f t="shared" si="56"/>
        <v>.</v>
      </c>
      <c r="Z163" s="1044" t="str">
        <f t="shared" si="83"/>
        <v>.</v>
      </c>
      <c r="AA163" s="1044" t="str">
        <f t="shared" si="84"/>
        <v>.</v>
      </c>
      <c r="AB163" s="1044" t="str">
        <f t="shared" si="85"/>
        <v>.</v>
      </c>
      <c r="AC163" s="1044" t="str">
        <f t="shared" si="86"/>
        <v>.</v>
      </c>
      <c r="AD163" s="1045" t="str">
        <f t="shared" si="87"/>
        <v>.</v>
      </c>
      <c r="AE163" s="3"/>
      <c r="AF163" s="1055" t="str">
        <f t="shared" si="81"/>
        <v>.</v>
      </c>
      <c r="AG163" s="258" t="str">
        <f t="shared" si="63"/>
        <v>.</v>
      </c>
      <c r="AH163" s="258" t="str">
        <f t="shared" si="82"/>
        <v>.</v>
      </c>
      <c r="AI163" s="258" t="str">
        <f t="shared" si="65"/>
        <v>.</v>
      </c>
      <c r="AJ163" s="258" t="str">
        <f t="shared" si="66"/>
        <v>.</v>
      </c>
      <c r="AK163" s="258" t="str">
        <f t="shared" si="67"/>
        <v>.</v>
      </c>
      <c r="AL163" s="1056" t="str">
        <f t="shared" si="68"/>
        <v>.</v>
      </c>
      <c r="AM163" s="3"/>
      <c r="AN163" s="1139" t="str">
        <f>IF(X163=".",".",SUM($X163:X163))</f>
        <v>.</v>
      </c>
      <c r="AO163" s="1140" t="str">
        <f>IF(Y163=".",".",SUM($X163:Y163))</f>
        <v>.</v>
      </c>
      <c r="AP163" s="1140" t="str">
        <f>IF(Z163=".",".",SUM($X163:Z163))</f>
        <v>.</v>
      </c>
      <c r="AQ163" s="1140" t="str">
        <f>IF(AA163=".",".",SUM($X163:AA163))</f>
        <v>.</v>
      </c>
      <c r="AR163" s="1140" t="str">
        <f>IF(AB163=".",".",SUM($X163:AB163))</f>
        <v>.</v>
      </c>
      <c r="AS163" s="1140" t="str">
        <f>IF(AC163=".",".",SUM($X163:AC163))</f>
        <v>.</v>
      </c>
      <c r="AT163" s="1141" t="str">
        <f>IF(AD163=".",".",SUM($X163:AD163))</f>
        <v>.</v>
      </c>
      <c r="AU163" s="3"/>
      <c r="AV163" s="1055" t="str">
        <f t="shared" si="76"/>
        <v>.</v>
      </c>
      <c r="AW163" s="258" t="str">
        <f t="shared" si="69"/>
        <v>.</v>
      </c>
      <c r="AX163" s="258" t="str">
        <f t="shared" si="70"/>
        <v>.</v>
      </c>
      <c r="AY163" s="258" t="str">
        <f t="shared" si="71"/>
        <v>.</v>
      </c>
      <c r="AZ163" s="258" t="str">
        <f t="shared" si="72"/>
        <v>.</v>
      </c>
      <c r="BA163" s="258" t="str">
        <f t="shared" si="73"/>
        <v>.</v>
      </c>
      <c r="BB163" s="1056" t="str">
        <f t="shared" si="74"/>
        <v>.</v>
      </c>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row>
    <row r="164" spans="1:91" x14ac:dyDescent="0.2">
      <c r="A164" s="620"/>
      <c r="B164" s="290" t="s">
        <v>697</v>
      </c>
      <c r="C164" s="1022" t="str">
        <f>IF('WS3 - Notional General Income'!C113="","",'WS3 - Notional General Income'!C113)</f>
        <v/>
      </c>
      <c r="D164" s="1006" t="s">
        <v>687</v>
      </c>
      <c r="E164" s="1022"/>
      <c r="F164" s="1022"/>
      <c r="G164" s="1022"/>
      <c r="H164" s="1022"/>
      <c r="I164" s="1022"/>
      <c r="J164" s="1023" t="str">
        <f>IF('WS3 - Notional General Income'!L113=".",".",'WS3 - Notional General Income'!L113/'WS3 - Notional General Income'!D113)</f>
        <v>.</v>
      </c>
      <c r="K164" s="1023" t="str">
        <f>IF('WS4 - Yr 1 YIELD'!L110=".",".",'WS4 - Yr 1 YIELD'!L110/'WS4 - Yr 1 YIELD'!D110)</f>
        <v>.</v>
      </c>
      <c r="L164" s="1024"/>
      <c r="M164" s="1024"/>
      <c r="N164" s="1024"/>
      <c r="O164" s="1024"/>
      <c r="P164" s="1024"/>
      <c r="Q164" s="1024"/>
      <c r="R164" s="76"/>
      <c r="S164" s="3"/>
      <c r="T164" s="1028">
        <f>'WS3 - Notional General Income'!$D113</f>
        <v>0</v>
      </c>
      <c r="U164" s="1029">
        <f>'WS4 - Yr 1 YIELD'!$D110</f>
        <v>0</v>
      </c>
      <c r="V164" s="1035"/>
      <c r="W164" s="3"/>
      <c r="X164" s="1043" t="str">
        <f t="shared" si="75"/>
        <v>.</v>
      </c>
      <c r="Y164" s="1044" t="str">
        <f t="shared" si="56"/>
        <v>.</v>
      </c>
      <c r="Z164" s="1044" t="str">
        <f t="shared" si="83"/>
        <v>.</v>
      </c>
      <c r="AA164" s="1044" t="str">
        <f t="shared" si="84"/>
        <v>.</v>
      </c>
      <c r="AB164" s="1044" t="str">
        <f t="shared" si="85"/>
        <v>.</v>
      </c>
      <c r="AC164" s="1044" t="str">
        <f t="shared" si="86"/>
        <v>.</v>
      </c>
      <c r="AD164" s="1045" t="str">
        <f t="shared" si="87"/>
        <v>.</v>
      </c>
      <c r="AE164" s="3"/>
      <c r="AF164" s="1055" t="str">
        <f t="shared" si="81"/>
        <v>.</v>
      </c>
      <c r="AG164" s="258" t="str">
        <f t="shared" si="63"/>
        <v>.</v>
      </c>
      <c r="AH164" s="258" t="str">
        <f t="shared" si="82"/>
        <v>.</v>
      </c>
      <c r="AI164" s="258" t="str">
        <f t="shared" si="65"/>
        <v>.</v>
      </c>
      <c r="AJ164" s="258" t="str">
        <f t="shared" si="66"/>
        <v>.</v>
      </c>
      <c r="AK164" s="258" t="str">
        <f t="shared" si="67"/>
        <v>.</v>
      </c>
      <c r="AL164" s="1056" t="str">
        <f t="shared" si="68"/>
        <v>.</v>
      </c>
      <c r="AM164" s="3"/>
      <c r="AN164" s="1139" t="str">
        <f>IF(X164=".",".",SUM($X164:X164))</f>
        <v>.</v>
      </c>
      <c r="AO164" s="1140" t="str">
        <f>IF(Y164=".",".",SUM($X164:Y164))</f>
        <v>.</v>
      </c>
      <c r="AP164" s="1140" t="str">
        <f>IF(Z164=".",".",SUM($X164:Z164))</f>
        <v>.</v>
      </c>
      <c r="AQ164" s="1140" t="str">
        <f>IF(AA164=".",".",SUM($X164:AA164))</f>
        <v>.</v>
      </c>
      <c r="AR164" s="1140" t="str">
        <f>IF(AB164=".",".",SUM($X164:AB164))</f>
        <v>.</v>
      </c>
      <c r="AS164" s="1140" t="str">
        <f>IF(AC164=".",".",SUM($X164:AC164))</f>
        <v>.</v>
      </c>
      <c r="AT164" s="1141" t="str">
        <f>IF(AD164=".",".",SUM($X164:AD164))</f>
        <v>.</v>
      </c>
      <c r="AU164" s="3"/>
      <c r="AV164" s="1055" t="str">
        <f t="shared" si="76"/>
        <v>.</v>
      </c>
      <c r="AW164" s="258" t="str">
        <f t="shared" si="69"/>
        <v>.</v>
      </c>
      <c r="AX164" s="258" t="str">
        <f t="shared" si="70"/>
        <v>.</v>
      </c>
      <c r="AY164" s="258" t="str">
        <f t="shared" si="71"/>
        <v>.</v>
      </c>
      <c r="AZ164" s="258" t="str">
        <f t="shared" si="72"/>
        <v>.</v>
      </c>
      <c r="BA164" s="258" t="str">
        <f t="shared" si="73"/>
        <v>.</v>
      </c>
      <c r="BB164" s="1056" t="str">
        <f t="shared" si="74"/>
        <v>.</v>
      </c>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row>
    <row r="165" spans="1:91" x14ac:dyDescent="0.2">
      <c r="A165" s="620"/>
      <c r="B165" s="290" t="s">
        <v>697</v>
      </c>
      <c r="C165" s="1022" t="str">
        <f>IF('WS3 - Notional General Income'!C114="","",'WS3 - Notional General Income'!C114)</f>
        <v/>
      </c>
      <c r="D165" s="1006" t="s">
        <v>687</v>
      </c>
      <c r="E165" s="1022"/>
      <c r="F165" s="1022"/>
      <c r="G165" s="1022"/>
      <c r="H165" s="1022"/>
      <c r="I165" s="1022"/>
      <c r="J165" s="1023" t="str">
        <f>IF('WS3 - Notional General Income'!L114=".",".",'WS3 - Notional General Income'!L114/'WS3 - Notional General Income'!D114)</f>
        <v>.</v>
      </c>
      <c r="K165" s="1023" t="str">
        <f>IF('WS4 - Yr 1 YIELD'!L111=".",".",'WS4 - Yr 1 YIELD'!L111/'WS4 - Yr 1 YIELD'!D111)</f>
        <v>.</v>
      </c>
      <c r="L165" s="1024"/>
      <c r="M165" s="1024"/>
      <c r="N165" s="1024"/>
      <c r="O165" s="1024"/>
      <c r="P165" s="1024"/>
      <c r="Q165" s="1024"/>
      <c r="R165" s="76"/>
      <c r="S165" s="3"/>
      <c r="T165" s="1028">
        <f>'WS3 - Notional General Income'!$D114</f>
        <v>0</v>
      </c>
      <c r="U165" s="1029">
        <f>'WS4 - Yr 1 YIELD'!$D111</f>
        <v>0</v>
      </c>
      <c r="V165" s="1035"/>
      <c r="W165" s="3"/>
      <c r="X165" s="1043" t="str">
        <f t="shared" si="75"/>
        <v>.</v>
      </c>
      <c r="Y165" s="1044" t="str">
        <f t="shared" ref="Y165:Y219" si="88">IF(OR(K165=".",L165="."),".",L165-K165)</f>
        <v>.</v>
      </c>
      <c r="Z165" s="1044" t="str">
        <f t="shared" ref="Z165:Z196" si="89">IF(M165="",".",M165-L165)</f>
        <v>.</v>
      </c>
      <c r="AA165" s="1044" t="str">
        <f t="shared" ref="AA165:AA196" si="90">IF(N165="",".",N165-M165)</f>
        <v>.</v>
      </c>
      <c r="AB165" s="1044" t="str">
        <f t="shared" ref="AB165:AB196" si="91">IF(O165="",".",O165-N165)</f>
        <v>.</v>
      </c>
      <c r="AC165" s="1044" t="str">
        <f t="shared" ref="AC165:AC196" si="92">IF(P165="",".",P165-O165)</f>
        <v>.</v>
      </c>
      <c r="AD165" s="1045" t="str">
        <f t="shared" ref="AD165:AD196" si="93">IF(Q165="",".",Q165-P165)</f>
        <v>.</v>
      </c>
      <c r="AE165" s="3"/>
      <c r="AF165" s="1055" t="str">
        <f t="shared" si="81"/>
        <v>.</v>
      </c>
      <c r="AG165" s="258" t="str">
        <f t="shared" ref="AG165:AG177" si="94">IFERROR(L165/K165-1,".")</f>
        <v>.</v>
      </c>
      <c r="AH165" s="258" t="str">
        <f t="shared" si="82"/>
        <v>.</v>
      </c>
      <c r="AI165" s="258" t="str">
        <f t="shared" ref="AI165:AI180" si="95">IFERROR(N165/M165-1,".")</f>
        <v>.</v>
      </c>
      <c r="AJ165" s="258" t="str">
        <f t="shared" ref="AJ165:AJ180" si="96">IFERROR(O165/N165-1,".")</f>
        <v>.</v>
      </c>
      <c r="AK165" s="258" t="str">
        <f t="shared" ref="AK165:AK180" si="97">IFERROR(P165/O165-1,".")</f>
        <v>.</v>
      </c>
      <c r="AL165" s="1056" t="str">
        <f t="shared" ref="AL165:AL219" si="98">IFERROR(Q165/P165-1,".")</f>
        <v>.</v>
      </c>
      <c r="AM165" s="3"/>
      <c r="AN165" s="1139" t="str">
        <f>IF(X165=".",".",SUM($X165:X165))</f>
        <v>.</v>
      </c>
      <c r="AO165" s="1140" t="str">
        <f>IF(Y165=".",".",SUM($X165:Y165))</f>
        <v>.</v>
      </c>
      <c r="AP165" s="1140" t="str">
        <f>IF(Z165=".",".",SUM($X165:Z165))</f>
        <v>.</v>
      </c>
      <c r="AQ165" s="1140" t="str">
        <f>IF(AA165=".",".",SUM($X165:AA165))</f>
        <v>.</v>
      </c>
      <c r="AR165" s="1140" t="str">
        <f>IF(AB165=".",".",SUM($X165:AB165))</f>
        <v>.</v>
      </c>
      <c r="AS165" s="1140" t="str">
        <f>IF(AC165=".",".",SUM($X165:AC165))</f>
        <v>.</v>
      </c>
      <c r="AT165" s="1141" t="str">
        <f>IF(AD165=".",".",SUM($X165:AD165))</f>
        <v>.</v>
      </c>
      <c r="AU165" s="3"/>
      <c r="AV165" s="1055" t="str">
        <f t="shared" si="76"/>
        <v>.</v>
      </c>
      <c r="AW165" s="258" t="str">
        <f t="shared" ref="AW165:AW219" si="99">IFERROR(L165/$J165-1,".")</f>
        <v>.</v>
      </c>
      <c r="AX165" s="258" t="str">
        <f t="shared" ref="AX165:AX219" si="100">IFERROR(M165/$J165-1,".")</f>
        <v>.</v>
      </c>
      <c r="AY165" s="258" t="str">
        <f t="shared" ref="AY165:AY219" si="101">IFERROR(N165/$J165-1,".")</f>
        <v>.</v>
      </c>
      <c r="AZ165" s="258" t="str">
        <f t="shared" ref="AZ165:AZ219" si="102">IFERROR(O165/$J165-1,".")</f>
        <v>.</v>
      </c>
      <c r="BA165" s="258" t="str">
        <f t="shared" ref="BA165:BA219" si="103">IFERROR(P165/$J165-1,".")</f>
        <v>.</v>
      </c>
      <c r="BB165" s="1056" t="str">
        <f t="shared" ref="BB165:BB219" si="104">IFERROR(Q165/$J165-1,".")</f>
        <v>.</v>
      </c>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row>
    <row r="166" spans="1:91" x14ac:dyDescent="0.2">
      <c r="A166" s="620"/>
      <c r="B166" s="290" t="s">
        <v>697</v>
      </c>
      <c r="C166" s="1022" t="str">
        <f>IF('WS3 - Notional General Income'!C115="","",'WS3 - Notional General Income'!C115)</f>
        <v/>
      </c>
      <c r="D166" s="1006" t="s">
        <v>687</v>
      </c>
      <c r="E166" s="1022"/>
      <c r="F166" s="1022"/>
      <c r="G166" s="1022"/>
      <c r="H166" s="1022"/>
      <c r="I166" s="1022"/>
      <c r="J166" s="1023" t="str">
        <f>IF('WS3 - Notional General Income'!L115=".",".",'WS3 - Notional General Income'!L115/'WS3 - Notional General Income'!D115)</f>
        <v>.</v>
      </c>
      <c r="K166" s="1023" t="str">
        <f>IF('WS4 - Yr 1 YIELD'!L112=".",".",'WS4 - Yr 1 YIELD'!L112/'WS4 - Yr 1 YIELD'!D112)</f>
        <v>.</v>
      </c>
      <c r="L166" s="1024"/>
      <c r="M166" s="1024"/>
      <c r="N166" s="1024"/>
      <c r="O166" s="1024"/>
      <c r="P166" s="1024"/>
      <c r="Q166" s="1024"/>
      <c r="R166" s="76"/>
      <c r="S166" s="3"/>
      <c r="T166" s="1028">
        <f>'WS3 - Notional General Income'!$D115</f>
        <v>0</v>
      </c>
      <c r="U166" s="1029">
        <f>'WS4 - Yr 1 YIELD'!$D112</f>
        <v>0</v>
      </c>
      <c r="V166" s="1035"/>
      <c r="W166" s="3"/>
      <c r="X166" s="1043" t="str">
        <f t="shared" ref="X166:X219" si="105">IF(OR(J166=".",K166="."),".",K166-J166)</f>
        <v>.</v>
      </c>
      <c r="Y166" s="1044" t="str">
        <f t="shared" si="88"/>
        <v>.</v>
      </c>
      <c r="Z166" s="1044" t="str">
        <f t="shared" si="89"/>
        <v>.</v>
      </c>
      <c r="AA166" s="1044" t="str">
        <f t="shared" si="90"/>
        <v>.</v>
      </c>
      <c r="AB166" s="1044" t="str">
        <f t="shared" si="91"/>
        <v>.</v>
      </c>
      <c r="AC166" s="1044" t="str">
        <f t="shared" si="92"/>
        <v>.</v>
      </c>
      <c r="AD166" s="1045" t="str">
        <f t="shared" si="93"/>
        <v>.</v>
      </c>
      <c r="AE166" s="3"/>
      <c r="AF166" s="1055" t="str">
        <f t="shared" si="81"/>
        <v>.</v>
      </c>
      <c r="AG166" s="258" t="str">
        <f t="shared" si="94"/>
        <v>.</v>
      </c>
      <c r="AH166" s="258" t="str">
        <f t="shared" si="82"/>
        <v>.</v>
      </c>
      <c r="AI166" s="258" t="str">
        <f t="shared" si="95"/>
        <v>.</v>
      </c>
      <c r="AJ166" s="258" t="str">
        <f t="shared" si="96"/>
        <v>.</v>
      </c>
      <c r="AK166" s="258" t="str">
        <f t="shared" si="97"/>
        <v>.</v>
      </c>
      <c r="AL166" s="1056" t="str">
        <f t="shared" si="98"/>
        <v>.</v>
      </c>
      <c r="AM166" s="3"/>
      <c r="AN166" s="1139" t="str">
        <f>IF(X166=".",".",SUM($X166:X166))</f>
        <v>.</v>
      </c>
      <c r="AO166" s="1140" t="str">
        <f>IF(Y166=".",".",SUM($X166:Y166))</f>
        <v>.</v>
      </c>
      <c r="AP166" s="1140" t="str">
        <f>IF(Z166=".",".",SUM($X166:Z166))</f>
        <v>.</v>
      </c>
      <c r="AQ166" s="1140" t="str">
        <f>IF(AA166=".",".",SUM($X166:AA166))</f>
        <v>.</v>
      </c>
      <c r="AR166" s="1140" t="str">
        <f>IF(AB166=".",".",SUM($X166:AB166))</f>
        <v>.</v>
      </c>
      <c r="AS166" s="1140" t="str">
        <f>IF(AC166=".",".",SUM($X166:AC166))</f>
        <v>.</v>
      </c>
      <c r="AT166" s="1141" t="str">
        <f>IF(AD166=".",".",SUM($X166:AD166))</f>
        <v>.</v>
      </c>
      <c r="AU166" s="3"/>
      <c r="AV166" s="1055" t="str">
        <f t="shared" ref="AV166:AV219" si="106">IFERROR(K166/$J166-1,".")</f>
        <v>.</v>
      </c>
      <c r="AW166" s="258" t="str">
        <f t="shared" si="99"/>
        <v>.</v>
      </c>
      <c r="AX166" s="258" t="str">
        <f t="shared" si="100"/>
        <v>.</v>
      </c>
      <c r="AY166" s="258" t="str">
        <f t="shared" si="101"/>
        <v>.</v>
      </c>
      <c r="AZ166" s="258" t="str">
        <f t="shared" si="102"/>
        <v>.</v>
      </c>
      <c r="BA166" s="258" t="str">
        <f t="shared" si="103"/>
        <v>.</v>
      </c>
      <c r="BB166" s="1056" t="str">
        <f t="shared" si="104"/>
        <v>.</v>
      </c>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row>
    <row r="167" spans="1:91" x14ac:dyDescent="0.2">
      <c r="A167" s="620"/>
      <c r="B167" s="290" t="s">
        <v>697</v>
      </c>
      <c r="C167" s="1022" t="str">
        <f>IF('WS3 - Notional General Income'!C116="","",'WS3 - Notional General Income'!C116)</f>
        <v/>
      </c>
      <c r="D167" s="1006" t="s">
        <v>687</v>
      </c>
      <c r="E167" s="1022"/>
      <c r="F167" s="1022"/>
      <c r="G167" s="1022"/>
      <c r="H167" s="1022"/>
      <c r="I167" s="1022"/>
      <c r="J167" s="1023" t="str">
        <f>IF('WS3 - Notional General Income'!L116=".",".",'WS3 - Notional General Income'!L116/'WS3 - Notional General Income'!D116)</f>
        <v>.</v>
      </c>
      <c r="K167" s="1023" t="str">
        <f>IF('WS4 - Yr 1 YIELD'!L113=".",".",'WS4 - Yr 1 YIELD'!L113/'WS4 - Yr 1 YIELD'!D113)</f>
        <v>.</v>
      </c>
      <c r="L167" s="1024"/>
      <c r="M167" s="1024"/>
      <c r="N167" s="1024"/>
      <c r="O167" s="1024"/>
      <c r="P167" s="1024"/>
      <c r="Q167" s="1024"/>
      <c r="R167" s="76"/>
      <c r="S167" s="3"/>
      <c r="T167" s="1028">
        <f>'WS3 - Notional General Income'!$D116</f>
        <v>0</v>
      </c>
      <c r="U167" s="1029">
        <f>'WS4 - Yr 1 YIELD'!$D113</f>
        <v>0</v>
      </c>
      <c r="V167" s="1035"/>
      <c r="W167" s="3"/>
      <c r="X167" s="1043" t="str">
        <f t="shared" si="105"/>
        <v>.</v>
      </c>
      <c r="Y167" s="1044" t="str">
        <f t="shared" si="88"/>
        <v>.</v>
      </c>
      <c r="Z167" s="1044" t="str">
        <f t="shared" si="89"/>
        <v>.</v>
      </c>
      <c r="AA167" s="1044" t="str">
        <f t="shared" si="90"/>
        <v>.</v>
      </c>
      <c r="AB167" s="1044" t="str">
        <f t="shared" si="91"/>
        <v>.</v>
      </c>
      <c r="AC167" s="1044" t="str">
        <f t="shared" si="92"/>
        <v>.</v>
      </c>
      <c r="AD167" s="1045" t="str">
        <f t="shared" si="93"/>
        <v>.</v>
      </c>
      <c r="AE167" s="3"/>
      <c r="AF167" s="1055" t="str">
        <f t="shared" si="81"/>
        <v>.</v>
      </c>
      <c r="AG167" s="258" t="str">
        <f t="shared" si="94"/>
        <v>.</v>
      </c>
      <c r="AH167" s="258" t="str">
        <f t="shared" si="82"/>
        <v>.</v>
      </c>
      <c r="AI167" s="258" t="str">
        <f t="shared" si="95"/>
        <v>.</v>
      </c>
      <c r="AJ167" s="258" t="str">
        <f t="shared" si="96"/>
        <v>.</v>
      </c>
      <c r="AK167" s="258" t="str">
        <f t="shared" si="97"/>
        <v>.</v>
      </c>
      <c r="AL167" s="1056" t="str">
        <f t="shared" si="98"/>
        <v>.</v>
      </c>
      <c r="AM167" s="3"/>
      <c r="AN167" s="1139" t="str">
        <f>IF(X167=".",".",SUM($X167:X167))</f>
        <v>.</v>
      </c>
      <c r="AO167" s="1140" t="str">
        <f>IF(Y167=".",".",SUM($X167:Y167))</f>
        <v>.</v>
      </c>
      <c r="AP167" s="1140" t="str">
        <f>IF(Z167=".",".",SUM($X167:Z167))</f>
        <v>.</v>
      </c>
      <c r="AQ167" s="1140" t="str">
        <f>IF(AA167=".",".",SUM($X167:AA167))</f>
        <v>.</v>
      </c>
      <c r="AR167" s="1140" t="str">
        <f>IF(AB167=".",".",SUM($X167:AB167))</f>
        <v>.</v>
      </c>
      <c r="AS167" s="1140" t="str">
        <f>IF(AC167=".",".",SUM($X167:AC167))</f>
        <v>.</v>
      </c>
      <c r="AT167" s="1141" t="str">
        <f>IF(AD167=".",".",SUM($X167:AD167))</f>
        <v>.</v>
      </c>
      <c r="AU167" s="3"/>
      <c r="AV167" s="1055" t="str">
        <f t="shared" si="106"/>
        <v>.</v>
      </c>
      <c r="AW167" s="258" t="str">
        <f t="shared" si="99"/>
        <v>.</v>
      </c>
      <c r="AX167" s="258" t="str">
        <f t="shared" si="100"/>
        <v>.</v>
      </c>
      <c r="AY167" s="258" t="str">
        <f t="shared" si="101"/>
        <v>.</v>
      </c>
      <c r="AZ167" s="258" t="str">
        <f t="shared" si="102"/>
        <v>.</v>
      </c>
      <c r="BA167" s="258" t="str">
        <f t="shared" si="103"/>
        <v>.</v>
      </c>
      <c r="BB167" s="1056" t="str">
        <f t="shared" si="104"/>
        <v>.</v>
      </c>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row>
    <row r="168" spans="1:91" x14ac:dyDescent="0.2">
      <c r="A168" s="620"/>
      <c r="B168" s="290" t="s">
        <v>697</v>
      </c>
      <c r="C168" s="1022" t="str">
        <f>IF('WS3 - Notional General Income'!C117="","",'WS3 - Notional General Income'!C117)</f>
        <v/>
      </c>
      <c r="D168" s="1006" t="s">
        <v>687</v>
      </c>
      <c r="E168" s="1022"/>
      <c r="F168" s="1022"/>
      <c r="G168" s="1022"/>
      <c r="H168" s="1022"/>
      <c r="I168" s="1022"/>
      <c r="J168" s="1023" t="str">
        <f>IF('WS3 - Notional General Income'!L117=".",".",'WS3 - Notional General Income'!L117/'WS3 - Notional General Income'!D117)</f>
        <v>.</v>
      </c>
      <c r="K168" s="1023" t="str">
        <f>IF('WS4 - Yr 1 YIELD'!L114=".",".",'WS4 - Yr 1 YIELD'!L114/'WS4 - Yr 1 YIELD'!D114)</f>
        <v>.</v>
      </c>
      <c r="L168" s="1024"/>
      <c r="M168" s="1024"/>
      <c r="N168" s="1024"/>
      <c r="O168" s="1024"/>
      <c r="P168" s="1024"/>
      <c r="Q168" s="1024"/>
      <c r="R168" s="76"/>
      <c r="S168" s="3"/>
      <c r="T168" s="1028">
        <f>'WS3 - Notional General Income'!$D117</f>
        <v>0</v>
      </c>
      <c r="U168" s="1029">
        <f>'WS4 - Yr 1 YIELD'!$D114</f>
        <v>0</v>
      </c>
      <c r="V168" s="1035"/>
      <c r="W168" s="3"/>
      <c r="X168" s="1043" t="str">
        <f t="shared" si="105"/>
        <v>.</v>
      </c>
      <c r="Y168" s="1044" t="str">
        <f t="shared" si="88"/>
        <v>.</v>
      </c>
      <c r="Z168" s="1044" t="str">
        <f t="shared" si="89"/>
        <v>.</v>
      </c>
      <c r="AA168" s="1044" t="str">
        <f t="shared" si="90"/>
        <v>.</v>
      </c>
      <c r="AB168" s="1044" t="str">
        <f t="shared" si="91"/>
        <v>.</v>
      </c>
      <c r="AC168" s="1044" t="str">
        <f t="shared" si="92"/>
        <v>.</v>
      </c>
      <c r="AD168" s="1045" t="str">
        <f t="shared" si="93"/>
        <v>.</v>
      </c>
      <c r="AE168" s="3"/>
      <c r="AF168" s="1055" t="str">
        <f t="shared" si="81"/>
        <v>.</v>
      </c>
      <c r="AG168" s="258" t="str">
        <f t="shared" si="94"/>
        <v>.</v>
      </c>
      <c r="AH168" s="258" t="str">
        <f t="shared" si="82"/>
        <v>.</v>
      </c>
      <c r="AI168" s="258" t="str">
        <f t="shared" si="95"/>
        <v>.</v>
      </c>
      <c r="AJ168" s="258" t="str">
        <f t="shared" si="96"/>
        <v>.</v>
      </c>
      <c r="AK168" s="258" t="str">
        <f t="shared" si="97"/>
        <v>.</v>
      </c>
      <c r="AL168" s="1056" t="str">
        <f t="shared" si="98"/>
        <v>.</v>
      </c>
      <c r="AM168" s="3"/>
      <c r="AN168" s="1139" t="str">
        <f>IF(X168=".",".",SUM($X168:X168))</f>
        <v>.</v>
      </c>
      <c r="AO168" s="1140" t="str">
        <f>IF(Y168=".",".",SUM($X168:Y168))</f>
        <v>.</v>
      </c>
      <c r="AP168" s="1140" t="str">
        <f>IF(Z168=".",".",SUM($X168:Z168))</f>
        <v>.</v>
      </c>
      <c r="AQ168" s="1140" t="str">
        <f>IF(AA168=".",".",SUM($X168:AA168))</f>
        <v>.</v>
      </c>
      <c r="AR168" s="1140" t="str">
        <f>IF(AB168=".",".",SUM($X168:AB168))</f>
        <v>.</v>
      </c>
      <c r="AS168" s="1140" t="str">
        <f>IF(AC168=".",".",SUM($X168:AC168))</f>
        <v>.</v>
      </c>
      <c r="AT168" s="1141" t="str">
        <f>IF(AD168=".",".",SUM($X168:AD168))</f>
        <v>.</v>
      </c>
      <c r="AU168" s="3"/>
      <c r="AV168" s="1055" t="str">
        <f t="shared" si="106"/>
        <v>.</v>
      </c>
      <c r="AW168" s="258" t="str">
        <f t="shared" si="99"/>
        <v>.</v>
      </c>
      <c r="AX168" s="258" t="str">
        <f t="shared" si="100"/>
        <v>.</v>
      </c>
      <c r="AY168" s="258" t="str">
        <f t="shared" si="101"/>
        <v>.</v>
      </c>
      <c r="AZ168" s="258" t="str">
        <f t="shared" si="102"/>
        <v>.</v>
      </c>
      <c r="BA168" s="258" t="str">
        <f t="shared" si="103"/>
        <v>.</v>
      </c>
      <c r="BB168" s="1056" t="str">
        <f t="shared" si="104"/>
        <v>.</v>
      </c>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row>
    <row r="169" spans="1:91" x14ac:dyDescent="0.2">
      <c r="A169" s="620"/>
      <c r="B169" s="290" t="s">
        <v>697</v>
      </c>
      <c r="C169" s="1022" t="str">
        <f>IF('WS3 - Notional General Income'!C118="","",'WS3 - Notional General Income'!C118)</f>
        <v/>
      </c>
      <c r="D169" s="1006" t="s">
        <v>687</v>
      </c>
      <c r="E169" s="1022"/>
      <c r="F169" s="1022"/>
      <c r="G169" s="1022"/>
      <c r="H169" s="1022"/>
      <c r="I169" s="1022"/>
      <c r="J169" s="1023" t="str">
        <f>IF('WS3 - Notional General Income'!L118=".",".",'WS3 - Notional General Income'!L118/'WS3 - Notional General Income'!D118)</f>
        <v>.</v>
      </c>
      <c r="K169" s="1023" t="str">
        <f>IF('WS4 - Yr 1 YIELD'!L115=".",".",'WS4 - Yr 1 YIELD'!L115/'WS4 - Yr 1 YIELD'!D115)</f>
        <v>.</v>
      </c>
      <c r="L169" s="1024"/>
      <c r="M169" s="1024"/>
      <c r="N169" s="1024"/>
      <c r="O169" s="1024"/>
      <c r="P169" s="1024"/>
      <c r="Q169" s="1024"/>
      <c r="R169" s="76"/>
      <c r="S169" s="3"/>
      <c r="T169" s="1028">
        <f>'WS3 - Notional General Income'!$D118</f>
        <v>0</v>
      </c>
      <c r="U169" s="1029">
        <f>'WS4 - Yr 1 YIELD'!$D115</f>
        <v>0</v>
      </c>
      <c r="V169" s="1035"/>
      <c r="W169" s="3"/>
      <c r="X169" s="1043" t="str">
        <f t="shared" si="105"/>
        <v>.</v>
      </c>
      <c r="Y169" s="1044" t="str">
        <f t="shared" si="88"/>
        <v>.</v>
      </c>
      <c r="Z169" s="1044" t="str">
        <f t="shared" si="89"/>
        <v>.</v>
      </c>
      <c r="AA169" s="1044" t="str">
        <f t="shared" si="90"/>
        <v>.</v>
      </c>
      <c r="AB169" s="1044" t="str">
        <f t="shared" si="91"/>
        <v>.</v>
      </c>
      <c r="AC169" s="1044" t="str">
        <f t="shared" si="92"/>
        <v>.</v>
      </c>
      <c r="AD169" s="1045" t="str">
        <f t="shared" si="93"/>
        <v>.</v>
      </c>
      <c r="AE169" s="3"/>
      <c r="AF169" s="1055" t="str">
        <f t="shared" si="81"/>
        <v>.</v>
      </c>
      <c r="AG169" s="258" t="str">
        <f t="shared" si="94"/>
        <v>.</v>
      </c>
      <c r="AH169" s="258" t="str">
        <f t="shared" si="82"/>
        <v>.</v>
      </c>
      <c r="AI169" s="258" t="str">
        <f t="shared" si="95"/>
        <v>.</v>
      </c>
      <c r="AJ169" s="258" t="str">
        <f t="shared" si="96"/>
        <v>.</v>
      </c>
      <c r="AK169" s="258" t="str">
        <f t="shared" si="97"/>
        <v>.</v>
      </c>
      <c r="AL169" s="1056" t="str">
        <f t="shared" si="98"/>
        <v>.</v>
      </c>
      <c r="AM169" s="3"/>
      <c r="AN169" s="1139" t="str">
        <f>IF(X169=".",".",SUM($X169:X169))</f>
        <v>.</v>
      </c>
      <c r="AO169" s="1140" t="str">
        <f>IF(Y169=".",".",SUM($X169:Y169))</f>
        <v>.</v>
      </c>
      <c r="AP169" s="1140" t="str">
        <f>IF(Z169=".",".",SUM($X169:Z169))</f>
        <v>.</v>
      </c>
      <c r="AQ169" s="1140" t="str">
        <f>IF(AA169=".",".",SUM($X169:AA169))</f>
        <v>.</v>
      </c>
      <c r="AR169" s="1140" t="str">
        <f>IF(AB169=".",".",SUM($X169:AB169))</f>
        <v>.</v>
      </c>
      <c r="AS169" s="1140" t="str">
        <f>IF(AC169=".",".",SUM($X169:AC169))</f>
        <v>.</v>
      </c>
      <c r="AT169" s="1141" t="str">
        <f>IF(AD169=".",".",SUM($X169:AD169))</f>
        <v>.</v>
      </c>
      <c r="AU169" s="3"/>
      <c r="AV169" s="1055" t="str">
        <f t="shared" si="106"/>
        <v>.</v>
      </c>
      <c r="AW169" s="258" t="str">
        <f t="shared" si="99"/>
        <v>.</v>
      </c>
      <c r="AX169" s="258" t="str">
        <f t="shared" si="100"/>
        <v>.</v>
      </c>
      <c r="AY169" s="258" t="str">
        <f t="shared" si="101"/>
        <v>.</v>
      </c>
      <c r="AZ169" s="258" t="str">
        <f t="shared" si="102"/>
        <v>.</v>
      </c>
      <c r="BA169" s="258" t="str">
        <f t="shared" si="103"/>
        <v>.</v>
      </c>
      <c r="BB169" s="1056" t="str">
        <f t="shared" si="104"/>
        <v>.</v>
      </c>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row>
    <row r="170" spans="1:91" x14ac:dyDescent="0.2">
      <c r="A170" s="620"/>
      <c r="B170" s="290" t="s">
        <v>697</v>
      </c>
      <c r="C170" s="1022" t="str">
        <f>IF('WS3 - Notional General Income'!C119="","",'WS3 - Notional General Income'!C119)</f>
        <v/>
      </c>
      <c r="D170" s="1006" t="s">
        <v>687</v>
      </c>
      <c r="E170" s="1022"/>
      <c r="F170" s="1022"/>
      <c r="G170" s="1022"/>
      <c r="H170" s="1022"/>
      <c r="I170" s="1022"/>
      <c r="J170" s="1023" t="str">
        <f>IF('WS3 - Notional General Income'!L119=".",".",'WS3 - Notional General Income'!L119/'WS3 - Notional General Income'!D119)</f>
        <v>.</v>
      </c>
      <c r="K170" s="1023" t="str">
        <f>IF('WS4 - Yr 1 YIELD'!L116=".",".",'WS4 - Yr 1 YIELD'!L116/'WS4 - Yr 1 YIELD'!D116)</f>
        <v>.</v>
      </c>
      <c r="L170" s="1024"/>
      <c r="M170" s="1024"/>
      <c r="N170" s="1024"/>
      <c r="O170" s="1024"/>
      <c r="P170" s="1024"/>
      <c r="Q170" s="1024"/>
      <c r="R170" s="76"/>
      <c r="S170" s="3"/>
      <c r="T170" s="1028">
        <f>'WS3 - Notional General Income'!$D119</f>
        <v>0</v>
      </c>
      <c r="U170" s="1029">
        <f>'WS4 - Yr 1 YIELD'!$D116</f>
        <v>0</v>
      </c>
      <c r="V170" s="1035"/>
      <c r="W170" s="3"/>
      <c r="X170" s="1043" t="str">
        <f t="shared" si="105"/>
        <v>.</v>
      </c>
      <c r="Y170" s="1044" t="str">
        <f t="shared" si="88"/>
        <v>.</v>
      </c>
      <c r="Z170" s="1044" t="str">
        <f t="shared" si="89"/>
        <v>.</v>
      </c>
      <c r="AA170" s="1044" t="str">
        <f t="shared" si="90"/>
        <v>.</v>
      </c>
      <c r="AB170" s="1044" t="str">
        <f t="shared" si="91"/>
        <v>.</v>
      </c>
      <c r="AC170" s="1044" t="str">
        <f t="shared" si="92"/>
        <v>.</v>
      </c>
      <c r="AD170" s="1045" t="str">
        <f t="shared" si="93"/>
        <v>.</v>
      </c>
      <c r="AE170" s="3"/>
      <c r="AF170" s="1055" t="str">
        <f t="shared" si="81"/>
        <v>.</v>
      </c>
      <c r="AG170" s="258" t="str">
        <f t="shared" si="94"/>
        <v>.</v>
      </c>
      <c r="AH170" s="258" t="str">
        <f t="shared" si="82"/>
        <v>.</v>
      </c>
      <c r="AI170" s="258" t="str">
        <f t="shared" si="95"/>
        <v>.</v>
      </c>
      <c r="AJ170" s="258" t="str">
        <f t="shared" si="96"/>
        <v>.</v>
      </c>
      <c r="AK170" s="258" t="str">
        <f t="shared" si="97"/>
        <v>.</v>
      </c>
      <c r="AL170" s="1056" t="str">
        <f t="shared" si="98"/>
        <v>.</v>
      </c>
      <c r="AM170" s="3"/>
      <c r="AN170" s="1139" t="str">
        <f>IF(X170=".",".",SUM($X170:X170))</f>
        <v>.</v>
      </c>
      <c r="AO170" s="1140" t="str">
        <f>IF(Y170=".",".",SUM($X170:Y170))</f>
        <v>.</v>
      </c>
      <c r="AP170" s="1140" t="str">
        <f>IF(Z170=".",".",SUM($X170:Z170))</f>
        <v>.</v>
      </c>
      <c r="AQ170" s="1140" t="str">
        <f>IF(AA170=".",".",SUM($X170:AA170))</f>
        <v>.</v>
      </c>
      <c r="AR170" s="1140" t="str">
        <f>IF(AB170=".",".",SUM($X170:AB170))</f>
        <v>.</v>
      </c>
      <c r="AS170" s="1140" t="str">
        <f>IF(AC170=".",".",SUM($X170:AC170))</f>
        <v>.</v>
      </c>
      <c r="AT170" s="1141" t="str">
        <f>IF(AD170=".",".",SUM($X170:AD170))</f>
        <v>.</v>
      </c>
      <c r="AU170" s="3"/>
      <c r="AV170" s="1055" t="str">
        <f t="shared" si="106"/>
        <v>.</v>
      </c>
      <c r="AW170" s="258" t="str">
        <f t="shared" si="99"/>
        <v>.</v>
      </c>
      <c r="AX170" s="258" t="str">
        <f t="shared" si="100"/>
        <v>.</v>
      </c>
      <c r="AY170" s="258" t="str">
        <f t="shared" si="101"/>
        <v>.</v>
      </c>
      <c r="AZ170" s="258" t="str">
        <f t="shared" si="102"/>
        <v>.</v>
      </c>
      <c r="BA170" s="258" t="str">
        <f t="shared" si="103"/>
        <v>.</v>
      </c>
      <c r="BB170" s="1056" t="str">
        <f t="shared" si="104"/>
        <v>.</v>
      </c>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row>
    <row r="171" spans="1:91" x14ac:dyDescent="0.2">
      <c r="A171" s="620"/>
      <c r="B171" s="290" t="s">
        <v>697</v>
      </c>
      <c r="C171" s="1022" t="str">
        <f>IF('WS3 - Notional General Income'!C120="","",'WS3 - Notional General Income'!C120)</f>
        <v/>
      </c>
      <c r="D171" s="1006" t="s">
        <v>687</v>
      </c>
      <c r="E171" s="1022"/>
      <c r="F171" s="1022"/>
      <c r="G171" s="1022"/>
      <c r="H171" s="1022"/>
      <c r="I171" s="1022"/>
      <c r="J171" s="1023" t="str">
        <f>IF('WS3 - Notional General Income'!L120=".",".",'WS3 - Notional General Income'!L120/'WS3 - Notional General Income'!D120)</f>
        <v>.</v>
      </c>
      <c r="K171" s="1023" t="str">
        <f>IF('WS4 - Yr 1 YIELD'!L117=".",".",'WS4 - Yr 1 YIELD'!L117/'WS4 - Yr 1 YIELD'!D117)</f>
        <v>.</v>
      </c>
      <c r="L171" s="1024"/>
      <c r="M171" s="1024"/>
      <c r="N171" s="1024"/>
      <c r="O171" s="1024"/>
      <c r="P171" s="1024"/>
      <c r="Q171" s="1024"/>
      <c r="R171" s="76"/>
      <c r="S171" s="3"/>
      <c r="T171" s="1028">
        <f>'WS3 - Notional General Income'!$D120</f>
        <v>0</v>
      </c>
      <c r="U171" s="1029">
        <f>'WS4 - Yr 1 YIELD'!$D117</f>
        <v>0</v>
      </c>
      <c r="V171" s="1035"/>
      <c r="W171" s="3"/>
      <c r="X171" s="1043" t="str">
        <f t="shared" si="105"/>
        <v>.</v>
      </c>
      <c r="Y171" s="1044" t="str">
        <f t="shared" si="88"/>
        <v>.</v>
      </c>
      <c r="Z171" s="1044" t="str">
        <f t="shared" si="89"/>
        <v>.</v>
      </c>
      <c r="AA171" s="1044" t="str">
        <f t="shared" si="90"/>
        <v>.</v>
      </c>
      <c r="AB171" s="1044" t="str">
        <f t="shared" si="91"/>
        <v>.</v>
      </c>
      <c r="AC171" s="1044" t="str">
        <f t="shared" si="92"/>
        <v>.</v>
      </c>
      <c r="AD171" s="1045" t="str">
        <f t="shared" si="93"/>
        <v>.</v>
      </c>
      <c r="AE171" s="3"/>
      <c r="AF171" s="1055" t="str">
        <f t="shared" si="81"/>
        <v>.</v>
      </c>
      <c r="AG171" s="258" t="str">
        <f t="shared" si="94"/>
        <v>.</v>
      </c>
      <c r="AH171" s="258" t="str">
        <f t="shared" si="82"/>
        <v>.</v>
      </c>
      <c r="AI171" s="258" t="str">
        <f t="shared" si="95"/>
        <v>.</v>
      </c>
      <c r="AJ171" s="258" t="str">
        <f t="shared" si="96"/>
        <v>.</v>
      </c>
      <c r="AK171" s="258" t="str">
        <f t="shared" si="97"/>
        <v>.</v>
      </c>
      <c r="AL171" s="1056" t="str">
        <f t="shared" si="98"/>
        <v>.</v>
      </c>
      <c r="AM171" s="3"/>
      <c r="AN171" s="1139" t="str">
        <f>IF(X171=".",".",SUM($X171:X171))</f>
        <v>.</v>
      </c>
      <c r="AO171" s="1140" t="str">
        <f>IF(Y171=".",".",SUM($X171:Y171))</f>
        <v>.</v>
      </c>
      <c r="AP171" s="1140" t="str">
        <f>IF(Z171=".",".",SUM($X171:Z171))</f>
        <v>.</v>
      </c>
      <c r="AQ171" s="1140" t="str">
        <f>IF(AA171=".",".",SUM($X171:AA171))</f>
        <v>.</v>
      </c>
      <c r="AR171" s="1140" t="str">
        <f>IF(AB171=".",".",SUM($X171:AB171))</f>
        <v>.</v>
      </c>
      <c r="AS171" s="1140" t="str">
        <f>IF(AC171=".",".",SUM($X171:AC171))</f>
        <v>.</v>
      </c>
      <c r="AT171" s="1141" t="str">
        <f>IF(AD171=".",".",SUM($X171:AD171))</f>
        <v>.</v>
      </c>
      <c r="AU171" s="3"/>
      <c r="AV171" s="1055" t="str">
        <f t="shared" si="106"/>
        <v>.</v>
      </c>
      <c r="AW171" s="258" t="str">
        <f t="shared" si="99"/>
        <v>.</v>
      </c>
      <c r="AX171" s="258" t="str">
        <f t="shared" si="100"/>
        <v>.</v>
      </c>
      <c r="AY171" s="258" t="str">
        <f t="shared" si="101"/>
        <v>.</v>
      </c>
      <c r="AZ171" s="258" t="str">
        <f t="shared" si="102"/>
        <v>.</v>
      </c>
      <c r="BA171" s="258" t="str">
        <f t="shared" si="103"/>
        <v>.</v>
      </c>
      <c r="BB171" s="1056" t="str">
        <f t="shared" si="104"/>
        <v>.</v>
      </c>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row>
    <row r="172" spans="1:91" x14ac:dyDescent="0.2">
      <c r="A172" s="620"/>
      <c r="B172" s="290" t="s">
        <v>697</v>
      </c>
      <c r="C172" s="1022" t="str">
        <f>IF('WS3 - Notional General Income'!C121="","",'WS3 - Notional General Income'!C121)</f>
        <v/>
      </c>
      <c r="D172" s="1006" t="s">
        <v>687</v>
      </c>
      <c r="E172" s="1022"/>
      <c r="F172" s="1022"/>
      <c r="G172" s="1022"/>
      <c r="H172" s="1022"/>
      <c r="I172" s="1022"/>
      <c r="J172" s="1023" t="str">
        <f>IF('WS3 - Notional General Income'!L121=".",".",'WS3 - Notional General Income'!L121/'WS3 - Notional General Income'!D121)</f>
        <v>.</v>
      </c>
      <c r="K172" s="1023" t="str">
        <f>IF('WS4 - Yr 1 YIELD'!L118=".",".",'WS4 - Yr 1 YIELD'!L118/'WS4 - Yr 1 YIELD'!D118)</f>
        <v>.</v>
      </c>
      <c r="L172" s="1024"/>
      <c r="M172" s="1024"/>
      <c r="N172" s="1024"/>
      <c r="O172" s="1024"/>
      <c r="P172" s="1024"/>
      <c r="Q172" s="1024"/>
      <c r="R172" s="76"/>
      <c r="S172" s="3"/>
      <c r="T172" s="1028">
        <f>'WS3 - Notional General Income'!$D121</f>
        <v>0</v>
      </c>
      <c r="U172" s="1029">
        <f>'WS4 - Yr 1 YIELD'!$D118</f>
        <v>0</v>
      </c>
      <c r="V172" s="1035"/>
      <c r="W172" s="3"/>
      <c r="X172" s="1043" t="str">
        <f t="shared" si="105"/>
        <v>.</v>
      </c>
      <c r="Y172" s="1044" t="str">
        <f t="shared" si="88"/>
        <v>.</v>
      </c>
      <c r="Z172" s="1044" t="str">
        <f t="shared" si="89"/>
        <v>.</v>
      </c>
      <c r="AA172" s="1044" t="str">
        <f t="shared" si="90"/>
        <v>.</v>
      </c>
      <c r="AB172" s="1044" t="str">
        <f t="shared" si="91"/>
        <v>.</v>
      </c>
      <c r="AC172" s="1044" t="str">
        <f t="shared" si="92"/>
        <v>.</v>
      </c>
      <c r="AD172" s="1045" t="str">
        <f t="shared" si="93"/>
        <v>.</v>
      </c>
      <c r="AE172" s="3"/>
      <c r="AF172" s="1055" t="str">
        <f t="shared" si="81"/>
        <v>.</v>
      </c>
      <c r="AG172" s="258" t="str">
        <f t="shared" si="94"/>
        <v>.</v>
      </c>
      <c r="AH172" s="258" t="str">
        <f t="shared" si="82"/>
        <v>.</v>
      </c>
      <c r="AI172" s="258" t="str">
        <f t="shared" si="95"/>
        <v>.</v>
      </c>
      <c r="AJ172" s="258" t="str">
        <f t="shared" si="96"/>
        <v>.</v>
      </c>
      <c r="AK172" s="258" t="str">
        <f t="shared" si="97"/>
        <v>.</v>
      </c>
      <c r="AL172" s="1056" t="str">
        <f t="shared" si="98"/>
        <v>.</v>
      </c>
      <c r="AM172" s="3"/>
      <c r="AN172" s="1139" t="str">
        <f>IF(X172=".",".",SUM($X172:X172))</f>
        <v>.</v>
      </c>
      <c r="AO172" s="1140" t="str">
        <f>IF(Y172=".",".",SUM($X172:Y172))</f>
        <v>.</v>
      </c>
      <c r="AP172" s="1140" t="str">
        <f>IF(Z172=".",".",SUM($X172:Z172))</f>
        <v>.</v>
      </c>
      <c r="AQ172" s="1140" t="str">
        <f>IF(AA172=".",".",SUM($X172:AA172))</f>
        <v>.</v>
      </c>
      <c r="AR172" s="1140" t="str">
        <f>IF(AB172=".",".",SUM($X172:AB172))</f>
        <v>.</v>
      </c>
      <c r="AS172" s="1140" t="str">
        <f>IF(AC172=".",".",SUM($X172:AC172))</f>
        <v>.</v>
      </c>
      <c r="AT172" s="1141" t="str">
        <f>IF(AD172=".",".",SUM($X172:AD172))</f>
        <v>.</v>
      </c>
      <c r="AU172" s="3"/>
      <c r="AV172" s="1055" t="str">
        <f t="shared" si="106"/>
        <v>.</v>
      </c>
      <c r="AW172" s="258" t="str">
        <f t="shared" si="99"/>
        <v>.</v>
      </c>
      <c r="AX172" s="258" t="str">
        <f t="shared" si="100"/>
        <v>.</v>
      </c>
      <c r="AY172" s="258" t="str">
        <f t="shared" si="101"/>
        <v>.</v>
      </c>
      <c r="AZ172" s="258" t="str">
        <f t="shared" si="102"/>
        <v>.</v>
      </c>
      <c r="BA172" s="258" t="str">
        <f t="shared" si="103"/>
        <v>.</v>
      </c>
      <c r="BB172" s="1056" t="str">
        <f t="shared" si="104"/>
        <v>.</v>
      </c>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row>
    <row r="173" spans="1:91" x14ac:dyDescent="0.2">
      <c r="A173" s="620"/>
      <c r="B173" s="290" t="s">
        <v>697</v>
      </c>
      <c r="C173" s="1022" t="str">
        <f>IF('WS3 - Notional General Income'!C122="","",'WS3 - Notional General Income'!C122)</f>
        <v/>
      </c>
      <c r="D173" s="1006" t="s">
        <v>687</v>
      </c>
      <c r="E173" s="1022"/>
      <c r="F173" s="1022"/>
      <c r="G173" s="1022"/>
      <c r="H173" s="1022"/>
      <c r="I173" s="1022"/>
      <c r="J173" s="1023" t="str">
        <f>IF('WS3 - Notional General Income'!L122=".",".",'WS3 - Notional General Income'!L122/'WS3 - Notional General Income'!D122)</f>
        <v>.</v>
      </c>
      <c r="K173" s="1023" t="str">
        <f>IF('WS4 - Yr 1 YIELD'!L119=".",".",'WS4 - Yr 1 YIELD'!L119/'WS4 - Yr 1 YIELD'!D119)</f>
        <v>.</v>
      </c>
      <c r="L173" s="1024"/>
      <c r="M173" s="1024"/>
      <c r="N173" s="1024"/>
      <c r="O173" s="1024"/>
      <c r="P173" s="1024"/>
      <c r="Q173" s="1024"/>
      <c r="R173" s="76"/>
      <c r="S173" s="3"/>
      <c r="T173" s="1028">
        <f>'WS3 - Notional General Income'!$D122</f>
        <v>0</v>
      </c>
      <c r="U173" s="1029">
        <f>'WS4 - Yr 1 YIELD'!$D119</f>
        <v>0</v>
      </c>
      <c r="V173" s="1035"/>
      <c r="W173" s="3"/>
      <c r="X173" s="1043" t="str">
        <f t="shared" si="105"/>
        <v>.</v>
      </c>
      <c r="Y173" s="1044" t="str">
        <f t="shared" si="88"/>
        <v>.</v>
      </c>
      <c r="Z173" s="1044" t="str">
        <f t="shared" si="89"/>
        <v>.</v>
      </c>
      <c r="AA173" s="1044" t="str">
        <f t="shared" si="90"/>
        <v>.</v>
      </c>
      <c r="AB173" s="1044" t="str">
        <f t="shared" si="91"/>
        <v>.</v>
      </c>
      <c r="AC173" s="1044" t="str">
        <f t="shared" si="92"/>
        <v>.</v>
      </c>
      <c r="AD173" s="1045" t="str">
        <f t="shared" si="93"/>
        <v>.</v>
      </c>
      <c r="AE173" s="3"/>
      <c r="AF173" s="1055" t="str">
        <f t="shared" si="81"/>
        <v>.</v>
      </c>
      <c r="AG173" s="258" t="str">
        <f t="shared" si="94"/>
        <v>.</v>
      </c>
      <c r="AH173" s="258" t="str">
        <f t="shared" si="82"/>
        <v>.</v>
      </c>
      <c r="AI173" s="258" t="str">
        <f t="shared" si="95"/>
        <v>.</v>
      </c>
      <c r="AJ173" s="258" t="str">
        <f t="shared" si="96"/>
        <v>.</v>
      </c>
      <c r="AK173" s="258" t="str">
        <f t="shared" si="97"/>
        <v>.</v>
      </c>
      <c r="AL173" s="1056" t="str">
        <f t="shared" si="98"/>
        <v>.</v>
      </c>
      <c r="AM173" s="3"/>
      <c r="AN173" s="1139" t="str">
        <f>IF(X173=".",".",SUM($X173:X173))</f>
        <v>.</v>
      </c>
      <c r="AO173" s="1140" t="str">
        <f>IF(Y173=".",".",SUM($X173:Y173))</f>
        <v>.</v>
      </c>
      <c r="AP173" s="1140" t="str">
        <f>IF(Z173=".",".",SUM($X173:Z173))</f>
        <v>.</v>
      </c>
      <c r="AQ173" s="1140" t="str">
        <f>IF(AA173=".",".",SUM($X173:AA173))</f>
        <v>.</v>
      </c>
      <c r="AR173" s="1140" t="str">
        <f>IF(AB173=".",".",SUM($X173:AB173))</f>
        <v>.</v>
      </c>
      <c r="AS173" s="1140" t="str">
        <f>IF(AC173=".",".",SUM($X173:AC173))</f>
        <v>.</v>
      </c>
      <c r="AT173" s="1141" t="str">
        <f>IF(AD173=".",".",SUM($X173:AD173))</f>
        <v>.</v>
      </c>
      <c r="AU173" s="3"/>
      <c r="AV173" s="1055" t="str">
        <f t="shared" si="106"/>
        <v>.</v>
      </c>
      <c r="AW173" s="258" t="str">
        <f t="shared" si="99"/>
        <v>.</v>
      </c>
      <c r="AX173" s="258" t="str">
        <f t="shared" si="100"/>
        <v>.</v>
      </c>
      <c r="AY173" s="258" t="str">
        <f t="shared" si="101"/>
        <v>.</v>
      </c>
      <c r="AZ173" s="258" t="str">
        <f t="shared" si="102"/>
        <v>.</v>
      </c>
      <c r="BA173" s="258" t="str">
        <f t="shared" si="103"/>
        <v>.</v>
      </c>
      <c r="BB173" s="1056" t="str">
        <f t="shared" si="104"/>
        <v>.</v>
      </c>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row>
    <row r="174" spans="1:91" x14ac:dyDescent="0.2">
      <c r="A174" s="620"/>
      <c r="B174" s="290" t="s">
        <v>697</v>
      </c>
      <c r="C174" s="1022" t="str">
        <f>IF('WS3 - Notional General Income'!C123="","",'WS3 - Notional General Income'!C123)</f>
        <v/>
      </c>
      <c r="D174" s="1006" t="s">
        <v>687</v>
      </c>
      <c r="E174" s="1022"/>
      <c r="F174" s="1022"/>
      <c r="G174" s="1022"/>
      <c r="H174" s="1022"/>
      <c r="I174" s="1022"/>
      <c r="J174" s="1023" t="str">
        <f>IF('WS3 - Notional General Income'!L123=".",".",'WS3 - Notional General Income'!L123/'WS3 - Notional General Income'!D123)</f>
        <v>.</v>
      </c>
      <c r="K174" s="1023" t="str">
        <f>IF('WS4 - Yr 1 YIELD'!L120=".",".",'WS4 - Yr 1 YIELD'!L120/'WS4 - Yr 1 YIELD'!D120)</f>
        <v>.</v>
      </c>
      <c r="L174" s="1024"/>
      <c r="M174" s="1024"/>
      <c r="N174" s="1024"/>
      <c r="O174" s="1024"/>
      <c r="P174" s="1024"/>
      <c r="Q174" s="1024"/>
      <c r="R174" s="76"/>
      <c r="S174" s="3"/>
      <c r="T174" s="1028">
        <f>'WS3 - Notional General Income'!$D123</f>
        <v>0</v>
      </c>
      <c r="U174" s="1029">
        <f>'WS4 - Yr 1 YIELD'!$D120</f>
        <v>0</v>
      </c>
      <c r="V174" s="1035"/>
      <c r="W174" s="3"/>
      <c r="X174" s="1043" t="str">
        <f t="shared" si="105"/>
        <v>.</v>
      </c>
      <c r="Y174" s="1044" t="str">
        <f t="shared" si="88"/>
        <v>.</v>
      </c>
      <c r="Z174" s="1044" t="str">
        <f t="shared" si="89"/>
        <v>.</v>
      </c>
      <c r="AA174" s="1044" t="str">
        <f t="shared" si="90"/>
        <v>.</v>
      </c>
      <c r="AB174" s="1044" t="str">
        <f t="shared" si="91"/>
        <v>.</v>
      </c>
      <c r="AC174" s="1044" t="str">
        <f t="shared" si="92"/>
        <v>.</v>
      </c>
      <c r="AD174" s="1045" t="str">
        <f t="shared" si="93"/>
        <v>.</v>
      </c>
      <c r="AE174" s="3"/>
      <c r="AF174" s="1055" t="str">
        <f t="shared" si="81"/>
        <v>.</v>
      </c>
      <c r="AG174" s="258" t="str">
        <f t="shared" si="94"/>
        <v>.</v>
      </c>
      <c r="AH174" s="258" t="str">
        <f t="shared" si="82"/>
        <v>.</v>
      </c>
      <c r="AI174" s="258" t="str">
        <f t="shared" si="95"/>
        <v>.</v>
      </c>
      <c r="AJ174" s="258" t="str">
        <f t="shared" si="96"/>
        <v>.</v>
      </c>
      <c r="AK174" s="258" t="str">
        <f t="shared" si="97"/>
        <v>.</v>
      </c>
      <c r="AL174" s="1056" t="str">
        <f t="shared" si="98"/>
        <v>.</v>
      </c>
      <c r="AM174" s="3"/>
      <c r="AN174" s="1139" t="str">
        <f>IF(X174=".",".",SUM($X174:X174))</f>
        <v>.</v>
      </c>
      <c r="AO174" s="1140" t="str">
        <f>IF(Y174=".",".",SUM($X174:Y174))</f>
        <v>.</v>
      </c>
      <c r="AP174" s="1140" t="str">
        <f>IF(Z174=".",".",SUM($X174:Z174))</f>
        <v>.</v>
      </c>
      <c r="AQ174" s="1140" t="str">
        <f>IF(AA174=".",".",SUM($X174:AA174))</f>
        <v>.</v>
      </c>
      <c r="AR174" s="1140" t="str">
        <f>IF(AB174=".",".",SUM($X174:AB174))</f>
        <v>.</v>
      </c>
      <c r="AS174" s="1140" t="str">
        <f>IF(AC174=".",".",SUM($X174:AC174))</f>
        <v>.</v>
      </c>
      <c r="AT174" s="1141" t="str">
        <f>IF(AD174=".",".",SUM($X174:AD174))</f>
        <v>.</v>
      </c>
      <c r="AU174" s="3"/>
      <c r="AV174" s="1055" t="str">
        <f t="shared" si="106"/>
        <v>.</v>
      </c>
      <c r="AW174" s="258" t="str">
        <f t="shared" si="99"/>
        <v>.</v>
      </c>
      <c r="AX174" s="258" t="str">
        <f t="shared" si="100"/>
        <v>.</v>
      </c>
      <c r="AY174" s="258" t="str">
        <f t="shared" si="101"/>
        <v>.</v>
      </c>
      <c r="AZ174" s="258" t="str">
        <f t="shared" si="102"/>
        <v>.</v>
      </c>
      <c r="BA174" s="258" t="str">
        <f t="shared" si="103"/>
        <v>.</v>
      </c>
      <c r="BB174" s="1056" t="str">
        <f t="shared" si="104"/>
        <v>.</v>
      </c>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row>
    <row r="175" spans="1:91" x14ac:dyDescent="0.2">
      <c r="A175" s="620"/>
      <c r="B175" s="290" t="s">
        <v>697</v>
      </c>
      <c r="C175" s="1022" t="str">
        <f>IF('WS3 - Notional General Income'!C124="","",'WS3 - Notional General Income'!C124)</f>
        <v/>
      </c>
      <c r="D175" s="1006" t="s">
        <v>687</v>
      </c>
      <c r="E175" s="1022"/>
      <c r="F175" s="1022"/>
      <c r="G175" s="1022"/>
      <c r="H175" s="1022"/>
      <c r="I175" s="1022"/>
      <c r="J175" s="1023" t="str">
        <f>IF('WS3 - Notional General Income'!L124=".",".",'WS3 - Notional General Income'!L124/'WS3 - Notional General Income'!D124)</f>
        <v>.</v>
      </c>
      <c r="K175" s="1023" t="str">
        <f>IF('WS4 - Yr 1 YIELD'!L121=".",".",'WS4 - Yr 1 YIELD'!L121/'WS4 - Yr 1 YIELD'!D121)</f>
        <v>.</v>
      </c>
      <c r="L175" s="1024"/>
      <c r="M175" s="1024"/>
      <c r="N175" s="1024"/>
      <c r="O175" s="1024"/>
      <c r="P175" s="1024"/>
      <c r="Q175" s="1024"/>
      <c r="R175" s="76"/>
      <c r="S175" s="3"/>
      <c r="T175" s="1028">
        <f>'WS3 - Notional General Income'!$D124</f>
        <v>0</v>
      </c>
      <c r="U175" s="1029">
        <f>'WS4 - Yr 1 YIELD'!$D121</f>
        <v>0</v>
      </c>
      <c r="V175" s="1035"/>
      <c r="W175" s="3"/>
      <c r="X175" s="1043" t="str">
        <f t="shared" si="105"/>
        <v>.</v>
      </c>
      <c r="Y175" s="1044" t="str">
        <f t="shared" si="88"/>
        <v>.</v>
      </c>
      <c r="Z175" s="1044" t="str">
        <f t="shared" si="89"/>
        <v>.</v>
      </c>
      <c r="AA175" s="1044" t="str">
        <f t="shared" si="90"/>
        <v>.</v>
      </c>
      <c r="AB175" s="1044" t="str">
        <f t="shared" si="91"/>
        <v>.</v>
      </c>
      <c r="AC175" s="1044" t="str">
        <f t="shared" si="92"/>
        <v>.</v>
      </c>
      <c r="AD175" s="1045" t="str">
        <f t="shared" si="93"/>
        <v>.</v>
      </c>
      <c r="AE175" s="3"/>
      <c r="AF175" s="1055" t="str">
        <f t="shared" si="81"/>
        <v>.</v>
      </c>
      <c r="AG175" s="258" t="str">
        <f t="shared" si="94"/>
        <v>.</v>
      </c>
      <c r="AH175" s="258" t="str">
        <f t="shared" si="82"/>
        <v>.</v>
      </c>
      <c r="AI175" s="258" t="str">
        <f t="shared" si="95"/>
        <v>.</v>
      </c>
      <c r="AJ175" s="258" t="str">
        <f t="shared" si="96"/>
        <v>.</v>
      </c>
      <c r="AK175" s="258" t="str">
        <f t="shared" si="97"/>
        <v>.</v>
      </c>
      <c r="AL175" s="1056" t="str">
        <f t="shared" si="98"/>
        <v>.</v>
      </c>
      <c r="AM175" s="3"/>
      <c r="AN175" s="1139" t="str">
        <f>IF(X175=".",".",SUM($X175:X175))</f>
        <v>.</v>
      </c>
      <c r="AO175" s="1140" t="str">
        <f>IF(Y175=".",".",SUM($X175:Y175))</f>
        <v>.</v>
      </c>
      <c r="AP175" s="1140" t="str">
        <f>IF(Z175=".",".",SUM($X175:Z175))</f>
        <v>.</v>
      </c>
      <c r="AQ175" s="1140" t="str">
        <f>IF(AA175=".",".",SUM($X175:AA175))</f>
        <v>.</v>
      </c>
      <c r="AR175" s="1140" t="str">
        <f>IF(AB175=".",".",SUM($X175:AB175))</f>
        <v>.</v>
      </c>
      <c r="AS175" s="1140" t="str">
        <f>IF(AC175=".",".",SUM($X175:AC175))</f>
        <v>.</v>
      </c>
      <c r="AT175" s="1141" t="str">
        <f>IF(AD175=".",".",SUM($X175:AD175))</f>
        <v>.</v>
      </c>
      <c r="AU175" s="3"/>
      <c r="AV175" s="1055" t="str">
        <f t="shared" si="106"/>
        <v>.</v>
      </c>
      <c r="AW175" s="258" t="str">
        <f t="shared" si="99"/>
        <v>.</v>
      </c>
      <c r="AX175" s="258" t="str">
        <f t="shared" si="100"/>
        <v>.</v>
      </c>
      <c r="AY175" s="258" t="str">
        <f t="shared" si="101"/>
        <v>.</v>
      </c>
      <c r="AZ175" s="258" t="str">
        <f t="shared" si="102"/>
        <v>.</v>
      </c>
      <c r="BA175" s="258" t="str">
        <f t="shared" si="103"/>
        <v>.</v>
      </c>
      <c r="BB175" s="1056" t="str">
        <f t="shared" si="104"/>
        <v>.</v>
      </c>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row>
    <row r="176" spans="1:91" x14ac:dyDescent="0.2">
      <c r="A176" s="620"/>
      <c r="B176" s="290" t="s">
        <v>697</v>
      </c>
      <c r="C176" s="1022" t="str">
        <f>IF('WS3 - Notional General Income'!C125="","",'WS3 - Notional General Income'!C125)</f>
        <v/>
      </c>
      <c r="D176" s="1022" t="s">
        <v>687</v>
      </c>
      <c r="E176" s="1022"/>
      <c r="F176" s="1022"/>
      <c r="G176" s="1022"/>
      <c r="H176" s="1022"/>
      <c r="I176" s="1022"/>
      <c r="J176" s="1023" t="str">
        <f>IF('WS3 - Notional General Income'!L125=".",".",'WS3 - Notional General Income'!L125/'WS3 - Notional General Income'!D125)</f>
        <v>.</v>
      </c>
      <c r="K176" s="1023" t="str">
        <f>IF('WS4 - Yr 1 YIELD'!L122=".",".",'WS4 - Yr 1 YIELD'!L122/'WS4 - Yr 1 YIELD'!D122)</f>
        <v>.</v>
      </c>
      <c r="L176" s="1024"/>
      <c r="M176" s="1024"/>
      <c r="N176" s="1024"/>
      <c r="O176" s="1024"/>
      <c r="P176" s="1024"/>
      <c r="Q176" s="1024"/>
      <c r="R176" s="76"/>
      <c r="S176" s="3"/>
      <c r="T176" s="1028">
        <f>'WS3 - Notional General Income'!$D125</f>
        <v>0</v>
      </c>
      <c r="U176" s="1029">
        <f>'WS4 - Yr 1 YIELD'!$D122</f>
        <v>0</v>
      </c>
      <c r="V176" s="1035"/>
      <c r="W176" s="3"/>
      <c r="X176" s="1043" t="str">
        <f t="shared" si="105"/>
        <v>.</v>
      </c>
      <c r="Y176" s="1044" t="str">
        <f t="shared" si="88"/>
        <v>.</v>
      </c>
      <c r="Z176" s="1044" t="str">
        <f t="shared" si="89"/>
        <v>.</v>
      </c>
      <c r="AA176" s="1044" t="str">
        <f t="shared" si="90"/>
        <v>.</v>
      </c>
      <c r="AB176" s="1044" t="str">
        <f t="shared" si="91"/>
        <v>.</v>
      </c>
      <c r="AC176" s="1044" t="str">
        <f t="shared" si="92"/>
        <v>.</v>
      </c>
      <c r="AD176" s="1045" t="str">
        <f t="shared" si="93"/>
        <v>.</v>
      </c>
      <c r="AE176" s="3"/>
      <c r="AF176" s="1055" t="str">
        <f t="shared" si="81"/>
        <v>.</v>
      </c>
      <c r="AG176" s="258" t="str">
        <f t="shared" si="94"/>
        <v>.</v>
      </c>
      <c r="AH176" s="258" t="str">
        <f t="shared" si="82"/>
        <v>.</v>
      </c>
      <c r="AI176" s="258" t="str">
        <f t="shared" si="95"/>
        <v>.</v>
      </c>
      <c r="AJ176" s="258" t="str">
        <f t="shared" si="96"/>
        <v>.</v>
      </c>
      <c r="AK176" s="258" t="str">
        <f t="shared" si="97"/>
        <v>.</v>
      </c>
      <c r="AL176" s="1056" t="str">
        <f t="shared" si="98"/>
        <v>.</v>
      </c>
      <c r="AM176" s="3"/>
      <c r="AN176" s="1139" t="str">
        <f>IF(X176=".",".",SUM($X176:X176))</f>
        <v>.</v>
      </c>
      <c r="AO176" s="1140" t="str">
        <f>IF(Y176=".",".",SUM($X176:Y176))</f>
        <v>.</v>
      </c>
      <c r="AP176" s="1140" t="str">
        <f>IF(Z176=".",".",SUM($X176:Z176))</f>
        <v>.</v>
      </c>
      <c r="AQ176" s="1140" t="str">
        <f>IF(AA176=".",".",SUM($X176:AA176))</f>
        <v>.</v>
      </c>
      <c r="AR176" s="1140" t="str">
        <f>IF(AB176=".",".",SUM($X176:AB176))</f>
        <v>.</v>
      </c>
      <c r="AS176" s="1140" t="str">
        <f>IF(AC176=".",".",SUM($X176:AC176))</f>
        <v>.</v>
      </c>
      <c r="AT176" s="1141" t="str">
        <f>IF(AD176=".",".",SUM($X176:AD176))</f>
        <v>.</v>
      </c>
      <c r="AU176" s="3"/>
      <c r="AV176" s="1055" t="str">
        <f t="shared" si="106"/>
        <v>.</v>
      </c>
      <c r="AW176" s="258" t="str">
        <f t="shared" si="99"/>
        <v>.</v>
      </c>
      <c r="AX176" s="258" t="str">
        <f t="shared" si="100"/>
        <v>.</v>
      </c>
      <c r="AY176" s="258" t="str">
        <f t="shared" si="101"/>
        <v>.</v>
      </c>
      <c r="AZ176" s="258" t="str">
        <f t="shared" si="102"/>
        <v>.</v>
      </c>
      <c r="BA176" s="258" t="str">
        <f t="shared" si="103"/>
        <v>.</v>
      </c>
      <c r="BB176" s="1056" t="str">
        <f t="shared" si="104"/>
        <v>.</v>
      </c>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row>
    <row r="177" spans="1:91" s="6" customFormat="1" x14ac:dyDescent="0.2">
      <c r="A177" s="620"/>
      <c r="B177" s="744"/>
      <c r="C177" s="744" t="s">
        <v>698</v>
      </c>
      <c r="D177" s="744"/>
      <c r="E177" s="744"/>
      <c r="F177" s="744"/>
      <c r="G177" s="744"/>
      <c r="H177" s="744"/>
      <c r="I177" s="744"/>
      <c r="J177" s="1026">
        <f>IF($T177=0,".",SUMPRODUCT(J132:J176,$T132:$T176)/$T177)</f>
        <v>7374.7837216628586</v>
      </c>
      <c r="K177" s="1025">
        <f t="shared" ref="K177:Q177" si="107">IF($U177=0,".",SUMPRODUCT(K132:K176,$U132:$U176)/$U177)</f>
        <v>8481.0012799122869</v>
      </c>
      <c r="L177" s="1025">
        <f t="shared" si="107"/>
        <v>8735.4313183096565</v>
      </c>
      <c r="M177" s="1025">
        <f t="shared" si="107"/>
        <v>8997.4942578589453</v>
      </c>
      <c r="N177" s="1025">
        <f t="shared" si="107"/>
        <v>9267.4190855947145</v>
      </c>
      <c r="O177" s="1025">
        <f t="shared" si="107"/>
        <v>9545.4416581625555</v>
      </c>
      <c r="P177" s="1025">
        <f t="shared" si="107"/>
        <v>9831.8049079074335</v>
      </c>
      <c r="Q177" s="1025">
        <f t="shared" si="107"/>
        <v>10126.759055144657</v>
      </c>
      <c r="R177" s="76"/>
      <c r="S177" s="2"/>
      <c r="T177" s="1032">
        <f>SUM(T132:T156)</f>
        <v>3029</v>
      </c>
      <c r="U177" s="1033">
        <f>SUM(U132:U156)</f>
        <v>3029</v>
      </c>
      <c r="V177" s="1036"/>
      <c r="W177" s="2"/>
      <c r="X177" s="1063">
        <f t="shared" si="105"/>
        <v>1106.2175582494283</v>
      </c>
      <c r="Y177" s="1064">
        <f t="shared" si="88"/>
        <v>254.43003839736957</v>
      </c>
      <c r="Z177" s="1064">
        <f t="shared" ref="Z177:AD177" si="108">IF(M177=".",".",M177-L177)</f>
        <v>262.06293954928879</v>
      </c>
      <c r="AA177" s="1064">
        <f t="shared" si="108"/>
        <v>269.92482773576921</v>
      </c>
      <c r="AB177" s="1064">
        <f t="shared" si="108"/>
        <v>278.02257256784105</v>
      </c>
      <c r="AC177" s="1064">
        <f t="shared" si="108"/>
        <v>286.36324974487798</v>
      </c>
      <c r="AD177" s="1065">
        <f t="shared" si="108"/>
        <v>294.95414723722388</v>
      </c>
      <c r="AE177" s="2"/>
      <c r="AF177" s="1136">
        <f t="shared" si="81"/>
        <v>0.14999999999999991</v>
      </c>
      <c r="AG177" s="1137">
        <f t="shared" si="94"/>
        <v>3.0000000000000027E-2</v>
      </c>
      <c r="AH177" s="1137">
        <f t="shared" si="82"/>
        <v>2.9999999999999805E-2</v>
      </c>
      <c r="AI177" s="1137">
        <f t="shared" si="95"/>
        <v>3.0000000000000027E-2</v>
      </c>
      <c r="AJ177" s="1137">
        <f t="shared" si="96"/>
        <v>3.0000000000000027E-2</v>
      </c>
      <c r="AK177" s="1137">
        <f t="shared" si="97"/>
        <v>3.0000000000000027E-2</v>
      </c>
      <c r="AL177" s="1138">
        <f t="shared" si="98"/>
        <v>3.0000000000000027E-2</v>
      </c>
      <c r="AM177" s="2"/>
      <c r="AN177" s="1142">
        <f>IF(X177=".",".",SUM($X177:X177))</f>
        <v>1106.2175582494283</v>
      </c>
      <c r="AO177" s="1143">
        <f>IF(Y177=".",".",SUM($X177:Y177))</f>
        <v>1360.6475966467979</v>
      </c>
      <c r="AP177" s="1143">
        <f>IF(Z177=".",".",SUM($X177:Z177))</f>
        <v>1622.7105361960867</v>
      </c>
      <c r="AQ177" s="1143">
        <f>IF(AA177=".",".",SUM($X177:AA177))</f>
        <v>1892.6353639318559</v>
      </c>
      <c r="AR177" s="1143">
        <f>IF(AB177=".",".",SUM($X177:AB177))</f>
        <v>2170.6579364996969</v>
      </c>
      <c r="AS177" s="1143">
        <f>IF(AC177=".",".",SUM($X177:AC177))</f>
        <v>2457.0211862445749</v>
      </c>
      <c r="AT177" s="1144">
        <f>IF(AD177=".",".",SUM($X177:AD177))</f>
        <v>2751.9753334817988</v>
      </c>
      <c r="AU177" s="3"/>
      <c r="AV177" s="1134">
        <f t="shared" si="106"/>
        <v>0.14999999999999991</v>
      </c>
      <c r="AW177" s="398">
        <f t="shared" si="99"/>
        <v>0.18450000000000011</v>
      </c>
      <c r="AX177" s="398">
        <f t="shared" si="100"/>
        <v>0.22003499999999998</v>
      </c>
      <c r="AY177" s="398">
        <f t="shared" si="101"/>
        <v>0.25663605</v>
      </c>
      <c r="AZ177" s="398">
        <f t="shared" si="102"/>
        <v>0.29433513150000001</v>
      </c>
      <c r="BA177" s="398">
        <f t="shared" si="103"/>
        <v>0.33316518544500018</v>
      </c>
      <c r="BB177" s="1135">
        <f t="shared" si="104"/>
        <v>0.37316014100835027</v>
      </c>
      <c r="BC177" s="2"/>
      <c r="BD177" s="2"/>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row>
    <row r="178" spans="1:91" x14ac:dyDescent="0.2">
      <c r="A178" s="620"/>
      <c r="B178" s="290" t="s">
        <v>583</v>
      </c>
      <c r="C178" s="1022" t="str">
        <f>IF('WS3 - Notional General Income'!C68="","",'WS3 - Notional General Income'!C68)</f>
        <v>Farmland</v>
      </c>
      <c r="D178" s="1006" t="s">
        <v>687</v>
      </c>
      <c r="E178" s="1022"/>
      <c r="F178" s="1022"/>
      <c r="G178" s="1022"/>
      <c r="H178" s="1022"/>
      <c r="I178" s="1022"/>
      <c r="J178" s="1023" t="str">
        <f>IF('WS3 - Notional General Income'!L68=".",".",'WS3 - Notional General Income'!L68/'WS3 - Notional General Income'!D68)</f>
        <v>.</v>
      </c>
      <c r="K178" s="1023" t="str">
        <f>IF('WS4 - Yr 1 YIELD'!L65=".",".",'WS4 - Yr 1 YIELD'!L65/'WS4 - Yr 1 YIELD'!D65)</f>
        <v>.</v>
      </c>
      <c r="L178" s="1024"/>
      <c r="M178" s="1024"/>
      <c r="N178" s="1024"/>
      <c r="O178" s="1024"/>
      <c r="P178" s="1024"/>
      <c r="Q178" s="1024"/>
      <c r="R178" s="76"/>
      <c r="S178" s="3"/>
      <c r="T178" s="1028">
        <f>'WS3 - Notional General Income'!$D68</f>
        <v>0</v>
      </c>
      <c r="U178" s="1029">
        <f>'WS4 - Yr 1 YIELD'!$D65</f>
        <v>0</v>
      </c>
      <c r="V178" s="1035"/>
      <c r="W178" s="3"/>
      <c r="X178" s="1043" t="str">
        <f t="shared" si="105"/>
        <v>.</v>
      </c>
      <c r="Y178" s="1044" t="str">
        <f t="shared" si="88"/>
        <v>.</v>
      </c>
      <c r="Z178" s="1044" t="str">
        <f t="shared" si="89"/>
        <v>.</v>
      </c>
      <c r="AA178" s="1044" t="str">
        <f t="shared" si="90"/>
        <v>.</v>
      </c>
      <c r="AB178" s="1044" t="str">
        <f t="shared" si="91"/>
        <v>.</v>
      </c>
      <c r="AC178" s="1044" t="str">
        <f t="shared" si="92"/>
        <v>.</v>
      </c>
      <c r="AD178" s="1045" t="str">
        <f t="shared" si="93"/>
        <v>.</v>
      </c>
      <c r="AE178" s="3"/>
      <c r="AF178" s="1055" t="str">
        <f t="shared" ref="AF178:AF219" si="109">IFERROR(K178/J178-1,".")</f>
        <v>.</v>
      </c>
      <c r="AG178" s="258" t="str">
        <f t="shared" ref="AG178:AG219" si="110">IFERROR(L178/K178-1,".")</f>
        <v>.</v>
      </c>
      <c r="AH178" s="258" t="str">
        <f t="shared" ref="AH178:AH219" si="111">IFERROR(M178/L178-1,".")</f>
        <v>.</v>
      </c>
      <c r="AI178" s="258" t="str">
        <f t="shared" si="95"/>
        <v>.</v>
      </c>
      <c r="AJ178" s="258" t="str">
        <f t="shared" si="96"/>
        <v>.</v>
      </c>
      <c r="AK178" s="258" t="str">
        <f t="shared" si="97"/>
        <v>.</v>
      </c>
      <c r="AL178" s="1056" t="str">
        <f t="shared" si="98"/>
        <v>.</v>
      </c>
      <c r="AM178" s="3"/>
      <c r="AN178" s="1139" t="str">
        <f>IF(X178=".",".",SUM($X178:X178))</f>
        <v>.</v>
      </c>
      <c r="AO178" s="1140" t="str">
        <f>IF(Y178=".",".",SUM($X178:Y178))</f>
        <v>.</v>
      </c>
      <c r="AP178" s="1140" t="str">
        <f>IF(Z178=".",".",SUM($X178:Z178))</f>
        <v>.</v>
      </c>
      <c r="AQ178" s="1140" t="str">
        <f>IF(AA178=".",".",SUM($X178:AA178))</f>
        <v>.</v>
      </c>
      <c r="AR178" s="1140" t="str">
        <f>IF(AB178=".",".",SUM($X178:AB178))</f>
        <v>.</v>
      </c>
      <c r="AS178" s="1140" t="str">
        <f>IF(AC178=".",".",SUM($X178:AC178))</f>
        <v>.</v>
      </c>
      <c r="AT178" s="1141" t="str">
        <f>IF(AD178=".",".",SUM($X178:AD178))</f>
        <v>.</v>
      </c>
      <c r="AU178" s="3"/>
      <c r="AV178" s="1055" t="str">
        <f t="shared" si="106"/>
        <v>.</v>
      </c>
      <c r="AW178" s="258" t="str">
        <f t="shared" si="99"/>
        <v>.</v>
      </c>
      <c r="AX178" s="258" t="str">
        <f t="shared" si="100"/>
        <v>.</v>
      </c>
      <c r="AY178" s="258" t="str">
        <f t="shared" si="101"/>
        <v>.</v>
      </c>
      <c r="AZ178" s="258" t="str">
        <f t="shared" si="102"/>
        <v>.</v>
      </c>
      <c r="BA178" s="258" t="str">
        <f t="shared" si="103"/>
        <v>.</v>
      </c>
      <c r="BB178" s="1056" t="str">
        <f t="shared" si="104"/>
        <v>.</v>
      </c>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row>
    <row r="179" spans="1:91" x14ac:dyDescent="0.2">
      <c r="A179" s="620"/>
      <c r="B179" s="290" t="s">
        <v>583</v>
      </c>
      <c r="C179" s="1022" t="str">
        <f>IF('WS3 - Notional General Income'!C69="","",'WS3 - Notional General Income'!C69)</f>
        <v/>
      </c>
      <c r="D179" s="1006" t="s">
        <v>687</v>
      </c>
      <c r="E179" s="1022"/>
      <c r="F179" s="1022"/>
      <c r="G179" s="1022"/>
      <c r="H179" s="1022"/>
      <c r="I179" s="1022"/>
      <c r="J179" s="1023" t="str">
        <f>IF('WS3 - Notional General Income'!L69=".",".",'WS3 - Notional General Income'!L69/'WS3 - Notional General Income'!D69)</f>
        <v>.</v>
      </c>
      <c r="K179" s="1023" t="str">
        <f>IF('WS4 - Yr 1 YIELD'!L66=".",".",'WS4 - Yr 1 YIELD'!L66/'WS4 - Yr 1 YIELD'!D66)</f>
        <v>.</v>
      </c>
      <c r="L179" s="1024"/>
      <c r="M179" s="1024"/>
      <c r="N179" s="1024"/>
      <c r="O179" s="1024"/>
      <c r="P179" s="1024"/>
      <c r="Q179" s="1024"/>
      <c r="R179" s="76"/>
      <c r="S179" s="3"/>
      <c r="T179" s="1028">
        <f>'WS3 - Notional General Income'!$D69</f>
        <v>0</v>
      </c>
      <c r="U179" s="1029">
        <f>'WS4 - Yr 1 YIELD'!$D66</f>
        <v>0</v>
      </c>
      <c r="V179" s="1035"/>
      <c r="W179" s="3"/>
      <c r="X179" s="1043" t="str">
        <f t="shared" si="105"/>
        <v>.</v>
      </c>
      <c r="Y179" s="1044" t="str">
        <f t="shared" si="88"/>
        <v>.</v>
      </c>
      <c r="Z179" s="1044" t="str">
        <f t="shared" si="89"/>
        <v>.</v>
      </c>
      <c r="AA179" s="1044" t="str">
        <f t="shared" si="90"/>
        <v>.</v>
      </c>
      <c r="AB179" s="1044" t="str">
        <f t="shared" si="91"/>
        <v>.</v>
      </c>
      <c r="AC179" s="1044" t="str">
        <f t="shared" si="92"/>
        <v>.</v>
      </c>
      <c r="AD179" s="1045" t="str">
        <f t="shared" si="93"/>
        <v>.</v>
      </c>
      <c r="AE179" s="3"/>
      <c r="AF179" s="1055" t="str">
        <f t="shared" si="109"/>
        <v>.</v>
      </c>
      <c r="AG179" s="258" t="str">
        <f t="shared" si="110"/>
        <v>.</v>
      </c>
      <c r="AH179" s="258" t="str">
        <f t="shared" si="111"/>
        <v>.</v>
      </c>
      <c r="AI179" s="258" t="str">
        <f t="shared" si="95"/>
        <v>.</v>
      </c>
      <c r="AJ179" s="258" t="str">
        <f t="shared" si="96"/>
        <v>.</v>
      </c>
      <c r="AK179" s="258" t="str">
        <f t="shared" si="97"/>
        <v>.</v>
      </c>
      <c r="AL179" s="1056" t="str">
        <f t="shared" si="98"/>
        <v>.</v>
      </c>
      <c r="AM179" s="3"/>
      <c r="AN179" s="1139" t="str">
        <f>IF(X179=".",".",SUM($X179:X179))</f>
        <v>.</v>
      </c>
      <c r="AO179" s="1140" t="str">
        <f>IF(Y179=".",".",SUM($X179:Y179))</f>
        <v>.</v>
      </c>
      <c r="AP179" s="1140" t="str">
        <f>IF(Z179=".",".",SUM($X179:Z179))</f>
        <v>.</v>
      </c>
      <c r="AQ179" s="1140" t="str">
        <f>IF(AA179=".",".",SUM($X179:AA179))</f>
        <v>.</v>
      </c>
      <c r="AR179" s="1140" t="str">
        <f>IF(AB179=".",".",SUM($X179:AB179))</f>
        <v>.</v>
      </c>
      <c r="AS179" s="1140" t="str">
        <f>IF(AC179=".",".",SUM($X179:AC179))</f>
        <v>.</v>
      </c>
      <c r="AT179" s="1141" t="str">
        <f>IF(AD179=".",".",SUM($X179:AD179))</f>
        <v>.</v>
      </c>
      <c r="AU179" s="3"/>
      <c r="AV179" s="1055" t="str">
        <f t="shared" si="106"/>
        <v>.</v>
      </c>
      <c r="AW179" s="258" t="str">
        <f t="shared" si="99"/>
        <v>.</v>
      </c>
      <c r="AX179" s="258" t="str">
        <f t="shared" si="100"/>
        <v>.</v>
      </c>
      <c r="AY179" s="258" t="str">
        <f t="shared" si="101"/>
        <v>.</v>
      </c>
      <c r="AZ179" s="258" t="str">
        <f t="shared" si="102"/>
        <v>.</v>
      </c>
      <c r="BA179" s="258" t="str">
        <f t="shared" si="103"/>
        <v>.</v>
      </c>
      <c r="BB179" s="1056" t="str">
        <f t="shared" si="104"/>
        <v>.</v>
      </c>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row>
    <row r="180" spans="1:91" x14ac:dyDescent="0.2">
      <c r="A180" s="620"/>
      <c r="B180" s="290" t="s">
        <v>583</v>
      </c>
      <c r="C180" s="1022" t="str">
        <f>IF('WS3 - Notional General Income'!C70="","",'WS3 - Notional General Income'!C70)</f>
        <v/>
      </c>
      <c r="D180" s="1006" t="s">
        <v>687</v>
      </c>
      <c r="E180" s="1022"/>
      <c r="F180" s="1022"/>
      <c r="G180" s="1022"/>
      <c r="H180" s="1022"/>
      <c r="I180" s="1022"/>
      <c r="J180" s="1023" t="str">
        <f>IF('WS3 - Notional General Income'!L70=".",".",'WS3 - Notional General Income'!L70/'WS3 - Notional General Income'!D70)</f>
        <v>.</v>
      </c>
      <c r="K180" s="1023" t="str">
        <f>IF('WS4 - Yr 1 YIELD'!L67=".",".",'WS4 - Yr 1 YIELD'!L67/'WS4 - Yr 1 YIELD'!D67)</f>
        <v>.</v>
      </c>
      <c r="L180" s="1024"/>
      <c r="M180" s="1024"/>
      <c r="N180" s="1024"/>
      <c r="O180" s="1024"/>
      <c r="P180" s="1024"/>
      <c r="Q180" s="1024"/>
      <c r="R180" s="76"/>
      <c r="S180" s="3"/>
      <c r="T180" s="1028">
        <f>'WS3 - Notional General Income'!$D70</f>
        <v>0</v>
      </c>
      <c r="U180" s="1029">
        <f>'WS4 - Yr 1 YIELD'!$D67</f>
        <v>0</v>
      </c>
      <c r="V180" s="1035"/>
      <c r="W180" s="3"/>
      <c r="X180" s="1043" t="str">
        <f t="shared" si="105"/>
        <v>.</v>
      </c>
      <c r="Y180" s="1044" t="str">
        <f t="shared" si="88"/>
        <v>.</v>
      </c>
      <c r="Z180" s="1044" t="str">
        <f t="shared" si="89"/>
        <v>.</v>
      </c>
      <c r="AA180" s="1044" t="str">
        <f t="shared" si="90"/>
        <v>.</v>
      </c>
      <c r="AB180" s="1044" t="str">
        <f t="shared" si="91"/>
        <v>.</v>
      </c>
      <c r="AC180" s="1044" t="str">
        <f t="shared" si="92"/>
        <v>.</v>
      </c>
      <c r="AD180" s="1045" t="str">
        <f t="shared" si="93"/>
        <v>.</v>
      </c>
      <c r="AE180" s="3"/>
      <c r="AF180" s="1055" t="str">
        <f t="shared" si="109"/>
        <v>.</v>
      </c>
      <c r="AG180" s="258" t="str">
        <f t="shared" si="110"/>
        <v>.</v>
      </c>
      <c r="AH180" s="258" t="str">
        <f t="shared" si="111"/>
        <v>.</v>
      </c>
      <c r="AI180" s="258" t="str">
        <f t="shared" si="95"/>
        <v>.</v>
      </c>
      <c r="AJ180" s="258" t="str">
        <f t="shared" si="96"/>
        <v>.</v>
      </c>
      <c r="AK180" s="258" t="str">
        <f t="shared" si="97"/>
        <v>.</v>
      </c>
      <c r="AL180" s="1056" t="str">
        <f t="shared" si="98"/>
        <v>.</v>
      </c>
      <c r="AM180" s="3"/>
      <c r="AN180" s="1139" t="str">
        <f>IF(X180=".",".",SUM($X180:X180))</f>
        <v>.</v>
      </c>
      <c r="AO180" s="1140" t="str">
        <f>IF(Y180=".",".",SUM($X180:Y180))</f>
        <v>.</v>
      </c>
      <c r="AP180" s="1140" t="str">
        <f>IF(Z180=".",".",SUM($X180:Z180))</f>
        <v>.</v>
      </c>
      <c r="AQ180" s="1140" t="str">
        <f>IF(AA180=".",".",SUM($X180:AA180))</f>
        <v>.</v>
      </c>
      <c r="AR180" s="1140" t="str">
        <f>IF(AB180=".",".",SUM($X180:AB180))</f>
        <v>.</v>
      </c>
      <c r="AS180" s="1140" t="str">
        <f>IF(AC180=".",".",SUM($X180:AC180))</f>
        <v>.</v>
      </c>
      <c r="AT180" s="1141" t="str">
        <f>IF(AD180=".",".",SUM($X180:AD180))</f>
        <v>.</v>
      </c>
      <c r="AU180" s="3"/>
      <c r="AV180" s="1055" t="str">
        <f t="shared" si="106"/>
        <v>.</v>
      </c>
      <c r="AW180" s="258" t="str">
        <f t="shared" si="99"/>
        <v>.</v>
      </c>
      <c r="AX180" s="258" t="str">
        <f t="shared" si="100"/>
        <v>.</v>
      </c>
      <c r="AY180" s="258" t="str">
        <f t="shared" si="101"/>
        <v>.</v>
      </c>
      <c r="AZ180" s="258" t="str">
        <f t="shared" si="102"/>
        <v>.</v>
      </c>
      <c r="BA180" s="258" t="str">
        <f t="shared" si="103"/>
        <v>.</v>
      </c>
      <c r="BB180" s="1056" t="str">
        <f t="shared" si="104"/>
        <v>.</v>
      </c>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row>
    <row r="181" spans="1:91" x14ac:dyDescent="0.2">
      <c r="A181" s="620"/>
      <c r="B181" s="290" t="s">
        <v>583</v>
      </c>
      <c r="C181" s="1022" t="str">
        <f>IF('WS3 - Notional General Income'!C71="","",'WS3 - Notional General Income'!C71)</f>
        <v/>
      </c>
      <c r="D181" s="1006" t="s">
        <v>687</v>
      </c>
      <c r="E181" s="1022"/>
      <c r="F181" s="1022"/>
      <c r="G181" s="1022"/>
      <c r="H181" s="1022"/>
      <c r="I181" s="1022"/>
      <c r="J181" s="1023" t="str">
        <f>IF('WS3 - Notional General Income'!L71=".",".",'WS3 - Notional General Income'!L71/'WS3 - Notional General Income'!D71)</f>
        <v>.</v>
      </c>
      <c r="K181" s="1023" t="str">
        <f>IF('WS4 - Yr 1 YIELD'!L68=".",".",'WS4 - Yr 1 YIELD'!L68/'WS4 - Yr 1 YIELD'!D68)</f>
        <v>.</v>
      </c>
      <c r="L181" s="1024"/>
      <c r="M181" s="1024"/>
      <c r="N181" s="1024"/>
      <c r="O181" s="1024"/>
      <c r="P181" s="1024"/>
      <c r="Q181" s="1024"/>
      <c r="R181" s="76"/>
      <c r="S181" s="3"/>
      <c r="T181" s="1028">
        <f>'WS3 - Notional General Income'!$D71</f>
        <v>0</v>
      </c>
      <c r="U181" s="1029">
        <f>'WS4 - Yr 1 YIELD'!$D68</f>
        <v>0</v>
      </c>
      <c r="V181" s="1035"/>
      <c r="W181" s="3"/>
      <c r="X181" s="1043" t="str">
        <f t="shared" si="105"/>
        <v>.</v>
      </c>
      <c r="Y181" s="1044" t="str">
        <f t="shared" si="88"/>
        <v>.</v>
      </c>
      <c r="Z181" s="1044" t="str">
        <f t="shared" si="89"/>
        <v>.</v>
      </c>
      <c r="AA181" s="1044" t="str">
        <f t="shared" si="90"/>
        <v>.</v>
      </c>
      <c r="AB181" s="1044" t="str">
        <f t="shared" si="91"/>
        <v>.</v>
      </c>
      <c r="AC181" s="1044" t="str">
        <f t="shared" si="92"/>
        <v>.</v>
      </c>
      <c r="AD181" s="1045" t="str">
        <f t="shared" si="93"/>
        <v>.</v>
      </c>
      <c r="AE181" s="3"/>
      <c r="AF181" s="1055" t="str">
        <f t="shared" si="109"/>
        <v>.</v>
      </c>
      <c r="AG181" s="258" t="str">
        <f t="shared" si="110"/>
        <v>.</v>
      </c>
      <c r="AH181" s="258" t="str">
        <f t="shared" si="111"/>
        <v>.</v>
      </c>
      <c r="AI181" s="258" t="str">
        <f t="shared" ref="AI181:AI219" si="112">IFERROR(N181/M181-1,".")</f>
        <v>.</v>
      </c>
      <c r="AJ181" s="258" t="str">
        <f t="shared" ref="AJ181:AJ219" si="113">IFERROR(O181/N181-1,".")</f>
        <v>.</v>
      </c>
      <c r="AK181" s="258" t="str">
        <f t="shared" ref="AK181:AK219" si="114">IFERROR(P181/O181-1,".")</f>
        <v>.</v>
      </c>
      <c r="AL181" s="1056" t="str">
        <f t="shared" si="98"/>
        <v>.</v>
      </c>
      <c r="AM181" s="3"/>
      <c r="AN181" s="1139" t="str">
        <f>IF(X181=".",".",SUM($X181:X181))</f>
        <v>.</v>
      </c>
      <c r="AO181" s="1140" t="str">
        <f>IF(Y181=".",".",SUM($X181:Y181))</f>
        <v>.</v>
      </c>
      <c r="AP181" s="1140" t="str">
        <f>IF(Z181=".",".",SUM($X181:Z181))</f>
        <v>.</v>
      </c>
      <c r="AQ181" s="1140" t="str">
        <f>IF(AA181=".",".",SUM($X181:AA181))</f>
        <v>.</v>
      </c>
      <c r="AR181" s="1140" t="str">
        <f>IF(AB181=".",".",SUM($X181:AB181))</f>
        <v>.</v>
      </c>
      <c r="AS181" s="1140" t="str">
        <f>IF(AC181=".",".",SUM($X181:AC181))</f>
        <v>.</v>
      </c>
      <c r="AT181" s="1141" t="str">
        <f>IF(AD181=".",".",SUM($X181:AD181))</f>
        <v>.</v>
      </c>
      <c r="AU181" s="3"/>
      <c r="AV181" s="1055" t="str">
        <f t="shared" si="106"/>
        <v>.</v>
      </c>
      <c r="AW181" s="258" t="str">
        <f t="shared" si="99"/>
        <v>.</v>
      </c>
      <c r="AX181" s="258" t="str">
        <f t="shared" si="100"/>
        <v>.</v>
      </c>
      <c r="AY181" s="258" t="str">
        <f t="shared" si="101"/>
        <v>.</v>
      </c>
      <c r="AZ181" s="258" t="str">
        <f t="shared" si="102"/>
        <v>.</v>
      </c>
      <c r="BA181" s="258" t="str">
        <f t="shared" si="103"/>
        <v>.</v>
      </c>
      <c r="BB181" s="1056" t="str">
        <f t="shared" si="104"/>
        <v>.</v>
      </c>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row>
    <row r="182" spans="1:91" x14ac:dyDescent="0.2">
      <c r="A182" s="620"/>
      <c r="B182" s="290" t="s">
        <v>583</v>
      </c>
      <c r="C182" s="1022" t="str">
        <f>IF('WS3 - Notional General Income'!C72="","",'WS3 - Notional General Income'!C72)</f>
        <v/>
      </c>
      <c r="D182" s="1006" t="s">
        <v>687</v>
      </c>
      <c r="E182" s="1022"/>
      <c r="F182" s="1022"/>
      <c r="G182" s="1022"/>
      <c r="H182" s="1022"/>
      <c r="I182" s="1022"/>
      <c r="J182" s="1023" t="str">
        <f>IF('WS3 - Notional General Income'!L72=".",".",'WS3 - Notional General Income'!L72/'WS3 - Notional General Income'!D72)</f>
        <v>.</v>
      </c>
      <c r="K182" s="1023" t="str">
        <f>IF('WS4 - Yr 1 YIELD'!L69=".",".",'WS4 - Yr 1 YIELD'!L69/'WS4 - Yr 1 YIELD'!D69)</f>
        <v>.</v>
      </c>
      <c r="L182" s="1024"/>
      <c r="M182" s="1024"/>
      <c r="N182" s="1024"/>
      <c r="O182" s="1024"/>
      <c r="P182" s="1024"/>
      <c r="Q182" s="1024"/>
      <c r="R182" s="76"/>
      <c r="S182" s="3"/>
      <c r="T182" s="1028">
        <f>'WS3 - Notional General Income'!$D72</f>
        <v>0</v>
      </c>
      <c r="U182" s="1029">
        <f>'WS4 - Yr 1 YIELD'!$D69</f>
        <v>0</v>
      </c>
      <c r="V182" s="1035"/>
      <c r="W182" s="3"/>
      <c r="X182" s="1043" t="str">
        <f t="shared" si="105"/>
        <v>.</v>
      </c>
      <c r="Y182" s="1044" t="str">
        <f t="shared" si="88"/>
        <v>.</v>
      </c>
      <c r="Z182" s="1044" t="str">
        <f t="shared" si="89"/>
        <v>.</v>
      </c>
      <c r="AA182" s="1044" t="str">
        <f t="shared" si="90"/>
        <v>.</v>
      </c>
      <c r="AB182" s="1044" t="str">
        <f t="shared" si="91"/>
        <v>.</v>
      </c>
      <c r="AC182" s="1044" t="str">
        <f t="shared" si="92"/>
        <v>.</v>
      </c>
      <c r="AD182" s="1045" t="str">
        <f t="shared" si="93"/>
        <v>.</v>
      </c>
      <c r="AE182" s="3"/>
      <c r="AF182" s="1055" t="str">
        <f t="shared" si="109"/>
        <v>.</v>
      </c>
      <c r="AG182" s="258" t="str">
        <f t="shared" si="110"/>
        <v>.</v>
      </c>
      <c r="AH182" s="258" t="str">
        <f t="shared" si="111"/>
        <v>.</v>
      </c>
      <c r="AI182" s="258" t="str">
        <f t="shared" si="112"/>
        <v>.</v>
      </c>
      <c r="AJ182" s="258" t="str">
        <f t="shared" si="113"/>
        <v>.</v>
      </c>
      <c r="AK182" s="258" t="str">
        <f t="shared" si="114"/>
        <v>.</v>
      </c>
      <c r="AL182" s="1056" t="str">
        <f t="shared" si="98"/>
        <v>.</v>
      </c>
      <c r="AM182" s="3"/>
      <c r="AN182" s="1139" t="str">
        <f>IF(X182=".",".",SUM($X182:X182))</f>
        <v>.</v>
      </c>
      <c r="AO182" s="1140" t="str">
        <f>IF(Y182=".",".",SUM($X182:Y182))</f>
        <v>.</v>
      </c>
      <c r="AP182" s="1140" t="str">
        <f>IF(Z182=".",".",SUM($X182:Z182))</f>
        <v>.</v>
      </c>
      <c r="AQ182" s="1140" t="str">
        <f>IF(AA182=".",".",SUM($X182:AA182))</f>
        <v>.</v>
      </c>
      <c r="AR182" s="1140" t="str">
        <f>IF(AB182=".",".",SUM($X182:AB182))</f>
        <v>.</v>
      </c>
      <c r="AS182" s="1140" t="str">
        <f>IF(AC182=".",".",SUM($X182:AC182))</f>
        <v>.</v>
      </c>
      <c r="AT182" s="1141" t="str">
        <f>IF(AD182=".",".",SUM($X182:AD182))</f>
        <v>.</v>
      </c>
      <c r="AU182" s="3"/>
      <c r="AV182" s="1055" t="str">
        <f t="shared" si="106"/>
        <v>.</v>
      </c>
      <c r="AW182" s="258" t="str">
        <f t="shared" si="99"/>
        <v>.</v>
      </c>
      <c r="AX182" s="258" t="str">
        <f t="shared" si="100"/>
        <v>.</v>
      </c>
      <c r="AY182" s="258" t="str">
        <f t="shared" si="101"/>
        <v>.</v>
      </c>
      <c r="AZ182" s="258" t="str">
        <f t="shared" si="102"/>
        <v>.</v>
      </c>
      <c r="BA182" s="258" t="str">
        <f t="shared" si="103"/>
        <v>.</v>
      </c>
      <c r="BB182" s="1056" t="str">
        <f t="shared" si="104"/>
        <v>.</v>
      </c>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row>
    <row r="183" spans="1:91" x14ac:dyDescent="0.2">
      <c r="A183" s="620"/>
      <c r="B183" s="290" t="s">
        <v>583</v>
      </c>
      <c r="C183" s="1022" t="str">
        <f>IF('WS3 - Notional General Income'!C73="","",'WS3 - Notional General Income'!C73)</f>
        <v/>
      </c>
      <c r="D183" s="1006" t="s">
        <v>687</v>
      </c>
      <c r="E183" s="1022"/>
      <c r="F183" s="1022"/>
      <c r="G183" s="1022"/>
      <c r="H183" s="1022"/>
      <c r="I183" s="1022"/>
      <c r="J183" s="1023" t="str">
        <f>IF('WS3 - Notional General Income'!L73=".",".",'WS3 - Notional General Income'!L73/'WS3 - Notional General Income'!D73)</f>
        <v>.</v>
      </c>
      <c r="K183" s="1023" t="str">
        <f>IF('WS4 - Yr 1 YIELD'!L70=".",".",'WS4 - Yr 1 YIELD'!L70/'WS4 - Yr 1 YIELD'!D70)</f>
        <v>.</v>
      </c>
      <c r="L183" s="1024"/>
      <c r="M183" s="1024"/>
      <c r="N183" s="1024"/>
      <c r="O183" s="1024"/>
      <c r="P183" s="1024"/>
      <c r="Q183" s="1024"/>
      <c r="R183" s="76"/>
      <c r="S183" s="3"/>
      <c r="T183" s="1028">
        <f>'WS3 - Notional General Income'!$D73</f>
        <v>0</v>
      </c>
      <c r="U183" s="1029">
        <f>'WS4 - Yr 1 YIELD'!$D70</f>
        <v>0</v>
      </c>
      <c r="V183" s="1035"/>
      <c r="W183" s="3"/>
      <c r="X183" s="1043" t="str">
        <f t="shared" si="105"/>
        <v>.</v>
      </c>
      <c r="Y183" s="1044" t="str">
        <f t="shared" si="88"/>
        <v>.</v>
      </c>
      <c r="Z183" s="1044" t="str">
        <f t="shared" si="89"/>
        <v>.</v>
      </c>
      <c r="AA183" s="1044" t="str">
        <f t="shared" si="90"/>
        <v>.</v>
      </c>
      <c r="AB183" s="1044" t="str">
        <f t="shared" si="91"/>
        <v>.</v>
      </c>
      <c r="AC183" s="1044" t="str">
        <f t="shared" si="92"/>
        <v>.</v>
      </c>
      <c r="AD183" s="1045" t="str">
        <f t="shared" si="93"/>
        <v>.</v>
      </c>
      <c r="AE183" s="3"/>
      <c r="AF183" s="1055" t="str">
        <f t="shared" si="109"/>
        <v>.</v>
      </c>
      <c r="AG183" s="258" t="str">
        <f t="shared" si="110"/>
        <v>.</v>
      </c>
      <c r="AH183" s="258" t="str">
        <f t="shared" si="111"/>
        <v>.</v>
      </c>
      <c r="AI183" s="258" t="str">
        <f t="shared" si="112"/>
        <v>.</v>
      </c>
      <c r="AJ183" s="258" t="str">
        <f t="shared" si="113"/>
        <v>.</v>
      </c>
      <c r="AK183" s="258" t="str">
        <f t="shared" si="114"/>
        <v>.</v>
      </c>
      <c r="AL183" s="1056" t="str">
        <f t="shared" si="98"/>
        <v>.</v>
      </c>
      <c r="AM183" s="3"/>
      <c r="AN183" s="1139" t="str">
        <f>IF(X183=".",".",SUM($X183:X183))</f>
        <v>.</v>
      </c>
      <c r="AO183" s="1140" t="str">
        <f>IF(Y183=".",".",SUM($X183:Y183))</f>
        <v>.</v>
      </c>
      <c r="AP183" s="1140" t="str">
        <f>IF(Z183=".",".",SUM($X183:Z183))</f>
        <v>.</v>
      </c>
      <c r="AQ183" s="1140" t="str">
        <f>IF(AA183=".",".",SUM($X183:AA183))</f>
        <v>.</v>
      </c>
      <c r="AR183" s="1140" t="str">
        <f>IF(AB183=".",".",SUM($X183:AB183))</f>
        <v>.</v>
      </c>
      <c r="AS183" s="1140" t="str">
        <f>IF(AC183=".",".",SUM($X183:AC183))</f>
        <v>.</v>
      </c>
      <c r="AT183" s="1141" t="str">
        <f>IF(AD183=".",".",SUM($X183:AD183))</f>
        <v>.</v>
      </c>
      <c r="AU183" s="3"/>
      <c r="AV183" s="1055" t="str">
        <f t="shared" si="106"/>
        <v>.</v>
      </c>
      <c r="AW183" s="258" t="str">
        <f t="shared" si="99"/>
        <v>.</v>
      </c>
      <c r="AX183" s="258" t="str">
        <f t="shared" si="100"/>
        <v>.</v>
      </c>
      <c r="AY183" s="258" t="str">
        <f t="shared" si="101"/>
        <v>.</v>
      </c>
      <c r="AZ183" s="258" t="str">
        <f t="shared" si="102"/>
        <v>.</v>
      </c>
      <c r="BA183" s="258" t="str">
        <f t="shared" si="103"/>
        <v>.</v>
      </c>
      <c r="BB183" s="1056" t="str">
        <f t="shared" si="104"/>
        <v>.</v>
      </c>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row>
    <row r="184" spans="1:91" x14ac:dyDescent="0.2">
      <c r="A184" s="620"/>
      <c r="B184" s="290" t="s">
        <v>583</v>
      </c>
      <c r="C184" s="1022" t="str">
        <f>IF('WS3 - Notional General Income'!C74="","",'WS3 - Notional General Income'!C74)</f>
        <v/>
      </c>
      <c r="D184" s="1006" t="s">
        <v>687</v>
      </c>
      <c r="E184" s="1022"/>
      <c r="F184" s="1022"/>
      <c r="G184" s="1022"/>
      <c r="H184" s="1022"/>
      <c r="I184" s="1022"/>
      <c r="J184" s="1023" t="str">
        <f>IF('WS3 - Notional General Income'!L74=".",".",'WS3 - Notional General Income'!L74/'WS3 - Notional General Income'!D74)</f>
        <v>.</v>
      </c>
      <c r="K184" s="1023" t="str">
        <f>IF('WS4 - Yr 1 YIELD'!L71=".",".",'WS4 - Yr 1 YIELD'!L71/'WS4 - Yr 1 YIELD'!D71)</f>
        <v>.</v>
      </c>
      <c r="L184" s="1024"/>
      <c r="M184" s="1024"/>
      <c r="N184" s="1024"/>
      <c r="O184" s="1024"/>
      <c r="P184" s="1024"/>
      <c r="Q184" s="1024"/>
      <c r="R184" s="76"/>
      <c r="S184" s="3"/>
      <c r="T184" s="1028">
        <f>'WS3 - Notional General Income'!$D74</f>
        <v>0</v>
      </c>
      <c r="U184" s="1029">
        <f>'WS4 - Yr 1 YIELD'!$D71</f>
        <v>0</v>
      </c>
      <c r="V184" s="1035"/>
      <c r="W184" s="3"/>
      <c r="X184" s="1043" t="str">
        <f t="shared" si="105"/>
        <v>.</v>
      </c>
      <c r="Y184" s="1044" t="str">
        <f t="shared" si="88"/>
        <v>.</v>
      </c>
      <c r="Z184" s="1044" t="str">
        <f t="shared" si="89"/>
        <v>.</v>
      </c>
      <c r="AA184" s="1044" t="str">
        <f t="shared" si="90"/>
        <v>.</v>
      </c>
      <c r="AB184" s="1044" t="str">
        <f t="shared" si="91"/>
        <v>.</v>
      </c>
      <c r="AC184" s="1044" t="str">
        <f t="shared" si="92"/>
        <v>.</v>
      </c>
      <c r="AD184" s="1045" t="str">
        <f t="shared" si="93"/>
        <v>.</v>
      </c>
      <c r="AE184" s="3"/>
      <c r="AF184" s="1055" t="str">
        <f t="shared" si="109"/>
        <v>.</v>
      </c>
      <c r="AG184" s="258" t="str">
        <f t="shared" si="110"/>
        <v>.</v>
      </c>
      <c r="AH184" s="258" t="str">
        <f t="shared" si="111"/>
        <v>.</v>
      </c>
      <c r="AI184" s="258" t="str">
        <f t="shared" si="112"/>
        <v>.</v>
      </c>
      <c r="AJ184" s="258" t="str">
        <f t="shared" si="113"/>
        <v>.</v>
      </c>
      <c r="AK184" s="258" t="str">
        <f t="shared" si="114"/>
        <v>.</v>
      </c>
      <c r="AL184" s="1056" t="str">
        <f t="shared" si="98"/>
        <v>.</v>
      </c>
      <c r="AM184" s="3"/>
      <c r="AN184" s="1139" t="str">
        <f>IF(X184=".",".",SUM($X184:X184))</f>
        <v>.</v>
      </c>
      <c r="AO184" s="1140" t="str">
        <f>IF(Y184=".",".",SUM($X184:Y184))</f>
        <v>.</v>
      </c>
      <c r="AP184" s="1140" t="str">
        <f>IF(Z184=".",".",SUM($X184:Z184))</f>
        <v>.</v>
      </c>
      <c r="AQ184" s="1140" t="str">
        <f>IF(AA184=".",".",SUM($X184:AA184))</f>
        <v>.</v>
      </c>
      <c r="AR184" s="1140" t="str">
        <f>IF(AB184=".",".",SUM($X184:AB184))</f>
        <v>.</v>
      </c>
      <c r="AS184" s="1140" t="str">
        <f>IF(AC184=".",".",SUM($X184:AC184))</f>
        <v>.</v>
      </c>
      <c r="AT184" s="1141" t="str">
        <f>IF(AD184=".",".",SUM($X184:AD184))</f>
        <v>.</v>
      </c>
      <c r="AU184" s="3"/>
      <c r="AV184" s="1055" t="str">
        <f t="shared" si="106"/>
        <v>.</v>
      </c>
      <c r="AW184" s="258" t="str">
        <f t="shared" si="99"/>
        <v>.</v>
      </c>
      <c r="AX184" s="258" t="str">
        <f t="shared" si="100"/>
        <v>.</v>
      </c>
      <c r="AY184" s="258" t="str">
        <f t="shared" si="101"/>
        <v>.</v>
      </c>
      <c r="AZ184" s="258" t="str">
        <f t="shared" si="102"/>
        <v>.</v>
      </c>
      <c r="BA184" s="258" t="str">
        <f t="shared" si="103"/>
        <v>.</v>
      </c>
      <c r="BB184" s="1056" t="str">
        <f t="shared" si="104"/>
        <v>.</v>
      </c>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row>
    <row r="185" spans="1:91" x14ac:dyDescent="0.2">
      <c r="A185" s="620"/>
      <c r="B185" s="290" t="s">
        <v>583</v>
      </c>
      <c r="C185" s="1022" t="str">
        <f>IF('WS3 - Notional General Income'!C75="","",'WS3 - Notional General Income'!C75)</f>
        <v/>
      </c>
      <c r="D185" s="1006" t="s">
        <v>687</v>
      </c>
      <c r="E185" s="1022"/>
      <c r="F185" s="1022"/>
      <c r="G185" s="1022"/>
      <c r="H185" s="1022"/>
      <c r="I185" s="1022"/>
      <c r="J185" s="1023" t="str">
        <f>IF('WS3 - Notional General Income'!L75=".",".",'WS3 - Notional General Income'!L75/'WS3 - Notional General Income'!D75)</f>
        <v>.</v>
      </c>
      <c r="K185" s="1023" t="str">
        <f>IF('WS4 - Yr 1 YIELD'!L72=".",".",'WS4 - Yr 1 YIELD'!L72/'WS4 - Yr 1 YIELD'!D72)</f>
        <v>.</v>
      </c>
      <c r="L185" s="1024"/>
      <c r="M185" s="1024"/>
      <c r="N185" s="1024"/>
      <c r="O185" s="1024"/>
      <c r="P185" s="1024"/>
      <c r="Q185" s="1024"/>
      <c r="R185" s="76"/>
      <c r="S185" s="3"/>
      <c r="T185" s="1028">
        <f>'WS3 - Notional General Income'!$D75</f>
        <v>0</v>
      </c>
      <c r="U185" s="1029">
        <f>'WS4 - Yr 1 YIELD'!$D72</f>
        <v>0</v>
      </c>
      <c r="V185" s="1035"/>
      <c r="W185" s="3"/>
      <c r="X185" s="1043" t="str">
        <f t="shared" si="105"/>
        <v>.</v>
      </c>
      <c r="Y185" s="1044" t="str">
        <f t="shared" si="88"/>
        <v>.</v>
      </c>
      <c r="Z185" s="1044" t="str">
        <f t="shared" si="89"/>
        <v>.</v>
      </c>
      <c r="AA185" s="1044" t="str">
        <f t="shared" si="90"/>
        <v>.</v>
      </c>
      <c r="AB185" s="1044" t="str">
        <f t="shared" si="91"/>
        <v>.</v>
      </c>
      <c r="AC185" s="1044" t="str">
        <f t="shared" si="92"/>
        <v>.</v>
      </c>
      <c r="AD185" s="1045" t="str">
        <f t="shared" si="93"/>
        <v>.</v>
      </c>
      <c r="AE185" s="3"/>
      <c r="AF185" s="1055" t="str">
        <f t="shared" si="109"/>
        <v>.</v>
      </c>
      <c r="AG185" s="258" t="str">
        <f t="shared" si="110"/>
        <v>.</v>
      </c>
      <c r="AH185" s="258" t="str">
        <f t="shared" si="111"/>
        <v>.</v>
      </c>
      <c r="AI185" s="258" t="str">
        <f t="shared" si="112"/>
        <v>.</v>
      </c>
      <c r="AJ185" s="258" t="str">
        <f t="shared" si="113"/>
        <v>.</v>
      </c>
      <c r="AK185" s="258" t="str">
        <f t="shared" si="114"/>
        <v>.</v>
      </c>
      <c r="AL185" s="1056" t="str">
        <f t="shared" si="98"/>
        <v>.</v>
      </c>
      <c r="AM185" s="3"/>
      <c r="AN185" s="1139" t="str">
        <f>IF(X185=".",".",SUM($X185:X185))</f>
        <v>.</v>
      </c>
      <c r="AO185" s="1140" t="str">
        <f>IF(Y185=".",".",SUM($X185:Y185))</f>
        <v>.</v>
      </c>
      <c r="AP185" s="1140" t="str">
        <f>IF(Z185=".",".",SUM($X185:Z185))</f>
        <v>.</v>
      </c>
      <c r="AQ185" s="1140" t="str">
        <f>IF(AA185=".",".",SUM($X185:AA185))</f>
        <v>.</v>
      </c>
      <c r="AR185" s="1140" t="str">
        <f>IF(AB185=".",".",SUM($X185:AB185))</f>
        <v>.</v>
      </c>
      <c r="AS185" s="1140" t="str">
        <f>IF(AC185=".",".",SUM($X185:AC185))</f>
        <v>.</v>
      </c>
      <c r="AT185" s="1141" t="str">
        <f>IF(AD185=".",".",SUM($X185:AD185))</f>
        <v>.</v>
      </c>
      <c r="AU185" s="3"/>
      <c r="AV185" s="1055" t="str">
        <f t="shared" si="106"/>
        <v>.</v>
      </c>
      <c r="AW185" s="258" t="str">
        <f t="shared" si="99"/>
        <v>.</v>
      </c>
      <c r="AX185" s="258" t="str">
        <f t="shared" si="100"/>
        <v>.</v>
      </c>
      <c r="AY185" s="258" t="str">
        <f t="shared" si="101"/>
        <v>.</v>
      </c>
      <c r="AZ185" s="258" t="str">
        <f t="shared" si="102"/>
        <v>.</v>
      </c>
      <c r="BA185" s="258" t="str">
        <f t="shared" si="103"/>
        <v>.</v>
      </c>
      <c r="BB185" s="1056" t="str">
        <f t="shared" si="104"/>
        <v>.</v>
      </c>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row>
    <row r="186" spans="1:91" x14ac:dyDescent="0.2">
      <c r="A186" s="620"/>
      <c r="B186" s="290" t="s">
        <v>583</v>
      </c>
      <c r="C186" s="1022" t="str">
        <f>IF('WS3 - Notional General Income'!C76="","",'WS3 - Notional General Income'!C76)</f>
        <v/>
      </c>
      <c r="D186" s="1006" t="s">
        <v>687</v>
      </c>
      <c r="E186" s="1022"/>
      <c r="F186" s="1022"/>
      <c r="G186" s="1022"/>
      <c r="H186" s="1022"/>
      <c r="I186" s="1022"/>
      <c r="J186" s="1023" t="str">
        <f>IF('WS3 - Notional General Income'!L76=".",".",'WS3 - Notional General Income'!L76/'WS3 - Notional General Income'!D76)</f>
        <v>.</v>
      </c>
      <c r="K186" s="1023" t="str">
        <f>IF('WS4 - Yr 1 YIELD'!L73=".",".",'WS4 - Yr 1 YIELD'!L73/'WS4 - Yr 1 YIELD'!D73)</f>
        <v>.</v>
      </c>
      <c r="L186" s="1024"/>
      <c r="M186" s="1024"/>
      <c r="N186" s="1024"/>
      <c r="O186" s="1024"/>
      <c r="P186" s="1024"/>
      <c r="Q186" s="1024"/>
      <c r="R186" s="76"/>
      <c r="S186" s="3"/>
      <c r="T186" s="1028">
        <f>'WS3 - Notional General Income'!$D76</f>
        <v>0</v>
      </c>
      <c r="U186" s="1029">
        <f>'WS4 - Yr 1 YIELD'!$D73</f>
        <v>0</v>
      </c>
      <c r="V186" s="1035"/>
      <c r="W186" s="3"/>
      <c r="X186" s="1043" t="str">
        <f t="shared" si="105"/>
        <v>.</v>
      </c>
      <c r="Y186" s="1044" t="str">
        <f t="shared" si="88"/>
        <v>.</v>
      </c>
      <c r="Z186" s="1044" t="str">
        <f t="shared" si="89"/>
        <v>.</v>
      </c>
      <c r="AA186" s="1044" t="str">
        <f t="shared" si="90"/>
        <v>.</v>
      </c>
      <c r="AB186" s="1044" t="str">
        <f t="shared" si="91"/>
        <v>.</v>
      </c>
      <c r="AC186" s="1044" t="str">
        <f t="shared" si="92"/>
        <v>.</v>
      </c>
      <c r="AD186" s="1045" t="str">
        <f t="shared" si="93"/>
        <v>.</v>
      </c>
      <c r="AE186" s="3"/>
      <c r="AF186" s="1055" t="str">
        <f t="shared" si="109"/>
        <v>.</v>
      </c>
      <c r="AG186" s="258" t="str">
        <f t="shared" si="110"/>
        <v>.</v>
      </c>
      <c r="AH186" s="258" t="str">
        <f t="shared" si="111"/>
        <v>.</v>
      </c>
      <c r="AI186" s="258" t="str">
        <f t="shared" si="112"/>
        <v>.</v>
      </c>
      <c r="AJ186" s="258" t="str">
        <f t="shared" si="113"/>
        <v>.</v>
      </c>
      <c r="AK186" s="258" t="str">
        <f t="shared" si="114"/>
        <v>.</v>
      </c>
      <c r="AL186" s="1056" t="str">
        <f t="shared" si="98"/>
        <v>.</v>
      </c>
      <c r="AM186" s="3"/>
      <c r="AN186" s="1139" t="str">
        <f>IF(X186=".",".",SUM($X186:X186))</f>
        <v>.</v>
      </c>
      <c r="AO186" s="1140" t="str">
        <f>IF(Y186=".",".",SUM($X186:Y186))</f>
        <v>.</v>
      </c>
      <c r="AP186" s="1140" t="str">
        <f>IF(Z186=".",".",SUM($X186:Z186))</f>
        <v>.</v>
      </c>
      <c r="AQ186" s="1140" t="str">
        <f>IF(AA186=".",".",SUM($X186:AA186))</f>
        <v>.</v>
      </c>
      <c r="AR186" s="1140" t="str">
        <f>IF(AB186=".",".",SUM($X186:AB186))</f>
        <v>.</v>
      </c>
      <c r="AS186" s="1140" t="str">
        <f>IF(AC186=".",".",SUM($X186:AC186))</f>
        <v>.</v>
      </c>
      <c r="AT186" s="1141" t="str">
        <f>IF(AD186=".",".",SUM($X186:AD186))</f>
        <v>.</v>
      </c>
      <c r="AU186" s="3"/>
      <c r="AV186" s="1055" t="str">
        <f t="shared" si="106"/>
        <v>.</v>
      </c>
      <c r="AW186" s="258" t="str">
        <f t="shared" si="99"/>
        <v>.</v>
      </c>
      <c r="AX186" s="258" t="str">
        <f t="shared" si="100"/>
        <v>.</v>
      </c>
      <c r="AY186" s="258" t="str">
        <f t="shared" si="101"/>
        <v>.</v>
      </c>
      <c r="AZ186" s="258" t="str">
        <f t="shared" si="102"/>
        <v>.</v>
      </c>
      <c r="BA186" s="258" t="str">
        <f t="shared" si="103"/>
        <v>.</v>
      </c>
      <c r="BB186" s="1056" t="str">
        <f t="shared" si="104"/>
        <v>.</v>
      </c>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row>
    <row r="187" spans="1:91" ht="12.75" thickBot="1" x14ac:dyDescent="0.25">
      <c r="A187" s="620"/>
      <c r="B187" s="290" t="s">
        <v>583</v>
      </c>
      <c r="C187" s="1022" t="str">
        <f>IF('WS3 - Notional General Income'!C77="","",'WS3 - Notional General Income'!C77)</f>
        <v/>
      </c>
      <c r="D187" s="1006" t="s">
        <v>687</v>
      </c>
      <c r="E187" s="1022"/>
      <c r="F187" s="1022"/>
      <c r="G187" s="1022"/>
      <c r="H187" s="1022"/>
      <c r="I187" s="1022"/>
      <c r="J187" s="1023" t="str">
        <f>IF('WS3 - Notional General Income'!L77=".",".",'WS3 - Notional General Income'!L77/'WS3 - Notional General Income'!D77)</f>
        <v>.</v>
      </c>
      <c r="K187" s="1023" t="str">
        <f>IF('WS4 - Yr 1 YIELD'!L74=".",".",'WS4 - Yr 1 YIELD'!L74/'WS4 - Yr 1 YIELD'!D74)</f>
        <v>.</v>
      </c>
      <c r="L187" s="1024"/>
      <c r="M187" s="1024"/>
      <c r="N187" s="1024"/>
      <c r="O187" s="1024"/>
      <c r="P187" s="1024"/>
      <c r="Q187" s="1024"/>
      <c r="R187" s="76"/>
      <c r="S187" s="3"/>
      <c r="T187" s="1030">
        <f>'WS3 - Notional General Income'!$D77</f>
        <v>0</v>
      </c>
      <c r="U187" s="1031">
        <f>'WS4 - Yr 1 YIELD'!$D74</f>
        <v>0</v>
      </c>
      <c r="V187" s="1035"/>
      <c r="W187" s="3"/>
      <c r="X187" s="1043" t="str">
        <f t="shared" si="105"/>
        <v>.</v>
      </c>
      <c r="Y187" s="1044" t="str">
        <f t="shared" si="88"/>
        <v>.</v>
      </c>
      <c r="Z187" s="1044" t="str">
        <f t="shared" si="89"/>
        <v>.</v>
      </c>
      <c r="AA187" s="1044" t="str">
        <f t="shared" si="90"/>
        <v>.</v>
      </c>
      <c r="AB187" s="1044" t="str">
        <f t="shared" si="91"/>
        <v>.</v>
      </c>
      <c r="AC187" s="1044" t="str">
        <f t="shared" si="92"/>
        <v>.</v>
      </c>
      <c r="AD187" s="1045" t="str">
        <f t="shared" si="93"/>
        <v>.</v>
      </c>
      <c r="AE187" s="3"/>
      <c r="AF187" s="1055" t="str">
        <f t="shared" si="109"/>
        <v>.</v>
      </c>
      <c r="AG187" s="258" t="str">
        <f t="shared" si="110"/>
        <v>.</v>
      </c>
      <c r="AH187" s="258" t="str">
        <f t="shared" si="111"/>
        <v>.</v>
      </c>
      <c r="AI187" s="258" t="str">
        <f t="shared" si="112"/>
        <v>.</v>
      </c>
      <c r="AJ187" s="258" t="str">
        <f t="shared" si="113"/>
        <v>.</v>
      </c>
      <c r="AK187" s="258" t="str">
        <f t="shared" si="114"/>
        <v>.</v>
      </c>
      <c r="AL187" s="1056" t="str">
        <f t="shared" si="98"/>
        <v>.</v>
      </c>
      <c r="AM187" s="3"/>
      <c r="AN187" s="1139" t="str">
        <f>IF(X187=".",".",SUM($X187:X187))</f>
        <v>.</v>
      </c>
      <c r="AO187" s="1140" t="str">
        <f>IF(Y187=".",".",SUM($X187:Y187))</f>
        <v>.</v>
      </c>
      <c r="AP187" s="1140" t="str">
        <f>IF(Z187=".",".",SUM($X187:Z187))</f>
        <v>.</v>
      </c>
      <c r="AQ187" s="1140" t="str">
        <f>IF(AA187=".",".",SUM($X187:AA187))</f>
        <v>.</v>
      </c>
      <c r="AR187" s="1140" t="str">
        <f>IF(AB187=".",".",SUM($X187:AB187))</f>
        <v>.</v>
      </c>
      <c r="AS187" s="1140" t="str">
        <f>IF(AC187=".",".",SUM($X187:AC187))</f>
        <v>.</v>
      </c>
      <c r="AT187" s="1141" t="str">
        <f>IF(AD187=".",".",SUM($X187:AD187))</f>
        <v>.</v>
      </c>
      <c r="AU187" s="3"/>
      <c r="AV187" s="1055" t="str">
        <f t="shared" si="106"/>
        <v>.</v>
      </c>
      <c r="AW187" s="258" t="str">
        <f t="shared" si="99"/>
        <v>.</v>
      </c>
      <c r="AX187" s="258" t="str">
        <f t="shared" si="100"/>
        <v>.</v>
      </c>
      <c r="AY187" s="258" t="str">
        <f t="shared" si="101"/>
        <v>.</v>
      </c>
      <c r="AZ187" s="258" t="str">
        <f t="shared" si="102"/>
        <v>.</v>
      </c>
      <c r="BA187" s="258" t="str">
        <f t="shared" si="103"/>
        <v>.</v>
      </c>
      <c r="BB187" s="1056" t="str">
        <f t="shared" si="104"/>
        <v>.</v>
      </c>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row>
    <row r="188" spans="1:91" ht="12.75" thickTop="1" x14ac:dyDescent="0.2">
      <c r="A188" s="620"/>
      <c r="B188" s="290" t="s">
        <v>697</v>
      </c>
      <c r="C188" s="1022" t="str">
        <f>IF('WS3 - Notional General Income'!C126="","",'WS3 - Notional General Income'!C126)</f>
        <v/>
      </c>
      <c r="D188" s="1006" t="s">
        <v>687</v>
      </c>
      <c r="E188" s="1022"/>
      <c r="F188" s="1022"/>
      <c r="G188" s="1022"/>
      <c r="H188" s="1022"/>
      <c r="I188" s="1022"/>
      <c r="J188" s="1023" t="str">
        <f>IF('WS3 - Notional General Income'!L126=".",".",'WS3 - Notional General Income'!L126/'WS3 - Notional General Income'!D126)</f>
        <v>.</v>
      </c>
      <c r="K188" s="1023" t="str">
        <f>IF('WS4 - Yr 1 YIELD'!L123=".",".",'WS4 - Yr 1 YIELD'!L123/'WS4 - Yr 1 YIELD'!D123)</f>
        <v>.</v>
      </c>
      <c r="L188" s="1024"/>
      <c r="M188" s="1024"/>
      <c r="N188" s="1024"/>
      <c r="O188" s="1024"/>
      <c r="P188" s="1024"/>
      <c r="Q188" s="1024"/>
      <c r="R188" s="76"/>
      <c r="S188" s="3"/>
      <c r="T188" s="1028">
        <f>'WS3 - Notional General Income'!$D126</f>
        <v>0</v>
      </c>
      <c r="U188" s="1029">
        <f>'WS4 - Yr 1 YIELD'!$D123</f>
        <v>0</v>
      </c>
      <c r="V188" s="1035"/>
      <c r="W188" s="3"/>
      <c r="X188" s="1043" t="str">
        <f t="shared" si="105"/>
        <v>.</v>
      </c>
      <c r="Y188" s="1044" t="str">
        <f t="shared" si="88"/>
        <v>.</v>
      </c>
      <c r="Z188" s="1044" t="str">
        <f t="shared" si="89"/>
        <v>.</v>
      </c>
      <c r="AA188" s="1044" t="str">
        <f t="shared" si="90"/>
        <v>.</v>
      </c>
      <c r="AB188" s="1044" t="str">
        <f t="shared" si="91"/>
        <v>.</v>
      </c>
      <c r="AC188" s="1044" t="str">
        <f t="shared" si="92"/>
        <v>.</v>
      </c>
      <c r="AD188" s="1045" t="str">
        <f t="shared" si="93"/>
        <v>.</v>
      </c>
      <c r="AE188" s="3"/>
      <c r="AF188" s="1055" t="str">
        <f t="shared" si="109"/>
        <v>.</v>
      </c>
      <c r="AG188" s="258" t="str">
        <f t="shared" si="110"/>
        <v>.</v>
      </c>
      <c r="AH188" s="258" t="str">
        <f t="shared" si="111"/>
        <v>.</v>
      </c>
      <c r="AI188" s="258" t="str">
        <f t="shared" si="112"/>
        <v>.</v>
      </c>
      <c r="AJ188" s="258" t="str">
        <f t="shared" si="113"/>
        <v>.</v>
      </c>
      <c r="AK188" s="258" t="str">
        <f t="shared" si="114"/>
        <v>.</v>
      </c>
      <c r="AL188" s="1056" t="str">
        <f t="shared" si="98"/>
        <v>.</v>
      </c>
      <c r="AM188" s="3"/>
      <c r="AN188" s="1139" t="str">
        <f>IF(X188=".",".",SUM($X188:X188))</f>
        <v>.</v>
      </c>
      <c r="AO188" s="1140" t="str">
        <f>IF(Y188=".",".",SUM($X188:Y188))</f>
        <v>.</v>
      </c>
      <c r="AP188" s="1140" t="str">
        <f>IF(Z188=".",".",SUM($X188:Z188))</f>
        <v>.</v>
      </c>
      <c r="AQ188" s="1140" t="str">
        <f>IF(AA188=".",".",SUM($X188:AA188))</f>
        <v>.</v>
      </c>
      <c r="AR188" s="1140" t="str">
        <f>IF(AB188=".",".",SUM($X188:AB188))</f>
        <v>.</v>
      </c>
      <c r="AS188" s="1140" t="str">
        <f>IF(AC188=".",".",SUM($X188:AC188))</f>
        <v>.</v>
      </c>
      <c r="AT188" s="1141" t="str">
        <f>IF(AD188=".",".",SUM($X188:AD188))</f>
        <v>.</v>
      </c>
      <c r="AU188" s="3"/>
      <c r="AV188" s="1055" t="str">
        <f t="shared" si="106"/>
        <v>.</v>
      </c>
      <c r="AW188" s="258" t="str">
        <f t="shared" si="99"/>
        <v>.</v>
      </c>
      <c r="AX188" s="258" t="str">
        <f t="shared" si="100"/>
        <v>.</v>
      </c>
      <c r="AY188" s="258" t="str">
        <f t="shared" si="101"/>
        <v>.</v>
      </c>
      <c r="AZ188" s="258" t="str">
        <f t="shared" si="102"/>
        <v>.</v>
      </c>
      <c r="BA188" s="258" t="str">
        <f t="shared" si="103"/>
        <v>.</v>
      </c>
      <c r="BB188" s="1056" t="str">
        <f t="shared" si="104"/>
        <v>.</v>
      </c>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row>
    <row r="189" spans="1:91" x14ac:dyDescent="0.2">
      <c r="A189" s="620"/>
      <c r="B189" s="290" t="s">
        <v>697</v>
      </c>
      <c r="C189" s="1022" t="str">
        <f>IF('WS3 - Notional General Income'!C127="","",'WS3 - Notional General Income'!C127)</f>
        <v/>
      </c>
      <c r="D189" s="1006" t="s">
        <v>687</v>
      </c>
      <c r="E189" s="1022"/>
      <c r="F189" s="1022"/>
      <c r="G189" s="1022"/>
      <c r="H189" s="1022"/>
      <c r="I189" s="1022"/>
      <c r="J189" s="1023" t="str">
        <f>IF('WS3 - Notional General Income'!L127=".",".",'WS3 - Notional General Income'!L127/'WS3 - Notional General Income'!D127)</f>
        <v>.</v>
      </c>
      <c r="K189" s="1023" t="str">
        <f>IF('WS4 - Yr 1 YIELD'!L124=".",".",'WS4 - Yr 1 YIELD'!L124/'WS4 - Yr 1 YIELD'!D124)</f>
        <v>.</v>
      </c>
      <c r="L189" s="1024"/>
      <c r="M189" s="1024"/>
      <c r="N189" s="1024"/>
      <c r="O189" s="1024"/>
      <c r="P189" s="1024"/>
      <c r="Q189" s="1024"/>
      <c r="R189" s="76"/>
      <c r="S189" s="3"/>
      <c r="T189" s="1028">
        <f>'WS3 - Notional General Income'!$D127</f>
        <v>0</v>
      </c>
      <c r="U189" s="1029">
        <f>'WS4 - Yr 1 YIELD'!$D124</f>
        <v>0</v>
      </c>
      <c r="V189" s="1035"/>
      <c r="W189" s="3"/>
      <c r="X189" s="1043" t="str">
        <f t="shared" si="105"/>
        <v>.</v>
      </c>
      <c r="Y189" s="1044" t="str">
        <f t="shared" si="88"/>
        <v>.</v>
      </c>
      <c r="Z189" s="1044" t="str">
        <f t="shared" si="89"/>
        <v>.</v>
      </c>
      <c r="AA189" s="1044" t="str">
        <f t="shared" si="90"/>
        <v>.</v>
      </c>
      <c r="AB189" s="1044" t="str">
        <f t="shared" si="91"/>
        <v>.</v>
      </c>
      <c r="AC189" s="1044" t="str">
        <f t="shared" si="92"/>
        <v>.</v>
      </c>
      <c r="AD189" s="1045" t="str">
        <f t="shared" si="93"/>
        <v>.</v>
      </c>
      <c r="AE189" s="3"/>
      <c r="AF189" s="1055" t="str">
        <f t="shared" si="109"/>
        <v>.</v>
      </c>
      <c r="AG189" s="258" t="str">
        <f t="shared" si="110"/>
        <v>.</v>
      </c>
      <c r="AH189" s="258" t="str">
        <f t="shared" si="111"/>
        <v>.</v>
      </c>
      <c r="AI189" s="258" t="str">
        <f t="shared" si="112"/>
        <v>.</v>
      </c>
      <c r="AJ189" s="258" t="str">
        <f t="shared" si="113"/>
        <v>.</v>
      </c>
      <c r="AK189" s="258" t="str">
        <f t="shared" si="114"/>
        <v>.</v>
      </c>
      <c r="AL189" s="1056" t="str">
        <f t="shared" si="98"/>
        <v>.</v>
      </c>
      <c r="AM189" s="3"/>
      <c r="AN189" s="1139" t="str">
        <f>IF(X189=".",".",SUM($X189:X189))</f>
        <v>.</v>
      </c>
      <c r="AO189" s="1140" t="str">
        <f>IF(Y189=".",".",SUM($X189:Y189))</f>
        <v>.</v>
      </c>
      <c r="AP189" s="1140" t="str">
        <f>IF(Z189=".",".",SUM($X189:Z189))</f>
        <v>.</v>
      </c>
      <c r="AQ189" s="1140" t="str">
        <f>IF(AA189=".",".",SUM($X189:AA189))</f>
        <v>.</v>
      </c>
      <c r="AR189" s="1140" t="str">
        <f>IF(AB189=".",".",SUM($X189:AB189))</f>
        <v>.</v>
      </c>
      <c r="AS189" s="1140" t="str">
        <f>IF(AC189=".",".",SUM($X189:AC189))</f>
        <v>.</v>
      </c>
      <c r="AT189" s="1141" t="str">
        <f>IF(AD189=".",".",SUM($X189:AD189))</f>
        <v>.</v>
      </c>
      <c r="AU189" s="3"/>
      <c r="AV189" s="1055" t="str">
        <f t="shared" si="106"/>
        <v>.</v>
      </c>
      <c r="AW189" s="258" t="str">
        <f t="shared" si="99"/>
        <v>.</v>
      </c>
      <c r="AX189" s="258" t="str">
        <f t="shared" si="100"/>
        <v>.</v>
      </c>
      <c r="AY189" s="258" t="str">
        <f t="shared" si="101"/>
        <v>.</v>
      </c>
      <c r="AZ189" s="258" t="str">
        <f t="shared" si="102"/>
        <v>.</v>
      </c>
      <c r="BA189" s="258" t="str">
        <f t="shared" si="103"/>
        <v>.</v>
      </c>
      <c r="BB189" s="1056" t="str">
        <f t="shared" si="104"/>
        <v>.</v>
      </c>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row>
    <row r="190" spans="1:91" x14ac:dyDescent="0.2">
      <c r="A190" s="620"/>
      <c r="B190" s="290" t="s">
        <v>697</v>
      </c>
      <c r="C190" s="1022" t="str">
        <f>IF('WS3 - Notional General Income'!C128="","",'WS3 - Notional General Income'!C128)</f>
        <v/>
      </c>
      <c r="D190" s="1006" t="s">
        <v>687</v>
      </c>
      <c r="E190" s="1022"/>
      <c r="F190" s="1022"/>
      <c r="G190" s="1022"/>
      <c r="H190" s="1022"/>
      <c r="I190" s="1022"/>
      <c r="J190" s="1023" t="str">
        <f>IF('WS3 - Notional General Income'!L128=".",".",'WS3 - Notional General Income'!L128/'WS3 - Notional General Income'!D128)</f>
        <v>.</v>
      </c>
      <c r="K190" s="1023" t="str">
        <f>IF('WS4 - Yr 1 YIELD'!L125=".",".",'WS4 - Yr 1 YIELD'!L125/'WS4 - Yr 1 YIELD'!D125)</f>
        <v>.</v>
      </c>
      <c r="L190" s="1024"/>
      <c r="M190" s="1024"/>
      <c r="N190" s="1024"/>
      <c r="O190" s="1024"/>
      <c r="P190" s="1024"/>
      <c r="Q190" s="1024"/>
      <c r="R190" s="76"/>
      <c r="S190" s="3"/>
      <c r="T190" s="1028">
        <f>'WS3 - Notional General Income'!$D128</f>
        <v>0</v>
      </c>
      <c r="U190" s="1029">
        <f>'WS4 - Yr 1 YIELD'!$D125</f>
        <v>0</v>
      </c>
      <c r="V190" s="1035"/>
      <c r="W190" s="3"/>
      <c r="X190" s="1043" t="str">
        <f t="shared" si="105"/>
        <v>.</v>
      </c>
      <c r="Y190" s="1044" t="str">
        <f t="shared" si="88"/>
        <v>.</v>
      </c>
      <c r="Z190" s="1044" t="str">
        <f t="shared" si="89"/>
        <v>.</v>
      </c>
      <c r="AA190" s="1044" t="str">
        <f t="shared" si="90"/>
        <v>.</v>
      </c>
      <c r="AB190" s="1044" t="str">
        <f t="shared" si="91"/>
        <v>.</v>
      </c>
      <c r="AC190" s="1044" t="str">
        <f t="shared" si="92"/>
        <v>.</v>
      </c>
      <c r="AD190" s="1045" t="str">
        <f t="shared" si="93"/>
        <v>.</v>
      </c>
      <c r="AE190" s="3"/>
      <c r="AF190" s="1055" t="str">
        <f t="shared" si="109"/>
        <v>.</v>
      </c>
      <c r="AG190" s="258" t="str">
        <f t="shared" si="110"/>
        <v>.</v>
      </c>
      <c r="AH190" s="258" t="str">
        <f t="shared" si="111"/>
        <v>.</v>
      </c>
      <c r="AI190" s="258" t="str">
        <f t="shared" si="112"/>
        <v>.</v>
      </c>
      <c r="AJ190" s="258" t="str">
        <f t="shared" si="113"/>
        <v>.</v>
      </c>
      <c r="AK190" s="258" t="str">
        <f t="shared" si="114"/>
        <v>.</v>
      </c>
      <c r="AL190" s="1056" t="str">
        <f t="shared" si="98"/>
        <v>.</v>
      </c>
      <c r="AM190" s="3"/>
      <c r="AN190" s="1139" t="str">
        <f>IF(X190=".",".",SUM($X190:X190))</f>
        <v>.</v>
      </c>
      <c r="AO190" s="1140" t="str">
        <f>IF(Y190=".",".",SUM($X190:Y190))</f>
        <v>.</v>
      </c>
      <c r="AP190" s="1140" t="str">
        <f>IF(Z190=".",".",SUM($X190:Z190))</f>
        <v>.</v>
      </c>
      <c r="AQ190" s="1140" t="str">
        <f>IF(AA190=".",".",SUM($X190:AA190))</f>
        <v>.</v>
      </c>
      <c r="AR190" s="1140" t="str">
        <f>IF(AB190=".",".",SUM($X190:AB190))</f>
        <v>.</v>
      </c>
      <c r="AS190" s="1140" t="str">
        <f>IF(AC190=".",".",SUM($X190:AC190))</f>
        <v>.</v>
      </c>
      <c r="AT190" s="1141" t="str">
        <f>IF(AD190=".",".",SUM($X190:AD190))</f>
        <v>.</v>
      </c>
      <c r="AU190" s="3"/>
      <c r="AV190" s="1055" t="str">
        <f t="shared" si="106"/>
        <v>.</v>
      </c>
      <c r="AW190" s="258" t="str">
        <f t="shared" si="99"/>
        <v>.</v>
      </c>
      <c r="AX190" s="258" t="str">
        <f t="shared" si="100"/>
        <v>.</v>
      </c>
      <c r="AY190" s="258" t="str">
        <f t="shared" si="101"/>
        <v>.</v>
      </c>
      <c r="AZ190" s="258" t="str">
        <f t="shared" si="102"/>
        <v>.</v>
      </c>
      <c r="BA190" s="258" t="str">
        <f t="shared" si="103"/>
        <v>.</v>
      </c>
      <c r="BB190" s="1056" t="str">
        <f t="shared" si="104"/>
        <v>.</v>
      </c>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row>
    <row r="191" spans="1:91" x14ac:dyDescent="0.2">
      <c r="A191" s="620"/>
      <c r="B191" s="290" t="s">
        <v>697</v>
      </c>
      <c r="C191" s="1022" t="str">
        <f>IF('WS3 - Notional General Income'!C129="","",'WS3 - Notional General Income'!C129)</f>
        <v/>
      </c>
      <c r="D191" s="1006" t="s">
        <v>687</v>
      </c>
      <c r="E191" s="1022"/>
      <c r="F191" s="1022"/>
      <c r="G191" s="1022"/>
      <c r="H191" s="1022"/>
      <c r="I191" s="1022"/>
      <c r="J191" s="1023" t="str">
        <f>IF('WS3 - Notional General Income'!L129=".",".",'WS3 - Notional General Income'!L129/'WS3 - Notional General Income'!D129)</f>
        <v>.</v>
      </c>
      <c r="K191" s="1023" t="str">
        <f>IF('WS4 - Yr 1 YIELD'!L126=".",".",'WS4 - Yr 1 YIELD'!L126/'WS4 - Yr 1 YIELD'!D126)</f>
        <v>.</v>
      </c>
      <c r="L191" s="1024"/>
      <c r="M191" s="1024"/>
      <c r="N191" s="1024"/>
      <c r="O191" s="1024"/>
      <c r="P191" s="1024"/>
      <c r="Q191" s="1024"/>
      <c r="R191" s="76"/>
      <c r="S191" s="3"/>
      <c r="T191" s="1028">
        <f>'WS3 - Notional General Income'!$D129</f>
        <v>0</v>
      </c>
      <c r="U191" s="1029">
        <f>'WS4 - Yr 1 YIELD'!$D126</f>
        <v>0</v>
      </c>
      <c r="V191" s="1035"/>
      <c r="W191" s="3"/>
      <c r="X191" s="1043" t="str">
        <f t="shared" si="105"/>
        <v>.</v>
      </c>
      <c r="Y191" s="1044" t="str">
        <f t="shared" si="88"/>
        <v>.</v>
      </c>
      <c r="Z191" s="1044" t="str">
        <f t="shared" si="89"/>
        <v>.</v>
      </c>
      <c r="AA191" s="1044" t="str">
        <f t="shared" si="90"/>
        <v>.</v>
      </c>
      <c r="AB191" s="1044" t="str">
        <f t="shared" si="91"/>
        <v>.</v>
      </c>
      <c r="AC191" s="1044" t="str">
        <f t="shared" si="92"/>
        <v>.</v>
      </c>
      <c r="AD191" s="1045" t="str">
        <f t="shared" si="93"/>
        <v>.</v>
      </c>
      <c r="AE191" s="3"/>
      <c r="AF191" s="1055" t="str">
        <f t="shared" si="109"/>
        <v>.</v>
      </c>
      <c r="AG191" s="258" t="str">
        <f t="shared" si="110"/>
        <v>.</v>
      </c>
      <c r="AH191" s="258" t="str">
        <f t="shared" si="111"/>
        <v>.</v>
      </c>
      <c r="AI191" s="258" t="str">
        <f t="shared" si="112"/>
        <v>.</v>
      </c>
      <c r="AJ191" s="258" t="str">
        <f t="shared" si="113"/>
        <v>.</v>
      </c>
      <c r="AK191" s="258" t="str">
        <f t="shared" si="114"/>
        <v>.</v>
      </c>
      <c r="AL191" s="1056" t="str">
        <f t="shared" si="98"/>
        <v>.</v>
      </c>
      <c r="AM191" s="3"/>
      <c r="AN191" s="1139" t="str">
        <f>IF(X191=".",".",SUM($X191:X191))</f>
        <v>.</v>
      </c>
      <c r="AO191" s="1140" t="str">
        <f>IF(Y191=".",".",SUM($X191:Y191))</f>
        <v>.</v>
      </c>
      <c r="AP191" s="1140" t="str">
        <f>IF(Z191=".",".",SUM($X191:Z191))</f>
        <v>.</v>
      </c>
      <c r="AQ191" s="1140" t="str">
        <f>IF(AA191=".",".",SUM($X191:AA191))</f>
        <v>.</v>
      </c>
      <c r="AR191" s="1140" t="str">
        <f>IF(AB191=".",".",SUM($X191:AB191))</f>
        <v>.</v>
      </c>
      <c r="AS191" s="1140" t="str">
        <f>IF(AC191=".",".",SUM($X191:AC191))</f>
        <v>.</v>
      </c>
      <c r="AT191" s="1141" t="str">
        <f>IF(AD191=".",".",SUM($X191:AD191))</f>
        <v>.</v>
      </c>
      <c r="AU191" s="3"/>
      <c r="AV191" s="1055" t="str">
        <f t="shared" si="106"/>
        <v>.</v>
      </c>
      <c r="AW191" s="258" t="str">
        <f t="shared" si="99"/>
        <v>.</v>
      </c>
      <c r="AX191" s="258" t="str">
        <f t="shared" si="100"/>
        <v>.</v>
      </c>
      <c r="AY191" s="258" t="str">
        <f t="shared" si="101"/>
        <v>.</v>
      </c>
      <c r="AZ191" s="258" t="str">
        <f t="shared" si="102"/>
        <v>.</v>
      </c>
      <c r="BA191" s="258" t="str">
        <f t="shared" si="103"/>
        <v>.</v>
      </c>
      <c r="BB191" s="1056" t="str">
        <f t="shared" si="104"/>
        <v>.</v>
      </c>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row>
    <row r="192" spans="1:91" x14ac:dyDescent="0.2">
      <c r="A192" s="620"/>
      <c r="B192" s="290" t="s">
        <v>697</v>
      </c>
      <c r="C192" s="1022" t="str">
        <f>IF('WS3 - Notional General Income'!C130="","",'WS3 - Notional General Income'!C130)</f>
        <v/>
      </c>
      <c r="D192" s="1006" t="s">
        <v>687</v>
      </c>
      <c r="E192" s="1022"/>
      <c r="F192" s="1022"/>
      <c r="G192" s="1022"/>
      <c r="H192" s="1022"/>
      <c r="I192" s="1022"/>
      <c r="J192" s="1023" t="str">
        <f>IF('WS3 - Notional General Income'!L130=".",".",'WS3 - Notional General Income'!L130/'WS3 - Notional General Income'!D130)</f>
        <v>.</v>
      </c>
      <c r="K192" s="1023" t="str">
        <f>IF('WS4 - Yr 1 YIELD'!L127=".",".",'WS4 - Yr 1 YIELD'!L127/'WS4 - Yr 1 YIELD'!D127)</f>
        <v>.</v>
      </c>
      <c r="L192" s="1024"/>
      <c r="M192" s="1024"/>
      <c r="N192" s="1024"/>
      <c r="O192" s="1024"/>
      <c r="P192" s="1024"/>
      <c r="Q192" s="1024"/>
      <c r="R192" s="76"/>
      <c r="S192" s="3"/>
      <c r="T192" s="1028">
        <f>'WS3 - Notional General Income'!$D130</f>
        <v>0</v>
      </c>
      <c r="U192" s="1029">
        <f>'WS4 - Yr 1 YIELD'!$D127</f>
        <v>0</v>
      </c>
      <c r="V192" s="1035"/>
      <c r="W192" s="3"/>
      <c r="X192" s="1043" t="str">
        <f t="shared" si="105"/>
        <v>.</v>
      </c>
      <c r="Y192" s="1044" t="str">
        <f t="shared" si="88"/>
        <v>.</v>
      </c>
      <c r="Z192" s="1044" t="str">
        <f t="shared" si="89"/>
        <v>.</v>
      </c>
      <c r="AA192" s="1044" t="str">
        <f t="shared" si="90"/>
        <v>.</v>
      </c>
      <c r="AB192" s="1044" t="str">
        <f t="shared" si="91"/>
        <v>.</v>
      </c>
      <c r="AC192" s="1044" t="str">
        <f t="shared" si="92"/>
        <v>.</v>
      </c>
      <c r="AD192" s="1045" t="str">
        <f t="shared" si="93"/>
        <v>.</v>
      </c>
      <c r="AE192" s="3"/>
      <c r="AF192" s="1055" t="str">
        <f t="shared" si="109"/>
        <v>.</v>
      </c>
      <c r="AG192" s="258" t="str">
        <f t="shared" si="110"/>
        <v>.</v>
      </c>
      <c r="AH192" s="258" t="str">
        <f t="shared" si="111"/>
        <v>.</v>
      </c>
      <c r="AI192" s="258" t="str">
        <f t="shared" si="112"/>
        <v>.</v>
      </c>
      <c r="AJ192" s="258" t="str">
        <f t="shared" si="113"/>
        <v>.</v>
      </c>
      <c r="AK192" s="258" t="str">
        <f t="shared" si="114"/>
        <v>.</v>
      </c>
      <c r="AL192" s="1056" t="str">
        <f t="shared" si="98"/>
        <v>.</v>
      </c>
      <c r="AM192" s="3"/>
      <c r="AN192" s="1139" t="str">
        <f>IF(X192=".",".",SUM($X192:X192))</f>
        <v>.</v>
      </c>
      <c r="AO192" s="1140" t="str">
        <f>IF(Y192=".",".",SUM($X192:Y192))</f>
        <v>.</v>
      </c>
      <c r="AP192" s="1140" t="str">
        <f>IF(Z192=".",".",SUM($X192:Z192))</f>
        <v>.</v>
      </c>
      <c r="AQ192" s="1140" t="str">
        <f>IF(AA192=".",".",SUM($X192:AA192))</f>
        <v>.</v>
      </c>
      <c r="AR192" s="1140" t="str">
        <f>IF(AB192=".",".",SUM($X192:AB192))</f>
        <v>.</v>
      </c>
      <c r="AS192" s="1140" t="str">
        <f>IF(AC192=".",".",SUM($X192:AC192))</f>
        <v>.</v>
      </c>
      <c r="AT192" s="1141" t="str">
        <f>IF(AD192=".",".",SUM($X192:AD192))</f>
        <v>.</v>
      </c>
      <c r="AU192" s="3"/>
      <c r="AV192" s="1055" t="str">
        <f t="shared" si="106"/>
        <v>.</v>
      </c>
      <c r="AW192" s="258" t="str">
        <f t="shared" si="99"/>
        <v>.</v>
      </c>
      <c r="AX192" s="258" t="str">
        <f t="shared" si="100"/>
        <v>.</v>
      </c>
      <c r="AY192" s="258" t="str">
        <f t="shared" si="101"/>
        <v>.</v>
      </c>
      <c r="AZ192" s="258" t="str">
        <f t="shared" si="102"/>
        <v>.</v>
      </c>
      <c r="BA192" s="258" t="str">
        <f t="shared" si="103"/>
        <v>.</v>
      </c>
      <c r="BB192" s="1056" t="str">
        <f t="shared" si="104"/>
        <v>.</v>
      </c>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row>
    <row r="193" spans="1:91" x14ac:dyDescent="0.2">
      <c r="A193" s="620"/>
      <c r="B193" s="290" t="s">
        <v>697</v>
      </c>
      <c r="C193" s="1022" t="str">
        <f>IF('WS3 - Notional General Income'!C131="","",'WS3 - Notional General Income'!C131)</f>
        <v/>
      </c>
      <c r="D193" s="1006" t="s">
        <v>687</v>
      </c>
      <c r="E193" s="1022"/>
      <c r="F193" s="1022"/>
      <c r="G193" s="1022"/>
      <c r="H193" s="1022"/>
      <c r="I193" s="1022"/>
      <c r="J193" s="1023" t="str">
        <f>IF('WS3 - Notional General Income'!L131=".",".",'WS3 - Notional General Income'!L131/'WS3 - Notional General Income'!D131)</f>
        <v>.</v>
      </c>
      <c r="K193" s="1023" t="str">
        <f>IF('WS4 - Yr 1 YIELD'!L128=".",".",'WS4 - Yr 1 YIELD'!L128/'WS4 - Yr 1 YIELD'!D128)</f>
        <v>.</v>
      </c>
      <c r="L193" s="1024"/>
      <c r="M193" s="1024"/>
      <c r="N193" s="1024"/>
      <c r="O193" s="1024"/>
      <c r="P193" s="1024"/>
      <c r="Q193" s="1024"/>
      <c r="R193" s="76"/>
      <c r="S193" s="3"/>
      <c r="T193" s="1028">
        <f>'WS3 - Notional General Income'!$D131</f>
        <v>0</v>
      </c>
      <c r="U193" s="1029">
        <f>'WS4 - Yr 1 YIELD'!$D128</f>
        <v>0</v>
      </c>
      <c r="V193" s="1035"/>
      <c r="W193" s="3"/>
      <c r="X193" s="1043" t="str">
        <f t="shared" si="105"/>
        <v>.</v>
      </c>
      <c r="Y193" s="1044" t="str">
        <f t="shared" si="88"/>
        <v>.</v>
      </c>
      <c r="Z193" s="1044" t="str">
        <f t="shared" si="89"/>
        <v>.</v>
      </c>
      <c r="AA193" s="1044" t="str">
        <f t="shared" si="90"/>
        <v>.</v>
      </c>
      <c r="AB193" s="1044" t="str">
        <f t="shared" si="91"/>
        <v>.</v>
      </c>
      <c r="AC193" s="1044" t="str">
        <f t="shared" si="92"/>
        <v>.</v>
      </c>
      <c r="AD193" s="1045" t="str">
        <f t="shared" si="93"/>
        <v>.</v>
      </c>
      <c r="AE193" s="3"/>
      <c r="AF193" s="1055" t="str">
        <f t="shared" si="109"/>
        <v>.</v>
      </c>
      <c r="AG193" s="258" t="str">
        <f t="shared" si="110"/>
        <v>.</v>
      </c>
      <c r="AH193" s="258" t="str">
        <f t="shared" si="111"/>
        <v>.</v>
      </c>
      <c r="AI193" s="258" t="str">
        <f t="shared" si="112"/>
        <v>.</v>
      </c>
      <c r="AJ193" s="258" t="str">
        <f t="shared" si="113"/>
        <v>.</v>
      </c>
      <c r="AK193" s="258" t="str">
        <f t="shared" si="114"/>
        <v>.</v>
      </c>
      <c r="AL193" s="1056" t="str">
        <f t="shared" si="98"/>
        <v>.</v>
      </c>
      <c r="AM193" s="3"/>
      <c r="AN193" s="1139" t="str">
        <f>IF(X193=".",".",SUM($X193:X193))</f>
        <v>.</v>
      </c>
      <c r="AO193" s="1140" t="str">
        <f>IF(Y193=".",".",SUM($X193:Y193))</f>
        <v>.</v>
      </c>
      <c r="AP193" s="1140" t="str">
        <f>IF(Z193=".",".",SUM($X193:Z193))</f>
        <v>.</v>
      </c>
      <c r="AQ193" s="1140" t="str">
        <f>IF(AA193=".",".",SUM($X193:AA193))</f>
        <v>.</v>
      </c>
      <c r="AR193" s="1140" t="str">
        <f>IF(AB193=".",".",SUM($X193:AB193))</f>
        <v>.</v>
      </c>
      <c r="AS193" s="1140" t="str">
        <f>IF(AC193=".",".",SUM($X193:AC193))</f>
        <v>.</v>
      </c>
      <c r="AT193" s="1141" t="str">
        <f>IF(AD193=".",".",SUM($X193:AD193))</f>
        <v>.</v>
      </c>
      <c r="AU193" s="3"/>
      <c r="AV193" s="1055" t="str">
        <f t="shared" si="106"/>
        <v>.</v>
      </c>
      <c r="AW193" s="258" t="str">
        <f t="shared" si="99"/>
        <v>.</v>
      </c>
      <c r="AX193" s="258" t="str">
        <f t="shared" si="100"/>
        <v>.</v>
      </c>
      <c r="AY193" s="258" t="str">
        <f t="shared" si="101"/>
        <v>.</v>
      </c>
      <c r="AZ193" s="258" t="str">
        <f t="shared" si="102"/>
        <v>.</v>
      </c>
      <c r="BA193" s="258" t="str">
        <f t="shared" si="103"/>
        <v>.</v>
      </c>
      <c r="BB193" s="1056" t="str">
        <f t="shared" si="104"/>
        <v>.</v>
      </c>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row>
    <row r="194" spans="1:91" x14ac:dyDescent="0.2">
      <c r="A194" s="620"/>
      <c r="B194" s="290" t="s">
        <v>697</v>
      </c>
      <c r="C194" s="1022" t="str">
        <f>IF('WS3 - Notional General Income'!C132="","",'WS3 - Notional General Income'!C132)</f>
        <v/>
      </c>
      <c r="D194" s="1006" t="s">
        <v>687</v>
      </c>
      <c r="E194" s="1022"/>
      <c r="F194" s="1022"/>
      <c r="G194" s="1022"/>
      <c r="H194" s="1022"/>
      <c r="I194" s="1022"/>
      <c r="J194" s="1023" t="str">
        <f>IF('WS3 - Notional General Income'!L132=".",".",'WS3 - Notional General Income'!L132/'WS3 - Notional General Income'!D132)</f>
        <v>.</v>
      </c>
      <c r="K194" s="1023" t="str">
        <f>IF('WS4 - Yr 1 YIELD'!L129=".",".",'WS4 - Yr 1 YIELD'!L129/'WS4 - Yr 1 YIELD'!D129)</f>
        <v>.</v>
      </c>
      <c r="L194" s="1024"/>
      <c r="M194" s="1024"/>
      <c r="N194" s="1024"/>
      <c r="O194" s="1024"/>
      <c r="P194" s="1024"/>
      <c r="Q194" s="1024"/>
      <c r="R194" s="76"/>
      <c r="S194" s="3"/>
      <c r="T194" s="1028">
        <f>'WS3 - Notional General Income'!$D132</f>
        <v>0</v>
      </c>
      <c r="U194" s="1029">
        <f>'WS4 - Yr 1 YIELD'!$D129</f>
        <v>0</v>
      </c>
      <c r="V194" s="1035"/>
      <c r="W194" s="3"/>
      <c r="X194" s="1043" t="str">
        <f t="shared" si="105"/>
        <v>.</v>
      </c>
      <c r="Y194" s="1044" t="str">
        <f t="shared" si="88"/>
        <v>.</v>
      </c>
      <c r="Z194" s="1044" t="str">
        <f t="shared" si="89"/>
        <v>.</v>
      </c>
      <c r="AA194" s="1044" t="str">
        <f t="shared" si="90"/>
        <v>.</v>
      </c>
      <c r="AB194" s="1044" t="str">
        <f t="shared" si="91"/>
        <v>.</v>
      </c>
      <c r="AC194" s="1044" t="str">
        <f t="shared" si="92"/>
        <v>.</v>
      </c>
      <c r="AD194" s="1045" t="str">
        <f t="shared" si="93"/>
        <v>.</v>
      </c>
      <c r="AE194" s="3"/>
      <c r="AF194" s="1055" t="str">
        <f t="shared" si="109"/>
        <v>.</v>
      </c>
      <c r="AG194" s="258" t="str">
        <f t="shared" si="110"/>
        <v>.</v>
      </c>
      <c r="AH194" s="258" t="str">
        <f t="shared" si="111"/>
        <v>.</v>
      </c>
      <c r="AI194" s="258" t="str">
        <f t="shared" si="112"/>
        <v>.</v>
      </c>
      <c r="AJ194" s="258" t="str">
        <f t="shared" si="113"/>
        <v>.</v>
      </c>
      <c r="AK194" s="258" t="str">
        <f t="shared" si="114"/>
        <v>.</v>
      </c>
      <c r="AL194" s="1056" t="str">
        <f t="shared" si="98"/>
        <v>.</v>
      </c>
      <c r="AM194" s="3"/>
      <c r="AN194" s="1139" t="str">
        <f>IF(X194=".",".",SUM($X194:X194))</f>
        <v>.</v>
      </c>
      <c r="AO194" s="1140" t="str">
        <f>IF(Y194=".",".",SUM($X194:Y194))</f>
        <v>.</v>
      </c>
      <c r="AP194" s="1140" t="str">
        <f>IF(Z194=".",".",SUM($X194:Z194))</f>
        <v>.</v>
      </c>
      <c r="AQ194" s="1140" t="str">
        <f>IF(AA194=".",".",SUM($X194:AA194))</f>
        <v>.</v>
      </c>
      <c r="AR194" s="1140" t="str">
        <f>IF(AB194=".",".",SUM($X194:AB194))</f>
        <v>.</v>
      </c>
      <c r="AS194" s="1140" t="str">
        <f>IF(AC194=".",".",SUM($X194:AC194))</f>
        <v>.</v>
      </c>
      <c r="AT194" s="1141" t="str">
        <f>IF(AD194=".",".",SUM($X194:AD194))</f>
        <v>.</v>
      </c>
      <c r="AU194" s="3"/>
      <c r="AV194" s="1055" t="str">
        <f t="shared" si="106"/>
        <v>.</v>
      </c>
      <c r="AW194" s="258" t="str">
        <f t="shared" si="99"/>
        <v>.</v>
      </c>
      <c r="AX194" s="258" t="str">
        <f t="shared" si="100"/>
        <v>.</v>
      </c>
      <c r="AY194" s="258" t="str">
        <f t="shared" si="101"/>
        <v>.</v>
      </c>
      <c r="AZ194" s="258" t="str">
        <f t="shared" si="102"/>
        <v>.</v>
      </c>
      <c r="BA194" s="258" t="str">
        <f t="shared" si="103"/>
        <v>.</v>
      </c>
      <c r="BB194" s="1056" t="str">
        <f t="shared" si="104"/>
        <v>.</v>
      </c>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row>
    <row r="195" spans="1:91" x14ac:dyDescent="0.2">
      <c r="A195" s="620"/>
      <c r="B195" s="290" t="s">
        <v>697</v>
      </c>
      <c r="C195" s="1022" t="str">
        <f>IF('WS3 - Notional General Income'!C133="","",'WS3 - Notional General Income'!C133)</f>
        <v/>
      </c>
      <c r="D195" s="1006" t="s">
        <v>687</v>
      </c>
      <c r="E195" s="1022"/>
      <c r="F195" s="1022"/>
      <c r="G195" s="1022"/>
      <c r="H195" s="1022"/>
      <c r="I195" s="1022"/>
      <c r="J195" s="1023" t="str">
        <f>IF('WS3 - Notional General Income'!L133=".",".",'WS3 - Notional General Income'!L133/'WS3 - Notional General Income'!D133)</f>
        <v>.</v>
      </c>
      <c r="K195" s="1023" t="str">
        <f>IF('WS4 - Yr 1 YIELD'!L130=".",".",'WS4 - Yr 1 YIELD'!L130/'WS4 - Yr 1 YIELD'!D130)</f>
        <v>.</v>
      </c>
      <c r="L195" s="1024"/>
      <c r="M195" s="1024"/>
      <c r="N195" s="1024"/>
      <c r="O195" s="1024"/>
      <c r="P195" s="1024"/>
      <c r="Q195" s="1024"/>
      <c r="R195" s="76"/>
      <c r="S195" s="3"/>
      <c r="T195" s="1028">
        <f>'WS3 - Notional General Income'!$D133</f>
        <v>0</v>
      </c>
      <c r="U195" s="1029">
        <f>'WS4 - Yr 1 YIELD'!$D130</f>
        <v>0</v>
      </c>
      <c r="V195" s="1035"/>
      <c r="W195" s="3"/>
      <c r="X195" s="1043" t="str">
        <f t="shared" si="105"/>
        <v>.</v>
      </c>
      <c r="Y195" s="1044" t="str">
        <f t="shared" si="88"/>
        <v>.</v>
      </c>
      <c r="Z195" s="1044" t="str">
        <f t="shared" si="89"/>
        <v>.</v>
      </c>
      <c r="AA195" s="1044" t="str">
        <f t="shared" si="90"/>
        <v>.</v>
      </c>
      <c r="AB195" s="1044" t="str">
        <f t="shared" si="91"/>
        <v>.</v>
      </c>
      <c r="AC195" s="1044" t="str">
        <f t="shared" si="92"/>
        <v>.</v>
      </c>
      <c r="AD195" s="1045" t="str">
        <f t="shared" si="93"/>
        <v>.</v>
      </c>
      <c r="AE195" s="3"/>
      <c r="AF195" s="1055" t="str">
        <f t="shared" si="109"/>
        <v>.</v>
      </c>
      <c r="AG195" s="258" t="str">
        <f t="shared" si="110"/>
        <v>.</v>
      </c>
      <c r="AH195" s="258" t="str">
        <f t="shared" si="111"/>
        <v>.</v>
      </c>
      <c r="AI195" s="258" t="str">
        <f t="shared" si="112"/>
        <v>.</v>
      </c>
      <c r="AJ195" s="258" t="str">
        <f t="shared" si="113"/>
        <v>.</v>
      </c>
      <c r="AK195" s="258" t="str">
        <f t="shared" si="114"/>
        <v>.</v>
      </c>
      <c r="AL195" s="1056" t="str">
        <f t="shared" si="98"/>
        <v>.</v>
      </c>
      <c r="AM195" s="3"/>
      <c r="AN195" s="1139" t="str">
        <f>IF(X195=".",".",SUM($X195:X195))</f>
        <v>.</v>
      </c>
      <c r="AO195" s="1140" t="str">
        <f>IF(Y195=".",".",SUM($X195:Y195))</f>
        <v>.</v>
      </c>
      <c r="AP195" s="1140" t="str">
        <f>IF(Z195=".",".",SUM($X195:Z195))</f>
        <v>.</v>
      </c>
      <c r="AQ195" s="1140" t="str">
        <f>IF(AA195=".",".",SUM($X195:AA195))</f>
        <v>.</v>
      </c>
      <c r="AR195" s="1140" t="str">
        <f>IF(AB195=".",".",SUM($X195:AB195))</f>
        <v>.</v>
      </c>
      <c r="AS195" s="1140" t="str">
        <f>IF(AC195=".",".",SUM($X195:AC195))</f>
        <v>.</v>
      </c>
      <c r="AT195" s="1141" t="str">
        <f>IF(AD195=".",".",SUM($X195:AD195))</f>
        <v>.</v>
      </c>
      <c r="AU195" s="3"/>
      <c r="AV195" s="1055" t="str">
        <f t="shared" si="106"/>
        <v>.</v>
      </c>
      <c r="AW195" s="258" t="str">
        <f t="shared" si="99"/>
        <v>.</v>
      </c>
      <c r="AX195" s="258" t="str">
        <f t="shared" si="100"/>
        <v>.</v>
      </c>
      <c r="AY195" s="258" t="str">
        <f t="shared" si="101"/>
        <v>.</v>
      </c>
      <c r="AZ195" s="258" t="str">
        <f t="shared" si="102"/>
        <v>.</v>
      </c>
      <c r="BA195" s="258" t="str">
        <f t="shared" si="103"/>
        <v>.</v>
      </c>
      <c r="BB195" s="1056" t="str">
        <f t="shared" si="104"/>
        <v>.</v>
      </c>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row>
    <row r="196" spans="1:91" x14ac:dyDescent="0.2">
      <c r="A196" s="620"/>
      <c r="B196" s="290" t="s">
        <v>697</v>
      </c>
      <c r="C196" s="1022" t="str">
        <f>IF('WS3 - Notional General Income'!C134="","",'WS3 - Notional General Income'!C134)</f>
        <v/>
      </c>
      <c r="D196" s="1006" t="s">
        <v>687</v>
      </c>
      <c r="E196" s="1022"/>
      <c r="F196" s="1022"/>
      <c r="G196" s="1022"/>
      <c r="H196" s="1022"/>
      <c r="I196" s="1022"/>
      <c r="J196" s="1023" t="str">
        <f>IF('WS3 - Notional General Income'!L134=".",".",'WS3 - Notional General Income'!L134/'WS3 - Notional General Income'!D134)</f>
        <v>.</v>
      </c>
      <c r="K196" s="1023" t="str">
        <f>IF('WS4 - Yr 1 YIELD'!L131=".",".",'WS4 - Yr 1 YIELD'!L131/'WS4 - Yr 1 YIELD'!D131)</f>
        <v>.</v>
      </c>
      <c r="L196" s="1024"/>
      <c r="M196" s="1024"/>
      <c r="N196" s="1024"/>
      <c r="O196" s="1024"/>
      <c r="P196" s="1024"/>
      <c r="Q196" s="1024"/>
      <c r="R196" s="76"/>
      <c r="S196" s="3"/>
      <c r="T196" s="1028">
        <f>'WS3 - Notional General Income'!$D134</f>
        <v>0</v>
      </c>
      <c r="U196" s="1029">
        <f>'WS4 - Yr 1 YIELD'!$D131</f>
        <v>0</v>
      </c>
      <c r="V196" s="1035"/>
      <c r="W196" s="3"/>
      <c r="X196" s="1043" t="str">
        <f t="shared" si="105"/>
        <v>.</v>
      </c>
      <c r="Y196" s="1044" t="str">
        <f t="shared" si="88"/>
        <v>.</v>
      </c>
      <c r="Z196" s="1044" t="str">
        <f t="shared" si="89"/>
        <v>.</v>
      </c>
      <c r="AA196" s="1044" t="str">
        <f t="shared" si="90"/>
        <v>.</v>
      </c>
      <c r="AB196" s="1044" t="str">
        <f t="shared" si="91"/>
        <v>.</v>
      </c>
      <c r="AC196" s="1044" t="str">
        <f t="shared" si="92"/>
        <v>.</v>
      </c>
      <c r="AD196" s="1045" t="str">
        <f t="shared" si="93"/>
        <v>.</v>
      </c>
      <c r="AE196" s="3"/>
      <c r="AF196" s="1055" t="str">
        <f t="shared" si="109"/>
        <v>.</v>
      </c>
      <c r="AG196" s="258" t="str">
        <f t="shared" si="110"/>
        <v>.</v>
      </c>
      <c r="AH196" s="258" t="str">
        <f t="shared" si="111"/>
        <v>.</v>
      </c>
      <c r="AI196" s="258" t="str">
        <f t="shared" si="112"/>
        <v>.</v>
      </c>
      <c r="AJ196" s="258" t="str">
        <f t="shared" si="113"/>
        <v>.</v>
      </c>
      <c r="AK196" s="258" t="str">
        <f t="shared" si="114"/>
        <v>.</v>
      </c>
      <c r="AL196" s="1056" t="str">
        <f t="shared" si="98"/>
        <v>.</v>
      </c>
      <c r="AM196" s="3"/>
      <c r="AN196" s="1139" t="str">
        <f>IF(X196=".",".",SUM($X196:X196))</f>
        <v>.</v>
      </c>
      <c r="AO196" s="1140" t="str">
        <f>IF(Y196=".",".",SUM($X196:Y196))</f>
        <v>.</v>
      </c>
      <c r="AP196" s="1140" t="str">
        <f>IF(Z196=".",".",SUM($X196:Z196))</f>
        <v>.</v>
      </c>
      <c r="AQ196" s="1140" t="str">
        <f>IF(AA196=".",".",SUM($X196:AA196))</f>
        <v>.</v>
      </c>
      <c r="AR196" s="1140" t="str">
        <f>IF(AB196=".",".",SUM($X196:AB196))</f>
        <v>.</v>
      </c>
      <c r="AS196" s="1140" t="str">
        <f>IF(AC196=".",".",SUM($X196:AC196))</f>
        <v>.</v>
      </c>
      <c r="AT196" s="1141" t="str">
        <f>IF(AD196=".",".",SUM($X196:AD196))</f>
        <v>.</v>
      </c>
      <c r="AU196" s="3"/>
      <c r="AV196" s="1055" t="str">
        <f t="shared" si="106"/>
        <v>.</v>
      </c>
      <c r="AW196" s="258" t="str">
        <f t="shared" si="99"/>
        <v>.</v>
      </c>
      <c r="AX196" s="258" t="str">
        <f t="shared" si="100"/>
        <v>.</v>
      </c>
      <c r="AY196" s="258" t="str">
        <f t="shared" si="101"/>
        <v>.</v>
      </c>
      <c r="AZ196" s="258" t="str">
        <f t="shared" si="102"/>
        <v>.</v>
      </c>
      <c r="BA196" s="258" t="str">
        <f t="shared" si="103"/>
        <v>.</v>
      </c>
      <c r="BB196" s="1056" t="str">
        <f t="shared" si="104"/>
        <v>.</v>
      </c>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row>
    <row r="197" spans="1:91" x14ac:dyDescent="0.2">
      <c r="A197" s="620"/>
      <c r="B197" s="290" t="s">
        <v>697</v>
      </c>
      <c r="C197" s="1022" t="str">
        <f>IF('WS3 - Notional General Income'!C135="","",'WS3 - Notional General Income'!C135)</f>
        <v/>
      </c>
      <c r="D197" s="1022" t="s">
        <v>687</v>
      </c>
      <c r="E197" s="1022"/>
      <c r="F197" s="1022"/>
      <c r="G197" s="1022"/>
      <c r="H197" s="1022"/>
      <c r="I197" s="1022"/>
      <c r="J197" s="1023" t="str">
        <f>IF('WS3 - Notional General Income'!L135=".",".",'WS3 - Notional General Income'!L135/'WS3 - Notional General Income'!D135)</f>
        <v>.</v>
      </c>
      <c r="K197" s="1023" t="str">
        <f>IF('WS4 - Yr 1 YIELD'!L132=".",".",'WS4 - Yr 1 YIELD'!L132/'WS4 - Yr 1 YIELD'!D132)</f>
        <v>.</v>
      </c>
      <c r="L197" s="1024"/>
      <c r="M197" s="1024"/>
      <c r="N197" s="1024"/>
      <c r="O197" s="1024"/>
      <c r="P197" s="1024"/>
      <c r="Q197" s="1024"/>
      <c r="R197" s="76"/>
      <c r="S197" s="3"/>
      <c r="T197" s="1028">
        <f>'WS3 - Notional General Income'!$D135</f>
        <v>0</v>
      </c>
      <c r="U197" s="1029">
        <f>'WS4 - Yr 1 YIELD'!$D132</f>
        <v>0</v>
      </c>
      <c r="V197" s="1035"/>
      <c r="W197" s="3"/>
      <c r="X197" s="1043" t="str">
        <f t="shared" si="105"/>
        <v>.</v>
      </c>
      <c r="Y197" s="1044" t="str">
        <f t="shared" si="88"/>
        <v>.</v>
      </c>
      <c r="Z197" s="1044" t="str">
        <f t="shared" ref="Z197:Z218" si="115">IF(M197="",".",M197-L197)</f>
        <v>.</v>
      </c>
      <c r="AA197" s="1044" t="str">
        <f t="shared" ref="AA197:AA218" si="116">IF(N197="",".",N197-M197)</f>
        <v>.</v>
      </c>
      <c r="AB197" s="1044" t="str">
        <f t="shared" ref="AB197:AB218" si="117">IF(O197="",".",O197-N197)</f>
        <v>.</v>
      </c>
      <c r="AC197" s="1044" t="str">
        <f t="shared" ref="AC197:AC218" si="118">IF(P197="",".",P197-O197)</f>
        <v>.</v>
      </c>
      <c r="AD197" s="1045" t="str">
        <f t="shared" ref="AD197:AD218" si="119">IF(Q197="",".",Q197-P197)</f>
        <v>.</v>
      </c>
      <c r="AE197" s="3"/>
      <c r="AF197" s="1055" t="str">
        <f t="shared" si="109"/>
        <v>.</v>
      </c>
      <c r="AG197" s="258" t="str">
        <f t="shared" si="110"/>
        <v>.</v>
      </c>
      <c r="AH197" s="258" t="str">
        <f t="shared" si="111"/>
        <v>.</v>
      </c>
      <c r="AI197" s="258" t="str">
        <f t="shared" si="112"/>
        <v>.</v>
      </c>
      <c r="AJ197" s="258" t="str">
        <f t="shared" si="113"/>
        <v>.</v>
      </c>
      <c r="AK197" s="258" t="str">
        <f t="shared" si="114"/>
        <v>.</v>
      </c>
      <c r="AL197" s="1056" t="str">
        <f t="shared" si="98"/>
        <v>.</v>
      </c>
      <c r="AM197" s="3"/>
      <c r="AN197" s="1139" t="str">
        <f>IF(X197=".",".",SUM($X197:X197))</f>
        <v>.</v>
      </c>
      <c r="AO197" s="1140" t="str">
        <f>IF(Y197=".",".",SUM($X197:Y197))</f>
        <v>.</v>
      </c>
      <c r="AP197" s="1140" t="str">
        <f>IF(Z197=".",".",SUM($X197:Z197))</f>
        <v>.</v>
      </c>
      <c r="AQ197" s="1140" t="str">
        <f>IF(AA197=".",".",SUM($X197:AA197))</f>
        <v>.</v>
      </c>
      <c r="AR197" s="1140" t="str">
        <f>IF(AB197=".",".",SUM($X197:AB197))</f>
        <v>.</v>
      </c>
      <c r="AS197" s="1140" t="str">
        <f>IF(AC197=".",".",SUM($X197:AC197))</f>
        <v>.</v>
      </c>
      <c r="AT197" s="1141" t="str">
        <f>IF(AD197=".",".",SUM($X197:AD197))</f>
        <v>.</v>
      </c>
      <c r="AU197" s="3"/>
      <c r="AV197" s="1055" t="str">
        <f t="shared" si="106"/>
        <v>.</v>
      </c>
      <c r="AW197" s="258" t="str">
        <f t="shared" si="99"/>
        <v>.</v>
      </c>
      <c r="AX197" s="258" t="str">
        <f t="shared" si="100"/>
        <v>.</v>
      </c>
      <c r="AY197" s="258" t="str">
        <f t="shared" si="101"/>
        <v>.</v>
      </c>
      <c r="AZ197" s="258" t="str">
        <f t="shared" si="102"/>
        <v>.</v>
      </c>
      <c r="BA197" s="258" t="str">
        <f t="shared" si="103"/>
        <v>.</v>
      </c>
      <c r="BB197" s="1056" t="str">
        <f t="shared" si="104"/>
        <v>.</v>
      </c>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row>
    <row r="198" spans="1:91" s="6" customFormat="1" x14ac:dyDescent="0.2">
      <c r="A198" s="620"/>
      <c r="B198" s="744"/>
      <c r="C198" s="744" t="s">
        <v>698</v>
      </c>
      <c r="D198" s="744"/>
      <c r="E198" s="744"/>
      <c r="F198" s="744"/>
      <c r="G198" s="744"/>
      <c r="H198" s="744"/>
      <c r="I198" s="744"/>
      <c r="J198" s="1026" t="str">
        <f>IF($T198=0,".",SUMPRODUCT(J178:J197,$T178:$T197)/$T198)</f>
        <v>.</v>
      </c>
      <c r="K198" s="1027" t="str">
        <f t="shared" ref="K198:Q198" si="120">IF($U198=0,".",SUMPRODUCT(K178:K197,$U178:$U197)/$U198)</f>
        <v>.</v>
      </c>
      <c r="L198" s="1025" t="str">
        <f t="shared" si="120"/>
        <v>.</v>
      </c>
      <c r="M198" s="1025" t="str">
        <f t="shared" si="120"/>
        <v>.</v>
      </c>
      <c r="N198" s="1025" t="str">
        <f t="shared" si="120"/>
        <v>.</v>
      </c>
      <c r="O198" s="1025" t="str">
        <f t="shared" si="120"/>
        <v>.</v>
      </c>
      <c r="P198" s="1025" t="str">
        <f t="shared" si="120"/>
        <v>.</v>
      </c>
      <c r="Q198" s="1025" t="str">
        <f t="shared" si="120"/>
        <v>.</v>
      </c>
      <c r="R198" s="76"/>
      <c r="S198" s="2"/>
      <c r="T198" s="1032">
        <f>SUM(T178:T187)</f>
        <v>0</v>
      </c>
      <c r="U198" s="1033">
        <f>SUM(U178:U187)</f>
        <v>0</v>
      </c>
      <c r="V198" s="1036"/>
      <c r="W198" s="2"/>
      <c r="X198" s="1063" t="str">
        <f t="shared" si="105"/>
        <v>.</v>
      </c>
      <c r="Y198" s="1064" t="str">
        <f t="shared" si="88"/>
        <v>.</v>
      </c>
      <c r="Z198" s="1064" t="str">
        <f t="shared" ref="Z198:AD198" si="121">IF(M198=".",".",M198-L198)</f>
        <v>.</v>
      </c>
      <c r="AA198" s="1064" t="str">
        <f t="shared" si="121"/>
        <v>.</v>
      </c>
      <c r="AB198" s="1064" t="str">
        <f t="shared" si="121"/>
        <v>.</v>
      </c>
      <c r="AC198" s="1064" t="str">
        <f t="shared" si="121"/>
        <v>.</v>
      </c>
      <c r="AD198" s="1065" t="str">
        <f t="shared" si="121"/>
        <v>.</v>
      </c>
      <c r="AE198" s="2"/>
      <c r="AF198" s="1136" t="str">
        <f t="shared" si="109"/>
        <v>.</v>
      </c>
      <c r="AG198" s="1137" t="str">
        <f t="shared" si="110"/>
        <v>.</v>
      </c>
      <c r="AH198" s="1137" t="str">
        <f t="shared" si="111"/>
        <v>.</v>
      </c>
      <c r="AI198" s="1137" t="str">
        <f t="shared" si="112"/>
        <v>.</v>
      </c>
      <c r="AJ198" s="1137" t="str">
        <f t="shared" si="113"/>
        <v>.</v>
      </c>
      <c r="AK198" s="1137" t="str">
        <f t="shared" si="114"/>
        <v>.</v>
      </c>
      <c r="AL198" s="1138" t="str">
        <f t="shared" si="98"/>
        <v>.</v>
      </c>
      <c r="AM198" s="2"/>
      <c r="AN198" s="1142" t="str">
        <f>IF(X198=".",".",SUM($X198:X198))</f>
        <v>.</v>
      </c>
      <c r="AO198" s="1143" t="str">
        <f>IF(Y198=".",".",SUM($X198:Y198))</f>
        <v>.</v>
      </c>
      <c r="AP198" s="1143" t="str">
        <f>IF(Z198=".",".",SUM($X198:Z198))</f>
        <v>.</v>
      </c>
      <c r="AQ198" s="1143" t="str">
        <f>IF(AA198=".",".",SUM($X198:AA198))</f>
        <v>.</v>
      </c>
      <c r="AR198" s="1143" t="str">
        <f>IF(AB198=".",".",SUM($X198:AB198))</f>
        <v>.</v>
      </c>
      <c r="AS198" s="1143" t="str">
        <f>IF(AC198=".",".",SUM($X198:AC198))</f>
        <v>.</v>
      </c>
      <c r="AT198" s="1144" t="str">
        <f>IF(AD198=".",".",SUM($X198:AD198))</f>
        <v>.</v>
      </c>
      <c r="AU198" s="3"/>
      <c r="AV198" s="1134" t="str">
        <f t="shared" si="106"/>
        <v>.</v>
      </c>
      <c r="AW198" s="398" t="str">
        <f t="shared" si="99"/>
        <v>.</v>
      </c>
      <c r="AX198" s="398" t="str">
        <f t="shared" si="100"/>
        <v>.</v>
      </c>
      <c r="AY198" s="398" t="str">
        <f t="shared" si="101"/>
        <v>.</v>
      </c>
      <c r="AZ198" s="398" t="str">
        <f t="shared" si="102"/>
        <v>.</v>
      </c>
      <c r="BA198" s="398" t="str">
        <f t="shared" si="103"/>
        <v>.</v>
      </c>
      <c r="BB198" s="1135" t="str">
        <f t="shared" si="104"/>
        <v>.</v>
      </c>
      <c r="BC198" s="2"/>
      <c r="BD198" s="2"/>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row>
    <row r="199" spans="1:91" x14ac:dyDescent="0.2">
      <c r="A199" s="620"/>
      <c r="B199" s="290" t="s">
        <v>585</v>
      </c>
      <c r="C199" s="1022" t="str">
        <f>IF('WS3 - Notional General Income'!C79="","",'WS3 - Notional General Income'!C79)</f>
        <v/>
      </c>
      <c r="D199" s="1006" t="s">
        <v>687</v>
      </c>
      <c r="E199" s="1022"/>
      <c r="F199" s="1022"/>
      <c r="G199" s="1022"/>
      <c r="H199" s="1022"/>
      <c r="I199" s="1022"/>
      <c r="J199" s="1023" t="str">
        <f>IF('WS3 - Notional General Income'!L79=".",".",'WS3 - Notional General Income'!L79/'WS3 - Notional General Income'!D79)</f>
        <v>.</v>
      </c>
      <c r="K199" s="1023" t="str">
        <f>IF('WS4 - Yr 1 YIELD'!L76=".",".",'WS4 - Yr 1 YIELD'!L76/'WS4 - Yr 1 YIELD'!D76)</f>
        <v>.</v>
      </c>
      <c r="L199" s="1024"/>
      <c r="M199" s="1024"/>
      <c r="N199" s="1024"/>
      <c r="O199" s="1024"/>
      <c r="P199" s="1024"/>
      <c r="Q199" s="1024"/>
      <c r="R199" s="76"/>
      <c r="S199" s="3"/>
      <c r="T199" s="1028">
        <f>'WS3 - Notional General Income'!$D79</f>
        <v>0</v>
      </c>
      <c r="U199" s="1029">
        <f>'WS4 - Yr 1 YIELD'!$D76</f>
        <v>0</v>
      </c>
      <c r="V199" s="1035"/>
      <c r="W199" s="3"/>
      <c r="X199" s="1043" t="str">
        <f t="shared" si="105"/>
        <v>.</v>
      </c>
      <c r="Y199" s="1044" t="str">
        <f t="shared" si="88"/>
        <v>.</v>
      </c>
      <c r="Z199" s="1044" t="str">
        <f t="shared" si="115"/>
        <v>.</v>
      </c>
      <c r="AA199" s="1044" t="str">
        <f t="shared" si="116"/>
        <v>.</v>
      </c>
      <c r="AB199" s="1044" t="str">
        <f t="shared" si="117"/>
        <v>.</v>
      </c>
      <c r="AC199" s="1044" t="str">
        <f t="shared" si="118"/>
        <v>.</v>
      </c>
      <c r="AD199" s="1045" t="str">
        <f t="shared" si="119"/>
        <v>.</v>
      </c>
      <c r="AE199" s="3"/>
      <c r="AF199" s="1055" t="str">
        <f t="shared" si="109"/>
        <v>.</v>
      </c>
      <c r="AG199" s="258" t="str">
        <f t="shared" si="110"/>
        <v>.</v>
      </c>
      <c r="AH199" s="258" t="str">
        <f t="shared" si="111"/>
        <v>.</v>
      </c>
      <c r="AI199" s="258" t="str">
        <f t="shared" si="112"/>
        <v>.</v>
      </c>
      <c r="AJ199" s="258" t="str">
        <f t="shared" si="113"/>
        <v>.</v>
      </c>
      <c r="AK199" s="258" t="str">
        <f t="shared" si="114"/>
        <v>.</v>
      </c>
      <c r="AL199" s="1056" t="str">
        <f t="shared" si="98"/>
        <v>.</v>
      </c>
      <c r="AM199" s="3"/>
      <c r="AN199" s="1139" t="str">
        <f>IF(X199=".",".",SUM($X199:X199))</f>
        <v>.</v>
      </c>
      <c r="AO199" s="1140" t="str">
        <f>IF(Y199=".",".",SUM($X199:Y199))</f>
        <v>.</v>
      </c>
      <c r="AP199" s="1140" t="str">
        <f>IF(Z199=".",".",SUM($X199:Z199))</f>
        <v>.</v>
      </c>
      <c r="AQ199" s="1140" t="str">
        <f>IF(AA199=".",".",SUM($X199:AA199))</f>
        <v>.</v>
      </c>
      <c r="AR199" s="1140" t="str">
        <f>IF(AB199=".",".",SUM($X199:AB199))</f>
        <v>.</v>
      </c>
      <c r="AS199" s="1140" t="str">
        <f>IF(AC199=".",".",SUM($X199:AC199))</f>
        <v>.</v>
      </c>
      <c r="AT199" s="1141" t="str">
        <f>IF(AD199=".",".",SUM($X199:AD199))</f>
        <v>.</v>
      </c>
      <c r="AU199" s="3"/>
      <c r="AV199" s="1055" t="str">
        <f t="shared" si="106"/>
        <v>.</v>
      </c>
      <c r="AW199" s="258" t="str">
        <f t="shared" si="99"/>
        <v>.</v>
      </c>
      <c r="AX199" s="258" t="str">
        <f t="shared" si="100"/>
        <v>.</v>
      </c>
      <c r="AY199" s="258" t="str">
        <f t="shared" si="101"/>
        <v>.</v>
      </c>
      <c r="AZ199" s="258" t="str">
        <f t="shared" si="102"/>
        <v>.</v>
      </c>
      <c r="BA199" s="258" t="str">
        <f t="shared" si="103"/>
        <v>.</v>
      </c>
      <c r="BB199" s="1056" t="str">
        <f t="shared" si="104"/>
        <v>.</v>
      </c>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row>
    <row r="200" spans="1:91" x14ac:dyDescent="0.2">
      <c r="A200" s="620"/>
      <c r="B200" s="290" t="s">
        <v>585</v>
      </c>
      <c r="C200" s="1022" t="str">
        <f>IF('WS3 - Notional General Income'!C80="","",'WS3 - Notional General Income'!C80)</f>
        <v/>
      </c>
      <c r="D200" s="1006" t="s">
        <v>687</v>
      </c>
      <c r="E200" s="1022"/>
      <c r="F200" s="1022"/>
      <c r="G200" s="1022"/>
      <c r="H200" s="1022"/>
      <c r="I200" s="1022"/>
      <c r="J200" s="1023" t="str">
        <f>IF('WS3 - Notional General Income'!L80=".",".",'WS3 - Notional General Income'!L80/'WS3 - Notional General Income'!D80)</f>
        <v>.</v>
      </c>
      <c r="K200" s="1023" t="str">
        <f>IF('WS4 - Yr 1 YIELD'!L77=".",".",'WS4 - Yr 1 YIELD'!L77/'WS4 - Yr 1 YIELD'!D77)</f>
        <v>.</v>
      </c>
      <c r="L200" s="1024"/>
      <c r="M200" s="1024"/>
      <c r="N200" s="1024"/>
      <c r="O200" s="1024"/>
      <c r="P200" s="1024"/>
      <c r="Q200" s="1024"/>
      <c r="R200" s="76"/>
      <c r="S200" s="3"/>
      <c r="T200" s="1028">
        <f>'WS3 - Notional General Income'!$D80</f>
        <v>0</v>
      </c>
      <c r="U200" s="1029">
        <f>'WS4 - Yr 1 YIELD'!$D77</f>
        <v>0</v>
      </c>
      <c r="V200" s="1035"/>
      <c r="W200" s="3"/>
      <c r="X200" s="1043" t="str">
        <f t="shared" si="105"/>
        <v>.</v>
      </c>
      <c r="Y200" s="1044" t="str">
        <f t="shared" si="88"/>
        <v>.</v>
      </c>
      <c r="Z200" s="1044" t="str">
        <f t="shared" si="115"/>
        <v>.</v>
      </c>
      <c r="AA200" s="1044" t="str">
        <f t="shared" si="116"/>
        <v>.</v>
      </c>
      <c r="AB200" s="1044" t="str">
        <f t="shared" si="117"/>
        <v>.</v>
      </c>
      <c r="AC200" s="1044" t="str">
        <f t="shared" si="118"/>
        <v>.</v>
      </c>
      <c r="AD200" s="1045" t="str">
        <f t="shared" si="119"/>
        <v>.</v>
      </c>
      <c r="AE200" s="3"/>
      <c r="AF200" s="1055" t="str">
        <f t="shared" si="109"/>
        <v>.</v>
      </c>
      <c r="AG200" s="258" t="str">
        <f t="shared" si="110"/>
        <v>.</v>
      </c>
      <c r="AH200" s="258" t="str">
        <f t="shared" si="111"/>
        <v>.</v>
      </c>
      <c r="AI200" s="258" t="str">
        <f t="shared" si="112"/>
        <v>.</v>
      </c>
      <c r="AJ200" s="258" t="str">
        <f t="shared" si="113"/>
        <v>.</v>
      </c>
      <c r="AK200" s="258" t="str">
        <f t="shared" si="114"/>
        <v>.</v>
      </c>
      <c r="AL200" s="1056" t="str">
        <f t="shared" si="98"/>
        <v>.</v>
      </c>
      <c r="AM200" s="3"/>
      <c r="AN200" s="1139" t="str">
        <f>IF(X200=".",".",SUM($X200:X200))</f>
        <v>.</v>
      </c>
      <c r="AO200" s="1140" t="str">
        <f>IF(Y200=".",".",SUM($X200:Y200))</f>
        <v>.</v>
      </c>
      <c r="AP200" s="1140" t="str">
        <f>IF(Z200=".",".",SUM($X200:Z200))</f>
        <v>.</v>
      </c>
      <c r="AQ200" s="1140" t="str">
        <f>IF(AA200=".",".",SUM($X200:AA200))</f>
        <v>.</v>
      </c>
      <c r="AR200" s="1140" t="str">
        <f>IF(AB200=".",".",SUM($X200:AB200))</f>
        <v>.</v>
      </c>
      <c r="AS200" s="1140" t="str">
        <f>IF(AC200=".",".",SUM($X200:AC200))</f>
        <v>.</v>
      </c>
      <c r="AT200" s="1141" t="str">
        <f>IF(AD200=".",".",SUM($X200:AD200))</f>
        <v>.</v>
      </c>
      <c r="AU200" s="3"/>
      <c r="AV200" s="1055" t="str">
        <f t="shared" si="106"/>
        <v>.</v>
      </c>
      <c r="AW200" s="258" t="str">
        <f t="shared" si="99"/>
        <v>.</v>
      </c>
      <c r="AX200" s="258" t="str">
        <f t="shared" si="100"/>
        <v>.</v>
      </c>
      <c r="AY200" s="258" t="str">
        <f t="shared" si="101"/>
        <v>.</v>
      </c>
      <c r="AZ200" s="258" t="str">
        <f t="shared" si="102"/>
        <v>.</v>
      </c>
      <c r="BA200" s="258" t="str">
        <f t="shared" si="103"/>
        <v>.</v>
      </c>
      <c r="BB200" s="1056" t="str">
        <f t="shared" si="104"/>
        <v>.</v>
      </c>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row>
    <row r="201" spans="1:91" x14ac:dyDescent="0.2">
      <c r="A201" s="620"/>
      <c r="B201" s="290" t="s">
        <v>585</v>
      </c>
      <c r="C201" s="1022" t="str">
        <f>IF('WS3 - Notional General Income'!C81="","",'WS3 - Notional General Income'!C81)</f>
        <v/>
      </c>
      <c r="D201" s="1006" t="s">
        <v>687</v>
      </c>
      <c r="E201" s="1022"/>
      <c r="F201" s="1022"/>
      <c r="G201" s="1022"/>
      <c r="H201" s="1022"/>
      <c r="I201" s="1022"/>
      <c r="J201" s="1023" t="str">
        <f>IF('WS3 - Notional General Income'!L81=".",".",'WS3 - Notional General Income'!L81/'WS3 - Notional General Income'!D81)</f>
        <v>.</v>
      </c>
      <c r="K201" s="1023" t="str">
        <f>IF('WS4 - Yr 1 YIELD'!L78=".",".",'WS4 - Yr 1 YIELD'!L78/'WS4 - Yr 1 YIELD'!D78)</f>
        <v>.</v>
      </c>
      <c r="L201" s="1024"/>
      <c r="M201" s="1024"/>
      <c r="N201" s="1024"/>
      <c r="O201" s="1024"/>
      <c r="P201" s="1024"/>
      <c r="Q201" s="1024"/>
      <c r="R201" s="76"/>
      <c r="S201" s="3"/>
      <c r="T201" s="1028">
        <f>'WS3 - Notional General Income'!$D81</f>
        <v>0</v>
      </c>
      <c r="U201" s="1029">
        <f>'WS4 - Yr 1 YIELD'!$D78</f>
        <v>0</v>
      </c>
      <c r="V201" s="1035"/>
      <c r="W201" s="3"/>
      <c r="X201" s="1043" t="str">
        <f t="shared" si="105"/>
        <v>.</v>
      </c>
      <c r="Y201" s="1044" t="str">
        <f t="shared" si="88"/>
        <v>.</v>
      </c>
      <c r="Z201" s="1044" t="str">
        <f t="shared" si="115"/>
        <v>.</v>
      </c>
      <c r="AA201" s="1044" t="str">
        <f t="shared" si="116"/>
        <v>.</v>
      </c>
      <c r="AB201" s="1044" t="str">
        <f t="shared" si="117"/>
        <v>.</v>
      </c>
      <c r="AC201" s="1044" t="str">
        <f t="shared" si="118"/>
        <v>.</v>
      </c>
      <c r="AD201" s="1045" t="str">
        <f t="shared" si="119"/>
        <v>.</v>
      </c>
      <c r="AE201" s="3"/>
      <c r="AF201" s="1055" t="str">
        <f t="shared" si="109"/>
        <v>.</v>
      </c>
      <c r="AG201" s="258" t="str">
        <f t="shared" si="110"/>
        <v>.</v>
      </c>
      <c r="AH201" s="258" t="str">
        <f t="shared" si="111"/>
        <v>.</v>
      </c>
      <c r="AI201" s="258" t="str">
        <f t="shared" si="112"/>
        <v>.</v>
      </c>
      <c r="AJ201" s="258" t="str">
        <f t="shared" si="113"/>
        <v>.</v>
      </c>
      <c r="AK201" s="258" t="str">
        <f t="shared" si="114"/>
        <v>.</v>
      </c>
      <c r="AL201" s="1056" t="str">
        <f t="shared" si="98"/>
        <v>.</v>
      </c>
      <c r="AM201" s="3"/>
      <c r="AN201" s="1139" t="str">
        <f>IF(X201=".",".",SUM($X201:X201))</f>
        <v>.</v>
      </c>
      <c r="AO201" s="1140" t="str">
        <f>IF(Y201=".",".",SUM($X201:Y201))</f>
        <v>.</v>
      </c>
      <c r="AP201" s="1140" t="str">
        <f>IF(Z201=".",".",SUM($X201:Z201))</f>
        <v>.</v>
      </c>
      <c r="AQ201" s="1140" t="str">
        <f>IF(AA201=".",".",SUM($X201:AA201))</f>
        <v>.</v>
      </c>
      <c r="AR201" s="1140" t="str">
        <f>IF(AB201=".",".",SUM($X201:AB201))</f>
        <v>.</v>
      </c>
      <c r="AS201" s="1140" t="str">
        <f>IF(AC201=".",".",SUM($X201:AC201))</f>
        <v>.</v>
      </c>
      <c r="AT201" s="1141" t="str">
        <f>IF(AD201=".",".",SUM($X201:AD201))</f>
        <v>.</v>
      </c>
      <c r="AU201" s="3"/>
      <c r="AV201" s="1055" t="str">
        <f t="shared" si="106"/>
        <v>.</v>
      </c>
      <c r="AW201" s="258" t="str">
        <f t="shared" si="99"/>
        <v>.</v>
      </c>
      <c r="AX201" s="258" t="str">
        <f t="shared" si="100"/>
        <v>.</v>
      </c>
      <c r="AY201" s="258" t="str">
        <f t="shared" si="101"/>
        <v>.</v>
      </c>
      <c r="AZ201" s="258" t="str">
        <f t="shared" si="102"/>
        <v>.</v>
      </c>
      <c r="BA201" s="258" t="str">
        <f t="shared" si="103"/>
        <v>.</v>
      </c>
      <c r="BB201" s="1056" t="str">
        <f t="shared" si="104"/>
        <v>.</v>
      </c>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row>
    <row r="202" spans="1:91" x14ac:dyDescent="0.2">
      <c r="A202" s="620"/>
      <c r="B202" s="290" t="s">
        <v>585</v>
      </c>
      <c r="C202" s="1022" t="str">
        <f>IF('WS3 - Notional General Income'!C82="","",'WS3 - Notional General Income'!C82)</f>
        <v/>
      </c>
      <c r="D202" s="1006" t="s">
        <v>687</v>
      </c>
      <c r="E202" s="1022"/>
      <c r="F202" s="1022"/>
      <c r="G202" s="1022"/>
      <c r="H202" s="1022"/>
      <c r="I202" s="1022"/>
      <c r="J202" s="1023" t="str">
        <f>IF('WS3 - Notional General Income'!L82=".",".",'WS3 - Notional General Income'!L82/'WS3 - Notional General Income'!D82)</f>
        <v>.</v>
      </c>
      <c r="K202" s="1023" t="str">
        <f>IF('WS4 - Yr 1 YIELD'!L79=".",".",'WS4 - Yr 1 YIELD'!L79/'WS4 - Yr 1 YIELD'!D79)</f>
        <v>.</v>
      </c>
      <c r="L202" s="1024"/>
      <c r="M202" s="1024"/>
      <c r="N202" s="1024"/>
      <c r="O202" s="1024"/>
      <c r="P202" s="1024"/>
      <c r="Q202" s="1024"/>
      <c r="R202" s="76"/>
      <c r="S202" s="3"/>
      <c r="T202" s="1028">
        <f>'WS3 - Notional General Income'!$D82</f>
        <v>0</v>
      </c>
      <c r="U202" s="1029">
        <f>'WS4 - Yr 1 YIELD'!$D79</f>
        <v>0</v>
      </c>
      <c r="V202" s="1035"/>
      <c r="W202" s="3"/>
      <c r="X202" s="1043" t="str">
        <f t="shared" si="105"/>
        <v>.</v>
      </c>
      <c r="Y202" s="1044" t="str">
        <f t="shared" si="88"/>
        <v>.</v>
      </c>
      <c r="Z202" s="1044" t="str">
        <f t="shared" si="115"/>
        <v>.</v>
      </c>
      <c r="AA202" s="1044" t="str">
        <f t="shared" si="116"/>
        <v>.</v>
      </c>
      <c r="AB202" s="1044" t="str">
        <f t="shared" si="117"/>
        <v>.</v>
      </c>
      <c r="AC202" s="1044" t="str">
        <f t="shared" si="118"/>
        <v>.</v>
      </c>
      <c r="AD202" s="1045" t="str">
        <f t="shared" si="119"/>
        <v>.</v>
      </c>
      <c r="AE202" s="3"/>
      <c r="AF202" s="1055" t="str">
        <f t="shared" si="109"/>
        <v>.</v>
      </c>
      <c r="AG202" s="258" t="str">
        <f t="shared" si="110"/>
        <v>.</v>
      </c>
      <c r="AH202" s="258" t="str">
        <f t="shared" si="111"/>
        <v>.</v>
      </c>
      <c r="AI202" s="258" t="str">
        <f t="shared" si="112"/>
        <v>.</v>
      </c>
      <c r="AJ202" s="258" t="str">
        <f t="shared" si="113"/>
        <v>.</v>
      </c>
      <c r="AK202" s="258" t="str">
        <f t="shared" si="114"/>
        <v>.</v>
      </c>
      <c r="AL202" s="1056" t="str">
        <f t="shared" si="98"/>
        <v>.</v>
      </c>
      <c r="AM202" s="3"/>
      <c r="AN202" s="1139" t="str">
        <f>IF(X202=".",".",SUM($X202:X202))</f>
        <v>.</v>
      </c>
      <c r="AO202" s="1140" t="str">
        <f>IF(Y202=".",".",SUM($X202:Y202))</f>
        <v>.</v>
      </c>
      <c r="AP202" s="1140" t="str">
        <f>IF(Z202=".",".",SUM($X202:Z202))</f>
        <v>.</v>
      </c>
      <c r="AQ202" s="1140" t="str">
        <f>IF(AA202=".",".",SUM($X202:AA202))</f>
        <v>.</v>
      </c>
      <c r="AR202" s="1140" t="str">
        <f>IF(AB202=".",".",SUM($X202:AB202))</f>
        <v>.</v>
      </c>
      <c r="AS202" s="1140" t="str">
        <f>IF(AC202=".",".",SUM($X202:AC202))</f>
        <v>.</v>
      </c>
      <c r="AT202" s="1141" t="str">
        <f>IF(AD202=".",".",SUM($X202:AD202))</f>
        <v>.</v>
      </c>
      <c r="AU202" s="3"/>
      <c r="AV202" s="1055" t="str">
        <f t="shared" si="106"/>
        <v>.</v>
      </c>
      <c r="AW202" s="258" t="str">
        <f t="shared" si="99"/>
        <v>.</v>
      </c>
      <c r="AX202" s="258" t="str">
        <f t="shared" si="100"/>
        <v>.</v>
      </c>
      <c r="AY202" s="258" t="str">
        <f t="shared" si="101"/>
        <v>.</v>
      </c>
      <c r="AZ202" s="258" t="str">
        <f t="shared" si="102"/>
        <v>.</v>
      </c>
      <c r="BA202" s="258" t="str">
        <f t="shared" si="103"/>
        <v>.</v>
      </c>
      <c r="BB202" s="1056" t="str">
        <f t="shared" si="104"/>
        <v>.</v>
      </c>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row>
    <row r="203" spans="1:91" x14ac:dyDescent="0.2">
      <c r="A203" s="620"/>
      <c r="B203" s="290" t="s">
        <v>585</v>
      </c>
      <c r="C203" s="1022" t="str">
        <f>IF('WS3 - Notional General Income'!C83="","",'WS3 - Notional General Income'!C83)</f>
        <v/>
      </c>
      <c r="D203" s="1006" t="s">
        <v>687</v>
      </c>
      <c r="E203" s="1022"/>
      <c r="F203" s="1022"/>
      <c r="G203" s="1022"/>
      <c r="H203" s="1022"/>
      <c r="I203" s="1022"/>
      <c r="J203" s="1023" t="str">
        <f>IF('WS3 - Notional General Income'!L83=".",".",'WS3 - Notional General Income'!L83/'WS3 - Notional General Income'!D83)</f>
        <v>.</v>
      </c>
      <c r="K203" s="1023" t="str">
        <f>IF('WS4 - Yr 1 YIELD'!L80=".",".",'WS4 - Yr 1 YIELD'!L80/'WS4 - Yr 1 YIELD'!D80)</f>
        <v>.</v>
      </c>
      <c r="L203" s="1024"/>
      <c r="M203" s="1024"/>
      <c r="N203" s="1024"/>
      <c r="O203" s="1024"/>
      <c r="P203" s="1024"/>
      <c r="Q203" s="1024"/>
      <c r="R203" s="76"/>
      <c r="S203" s="3"/>
      <c r="T203" s="1028">
        <f>'WS3 - Notional General Income'!$D83</f>
        <v>0</v>
      </c>
      <c r="U203" s="1029">
        <f>'WS4 - Yr 1 YIELD'!$D80</f>
        <v>0</v>
      </c>
      <c r="V203" s="1035"/>
      <c r="W203" s="3"/>
      <c r="X203" s="1043" t="str">
        <f t="shared" si="105"/>
        <v>.</v>
      </c>
      <c r="Y203" s="1044" t="str">
        <f t="shared" si="88"/>
        <v>.</v>
      </c>
      <c r="Z203" s="1044" t="str">
        <f t="shared" si="115"/>
        <v>.</v>
      </c>
      <c r="AA203" s="1044" t="str">
        <f t="shared" si="116"/>
        <v>.</v>
      </c>
      <c r="AB203" s="1044" t="str">
        <f t="shared" si="117"/>
        <v>.</v>
      </c>
      <c r="AC203" s="1044" t="str">
        <f t="shared" si="118"/>
        <v>.</v>
      </c>
      <c r="AD203" s="1045" t="str">
        <f t="shared" si="119"/>
        <v>.</v>
      </c>
      <c r="AE203" s="3"/>
      <c r="AF203" s="1055" t="str">
        <f t="shared" si="109"/>
        <v>.</v>
      </c>
      <c r="AG203" s="258" t="str">
        <f t="shared" si="110"/>
        <v>.</v>
      </c>
      <c r="AH203" s="258" t="str">
        <f t="shared" si="111"/>
        <v>.</v>
      </c>
      <c r="AI203" s="258" t="str">
        <f t="shared" si="112"/>
        <v>.</v>
      </c>
      <c r="AJ203" s="258" t="str">
        <f t="shared" si="113"/>
        <v>.</v>
      </c>
      <c r="AK203" s="258" t="str">
        <f t="shared" si="114"/>
        <v>.</v>
      </c>
      <c r="AL203" s="1056" t="str">
        <f t="shared" si="98"/>
        <v>.</v>
      </c>
      <c r="AM203" s="3"/>
      <c r="AN203" s="1139" t="str">
        <f>IF(X203=".",".",SUM($X203:X203))</f>
        <v>.</v>
      </c>
      <c r="AO203" s="1140" t="str">
        <f>IF(Y203=".",".",SUM($X203:Y203))</f>
        <v>.</v>
      </c>
      <c r="AP203" s="1140" t="str">
        <f>IF(Z203=".",".",SUM($X203:Z203))</f>
        <v>.</v>
      </c>
      <c r="AQ203" s="1140" t="str">
        <f>IF(AA203=".",".",SUM($X203:AA203))</f>
        <v>.</v>
      </c>
      <c r="AR203" s="1140" t="str">
        <f>IF(AB203=".",".",SUM($X203:AB203))</f>
        <v>.</v>
      </c>
      <c r="AS203" s="1140" t="str">
        <f>IF(AC203=".",".",SUM($X203:AC203))</f>
        <v>.</v>
      </c>
      <c r="AT203" s="1141" t="str">
        <f>IF(AD203=".",".",SUM($X203:AD203))</f>
        <v>.</v>
      </c>
      <c r="AU203" s="3"/>
      <c r="AV203" s="1055" t="str">
        <f t="shared" si="106"/>
        <v>.</v>
      </c>
      <c r="AW203" s="258" t="str">
        <f t="shared" si="99"/>
        <v>.</v>
      </c>
      <c r="AX203" s="258" t="str">
        <f t="shared" si="100"/>
        <v>.</v>
      </c>
      <c r="AY203" s="258" t="str">
        <f t="shared" si="101"/>
        <v>.</v>
      </c>
      <c r="AZ203" s="258" t="str">
        <f t="shared" si="102"/>
        <v>.</v>
      </c>
      <c r="BA203" s="258" t="str">
        <f t="shared" si="103"/>
        <v>.</v>
      </c>
      <c r="BB203" s="1056" t="str">
        <f t="shared" si="104"/>
        <v>.</v>
      </c>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row>
    <row r="204" spans="1:91" x14ac:dyDescent="0.2">
      <c r="A204" s="620"/>
      <c r="B204" s="290" t="s">
        <v>585</v>
      </c>
      <c r="C204" s="1022" t="str">
        <f>IF('WS3 - Notional General Income'!C84="","",'WS3 - Notional General Income'!C84)</f>
        <v/>
      </c>
      <c r="D204" s="1006" t="s">
        <v>687</v>
      </c>
      <c r="E204" s="1022"/>
      <c r="F204" s="1022"/>
      <c r="G204" s="1022"/>
      <c r="H204" s="1022"/>
      <c r="I204" s="1022"/>
      <c r="J204" s="1023" t="str">
        <f>IF('WS3 - Notional General Income'!L84=".",".",'WS3 - Notional General Income'!L84/'WS3 - Notional General Income'!D84)</f>
        <v>.</v>
      </c>
      <c r="K204" s="1023" t="str">
        <f>IF('WS4 - Yr 1 YIELD'!L81=".",".",'WS4 - Yr 1 YIELD'!L81/'WS4 - Yr 1 YIELD'!D81)</f>
        <v>.</v>
      </c>
      <c r="L204" s="1024"/>
      <c r="M204" s="1024"/>
      <c r="N204" s="1024"/>
      <c r="O204" s="1024"/>
      <c r="P204" s="1024"/>
      <c r="Q204" s="1024"/>
      <c r="R204" s="76"/>
      <c r="S204" s="3"/>
      <c r="T204" s="1028">
        <f>'WS3 - Notional General Income'!$D84</f>
        <v>0</v>
      </c>
      <c r="U204" s="1029">
        <f>'WS4 - Yr 1 YIELD'!$D81</f>
        <v>0</v>
      </c>
      <c r="V204" s="1035"/>
      <c r="W204" s="3"/>
      <c r="X204" s="1043" t="str">
        <f t="shared" si="105"/>
        <v>.</v>
      </c>
      <c r="Y204" s="1044" t="str">
        <f t="shared" si="88"/>
        <v>.</v>
      </c>
      <c r="Z204" s="1044" t="str">
        <f t="shared" si="115"/>
        <v>.</v>
      </c>
      <c r="AA204" s="1044" t="str">
        <f t="shared" si="116"/>
        <v>.</v>
      </c>
      <c r="AB204" s="1044" t="str">
        <f t="shared" si="117"/>
        <v>.</v>
      </c>
      <c r="AC204" s="1044" t="str">
        <f t="shared" si="118"/>
        <v>.</v>
      </c>
      <c r="AD204" s="1045" t="str">
        <f t="shared" si="119"/>
        <v>.</v>
      </c>
      <c r="AE204" s="3"/>
      <c r="AF204" s="1055" t="str">
        <f t="shared" si="109"/>
        <v>.</v>
      </c>
      <c r="AG204" s="258" t="str">
        <f t="shared" si="110"/>
        <v>.</v>
      </c>
      <c r="AH204" s="258" t="str">
        <f t="shared" si="111"/>
        <v>.</v>
      </c>
      <c r="AI204" s="258" t="str">
        <f t="shared" si="112"/>
        <v>.</v>
      </c>
      <c r="AJ204" s="258" t="str">
        <f t="shared" si="113"/>
        <v>.</v>
      </c>
      <c r="AK204" s="258" t="str">
        <f t="shared" si="114"/>
        <v>.</v>
      </c>
      <c r="AL204" s="1056" t="str">
        <f t="shared" si="98"/>
        <v>.</v>
      </c>
      <c r="AM204" s="3"/>
      <c r="AN204" s="1139" t="str">
        <f>IF(X204=".",".",SUM($X204:X204))</f>
        <v>.</v>
      </c>
      <c r="AO204" s="1140" t="str">
        <f>IF(Y204=".",".",SUM($X204:Y204))</f>
        <v>.</v>
      </c>
      <c r="AP204" s="1140" t="str">
        <f>IF(Z204=".",".",SUM($X204:Z204))</f>
        <v>.</v>
      </c>
      <c r="AQ204" s="1140" t="str">
        <f>IF(AA204=".",".",SUM($X204:AA204))</f>
        <v>.</v>
      </c>
      <c r="AR204" s="1140" t="str">
        <f>IF(AB204=".",".",SUM($X204:AB204))</f>
        <v>.</v>
      </c>
      <c r="AS204" s="1140" t="str">
        <f>IF(AC204=".",".",SUM($X204:AC204))</f>
        <v>.</v>
      </c>
      <c r="AT204" s="1141" t="str">
        <f>IF(AD204=".",".",SUM($X204:AD204))</f>
        <v>.</v>
      </c>
      <c r="AU204" s="3"/>
      <c r="AV204" s="1055" t="str">
        <f t="shared" si="106"/>
        <v>.</v>
      </c>
      <c r="AW204" s="258" t="str">
        <f t="shared" si="99"/>
        <v>.</v>
      </c>
      <c r="AX204" s="258" t="str">
        <f t="shared" si="100"/>
        <v>.</v>
      </c>
      <c r="AY204" s="258" t="str">
        <f t="shared" si="101"/>
        <v>.</v>
      </c>
      <c r="AZ204" s="258" t="str">
        <f t="shared" si="102"/>
        <v>.</v>
      </c>
      <c r="BA204" s="258" t="str">
        <f t="shared" si="103"/>
        <v>.</v>
      </c>
      <c r="BB204" s="1056" t="str">
        <f t="shared" si="104"/>
        <v>.</v>
      </c>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row>
    <row r="205" spans="1:91" x14ac:dyDescent="0.2">
      <c r="A205" s="620"/>
      <c r="B205" s="290" t="s">
        <v>585</v>
      </c>
      <c r="C205" s="1022" t="str">
        <f>IF('WS3 - Notional General Income'!C85="","",'WS3 - Notional General Income'!C85)</f>
        <v/>
      </c>
      <c r="D205" s="1006" t="s">
        <v>687</v>
      </c>
      <c r="E205" s="1022"/>
      <c r="F205" s="1022"/>
      <c r="G205" s="1022"/>
      <c r="H205" s="1022"/>
      <c r="I205" s="1022"/>
      <c r="J205" s="1023" t="str">
        <f>IF('WS3 - Notional General Income'!L85=".",".",'WS3 - Notional General Income'!L85/'WS3 - Notional General Income'!D85)</f>
        <v>.</v>
      </c>
      <c r="K205" s="1023" t="str">
        <f>IF('WS4 - Yr 1 YIELD'!L82=".",".",'WS4 - Yr 1 YIELD'!L82/'WS4 - Yr 1 YIELD'!D82)</f>
        <v>.</v>
      </c>
      <c r="L205" s="1024"/>
      <c r="M205" s="1024"/>
      <c r="N205" s="1024"/>
      <c r="O205" s="1024"/>
      <c r="P205" s="1024"/>
      <c r="Q205" s="1024"/>
      <c r="R205" s="76"/>
      <c r="S205" s="3"/>
      <c r="T205" s="1028">
        <f>'WS3 - Notional General Income'!$D85</f>
        <v>0</v>
      </c>
      <c r="U205" s="1029">
        <f>'WS4 - Yr 1 YIELD'!$D82</f>
        <v>0</v>
      </c>
      <c r="V205" s="1035"/>
      <c r="W205" s="3"/>
      <c r="X205" s="1043" t="str">
        <f t="shared" si="105"/>
        <v>.</v>
      </c>
      <c r="Y205" s="1044" t="str">
        <f t="shared" si="88"/>
        <v>.</v>
      </c>
      <c r="Z205" s="1044" t="str">
        <f t="shared" si="115"/>
        <v>.</v>
      </c>
      <c r="AA205" s="1044" t="str">
        <f t="shared" si="116"/>
        <v>.</v>
      </c>
      <c r="AB205" s="1044" t="str">
        <f t="shared" si="117"/>
        <v>.</v>
      </c>
      <c r="AC205" s="1044" t="str">
        <f t="shared" si="118"/>
        <v>.</v>
      </c>
      <c r="AD205" s="1045" t="str">
        <f t="shared" si="119"/>
        <v>.</v>
      </c>
      <c r="AE205" s="3"/>
      <c r="AF205" s="1055" t="str">
        <f t="shared" si="109"/>
        <v>.</v>
      </c>
      <c r="AG205" s="258" t="str">
        <f t="shared" si="110"/>
        <v>.</v>
      </c>
      <c r="AH205" s="258" t="str">
        <f t="shared" si="111"/>
        <v>.</v>
      </c>
      <c r="AI205" s="258" t="str">
        <f t="shared" si="112"/>
        <v>.</v>
      </c>
      <c r="AJ205" s="258" t="str">
        <f t="shared" si="113"/>
        <v>.</v>
      </c>
      <c r="AK205" s="258" t="str">
        <f t="shared" si="114"/>
        <v>.</v>
      </c>
      <c r="AL205" s="1056" t="str">
        <f t="shared" si="98"/>
        <v>.</v>
      </c>
      <c r="AM205" s="3"/>
      <c r="AN205" s="1139" t="str">
        <f>IF(X205=".",".",SUM($X205:X205))</f>
        <v>.</v>
      </c>
      <c r="AO205" s="1140" t="str">
        <f>IF(Y205=".",".",SUM($X205:Y205))</f>
        <v>.</v>
      </c>
      <c r="AP205" s="1140" t="str">
        <f>IF(Z205=".",".",SUM($X205:Z205))</f>
        <v>.</v>
      </c>
      <c r="AQ205" s="1140" t="str">
        <f>IF(AA205=".",".",SUM($X205:AA205))</f>
        <v>.</v>
      </c>
      <c r="AR205" s="1140" t="str">
        <f>IF(AB205=".",".",SUM($X205:AB205))</f>
        <v>.</v>
      </c>
      <c r="AS205" s="1140" t="str">
        <f>IF(AC205=".",".",SUM($X205:AC205))</f>
        <v>.</v>
      </c>
      <c r="AT205" s="1141" t="str">
        <f>IF(AD205=".",".",SUM($X205:AD205))</f>
        <v>.</v>
      </c>
      <c r="AU205" s="3"/>
      <c r="AV205" s="1055" t="str">
        <f t="shared" si="106"/>
        <v>.</v>
      </c>
      <c r="AW205" s="258" t="str">
        <f t="shared" si="99"/>
        <v>.</v>
      </c>
      <c r="AX205" s="258" t="str">
        <f t="shared" si="100"/>
        <v>.</v>
      </c>
      <c r="AY205" s="258" t="str">
        <f t="shared" si="101"/>
        <v>.</v>
      </c>
      <c r="AZ205" s="258" t="str">
        <f t="shared" si="102"/>
        <v>.</v>
      </c>
      <c r="BA205" s="258" t="str">
        <f t="shared" si="103"/>
        <v>.</v>
      </c>
      <c r="BB205" s="1056" t="str">
        <f t="shared" si="104"/>
        <v>.</v>
      </c>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row>
    <row r="206" spans="1:91" x14ac:dyDescent="0.2">
      <c r="A206" s="620"/>
      <c r="B206" s="290" t="s">
        <v>585</v>
      </c>
      <c r="C206" s="1022" t="str">
        <f>IF('WS3 - Notional General Income'!C86="","",'WS3 - Notional General Income'!C86)</f>
        <v/>
      </c>
      <c r="D206" s="1006" t="s">
        <v>687</v>
      </c>
      <c r="E206" s="1022"/>
      <c r="F206" s="1022"/>
      <c r="G206" s="1022"/>
      <c r="H206" s="1022"/>
      <c r="I206" s="1022"/>
      <c r="J206" s="1023" t="str">
        <f>IF('WS3 - Notional General Income'!L86=".",".",'WS3 - Notional General Income'!L86/'WS3 - Notional General Income'!D86)</f>
        <v>.</v>
      </c>
      <c r="K206" s="1023" t="str">
        <f>IF('WS4 - Yr 1 YIELD'!L83=".",".",'WS4 - Yr 1 YIELD'!L83/'WS4 - Yr 1 YIELD'!D83)</f>
        <v>.</v>
      </c>
      <c r="L206" s="1024"/>
      <c r="M206" s="1024"/>
      <c r="N206" s="1024"/>
      <c r="O206" s="1024"/>
      <c r="P206" s="1024"/>
      <c r="Q206" s="1024"/>
      <c r="R206" s="76"/>
      <c r="S206" s="3"/>
      <c r="T206" s="1028">
        <f>'WS3 - Notional General Income'!$D86</f>
        <v>0</v>
      </c>
      <c r="U206" s="1029">
        <f>'WS4 - Yr 1 YIELD'!$D83</f>
        <v>0</v>
      </c>
      <c r="V206" s="1035"/>
      <c r="W206" s="3"/>
      <c r="X206" s="1043" t="str">
        <f t="shared" si="105"/>
        <v>.</v>
      </c>
      <c r="Y206" s="1044" t="str">
        <f t="shared" si="88"/>
        <v>.</v>
      </c>
      <c r="Z206" s="1044" t="str">
        <f t="shared" si="115"/>
        <v>.</v>
      </c>
      <c r="AA206" s="1044" t="str">
        <f t="shared" si="116"/>
        <v>.</v>
      </c>
      <c r="AB206" s="1044" t="str">
        <f t="shared" si="117"/>
        <v>.</v>
      </c>
      <c r="AC206" s="1044" t="str">
        <f t="shared" si="118"/>
        <v>.</v>
      </c>
      <c r="AD206" s="1045" t="str">
        <f t="shared" si="119"/>
        <v>.</v>
      </c>
      <c r="AE206" s="3"/>
      <c r="AF206" s="1055" t="str">
        <f t="shared" si="109"/>
        <v>.</v>
      </c>
      <c r="AG206" s="258" t="str">
        <f t="shared" si="110"/>
        <v>.</v>
      </c>
      <c r="AH206" s="258" t="str">
        <f t="shared" si="111"/>
        <v>.</v>
      </c>
      <c r="AI206" s="258" t="str">
        <f t="shared" si="112"/>
        <v>.</v>
      </c>
      <c r="AJ206" s="258" t="str">
        <f t="shared" si="113"/>
        <v>.</v>
      </c>
      <c r="AK206" s="258" t="str">
        <f t="shared" si="114"/>
        <v>.</v>
      </c>
      <c r="AL206" s="1056" t="str">
        <f t="shared" si="98"/>
        <v>.</v>
      </c>
      <c r="AM206" s="3"/>
      <c r="AN206" s="1139" t="str">
        <f>IF(X206=".",".",SUM($X206:X206))</f>
        <v>.</v>
      </c>
      <c r="AO206" s="1140" t="str">
        <f>IF(Y206=".",".",SUM($X206:Y206))</f>
        <v>.</v>
      </c>
      <c r="AP206" s="1140" t="str">
        <f>IF(Z206=".",".",SUM($X206:Z206))</f>
        <v>.</v>
      </c>
      <c r="AQ206" s="1140" t="str">
        <f>IF(AA206=".",".",SUM($X206:AA206))</f>
        <v>.</v>
      </c>
      <c r="AR206" s="1140" t="str">
        <f>IF(AB206=".",".",SUM($X206:AB206))</f>
        <v>.</v>
      </c>
      <c r="AS206" s="1140" t="str">
        <f>IF(AC206=".",".",SUM($X206:AC206))</f>
        <v>.</v>
      </c>
      <c r="AT206" s="1141" t="str">
        <f>IF(AD206=".",".",SUM($X206:AD206))</f>
        <v>.</v>
      </c>
      <c r="AU206" s="3"/>
      <c r="AV206" s="1055" t="str">
        <f t="shared" si="106"/>
        <v>.</v>
      </c>
      <c r="AW206" s="258" t="str">
        <f t="shared" si="99"/>
        <v>.</v>
      </c>
      <c r="AX206" s="258" t="str">
        <f t="shared" si="100"/>
        <v>.</v>
      </c>
      <c r="AY206" s="258" t="str">
        <f t="shared" si="101"/>
        <v>.</v>
      </c>
      <c r="AZ206" s="258" t="str">
        <f t="shared" si="102"/>
        <v>.</v>
      </c>
      <c r="BA206" s="258" t="str">
        <f t="shared" si="103"/>
        <v>.</v>
      </c>
      <c r="BB206" s="1056" t="str">
        <f t="shared" si="104"/>
        <v>.</v>
      </c>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row>
    <row r="207" spans="1:91" x14ac:dyDescent="0.2">
      <c r="A207" s="620"/>
      <c r="B207" s="290" t="s">
        <v>585</v>
      </c>
      <c r="C207" s="1022" t="str">
        <f>IF('WS3 - Notional General Income'!C87="","",'WS3 - Notional General Income'!C87)</f>
        <v/>
      </c>
      <c r="D207" s="1006" t="s">
        <v>687</v>
      </c>
      <c r="E207" s="1022"/>
      <c r="F207" s="1022"/>
      <c r="G207" s="1022"/>
      <c r="H207" s="1022"/>
      <c r="I207" s="1022"/>
      <c r="J207" s="1023" t="str">
        <f>IF('WS3 - Notional General Income'!L87=".",".",'WS3 - Notional General Income'!L87/'WS3 - Notional General Income'!D87)</f>
        <v>.</v>
      </c>
      <c r="K207" s="1023" t="str">
        <f>IF('WS4 - Yr 1 YIELD'!L84=".",".",'WS4 - Yr 1 YIELD'!L84/'WS4 - Yr 1 YIELD'!D84)</f>
        <v>.</v>
      </c>
      <c r="L207" s="1024"/>
      <c r="M207" s="1024"/>
      <c r="N207" s="1024"/>
      <c r="O207" s="1024"/>
      <c r="P207" s="1024"/>
      <c r="Q207" s="1024"/>
      <c r="R207" s="76"/>
      <c r="S207" s="3"/>
      <c r="T207" s="1028">
        <f>'WS3 - Notional General Income'!$D87</f>
        <v>0</v>
      </c>
      <c r="U207" s="1029">
        <f>'WS4 - Yr 1 YIELD'!$D84</f>
        <v>0</v>
      </c>
      <c r="V207" s="1035"/>
      <c r="W207" s="3"/>
      <c r="X207" s="1043" t="str">
        <f t="shared" si="105"/>
        <v>.</v>
      </c>
      <c r="Y207" s="1044" t="str">
        <f t="shared" si="88"/>
        <v>.</v>
      </c>
      <c r="Z207" s="1044" t="str">
        <f t="shared" si="115"/>
        <v>.</v>
      </c>
      <c r="AA207" s="1044" t="str">
        <f t="shared" si="116"/>
        <v>.</v>
      </c>
      <c r="AB207" s="1044" t="str">
        <f t="shared" si="117"/>
        <v>.</v>
      </c>
      <c r="AC207" s="1044" t="str">
        <f t="shared" si="118"/>
        <v>.</v>
      </c>
      <c r="AD207" s="1045" t="str">
        <f t="shared" si="119"/>
        <v>.</v>
      </c>
      <c r="AE207" s="3"/>
      <c r="AF207" s="1055" t="str">
        <f t="shared" si="109"/>
        <v>.</v>
      </c>
      <c r="AG207" s="258" t="str">
        <f t="shared" si="110"/>
        <v>.</v>
      </c>
      <c r="AH207" s="258" t="str">
        <f t="shared" si="111"/>
        <v>.</v>
      </c>
      <c r="AI207" s="258" t="str">
        <f t="shared" si="112"/>
        <v>.</v>
      </c>
      <c r="AJ207" s="258" t="str">
        <f t="shared" si="113"/>
        <v>.</v>
      </c>
      <c r="AK207" s="258" t="str">
        <f t="shared" si="114"/>
        <v>.</v>
      </c>
      <c r="AL207" s="1056" t="str">
        <f t="shared" si="98"/>
        <v>.</v>
      </c>
      <c r="AM207" s="3"/>
      <c r="AN207" s="1139" t="str">
        <f>IF(X207=".",".",SUM($X207:X207))</f>
        <v>.</v>
      </c>
      <c r="AO207" s="1140" t="str">
        <f>IF(Y207=".",".",SUM($X207:Y207))</f>
        <v>.</v>
      </c>
      <c r="AP207" s="1140" t="str">
        <f>IF(Z207=".",".",SUM($X207:Z207))</f>
        <v>.</v>
      </c>
      <c r="AQ207" s="1140" t="str">
        <f>IF(AA207=".",".",SUM($X207:AA207))</f>
        <v>.</v>
      </c>
      <c r="AR207" s="1140" t="str">
        <f>IF(AB207=".",".",SUM($X207:AB207))</f>
        <v>.</v>
      </c>
      <c r="AS207" s="1140" t="str">
        <f>IF(AC207=".",".",SUM($X207:AC207))</f>
        <v>.</v>
      </c>
      <c r="AT207" s="1141" t="str">
        <f>IF(AD207=".",".",SUM($X207:AD207))</f>
        <v>.</v>
      </c>
      <c r="AU207" s="3"/>
      <c r="AV207" s="1055" t="str">
        <f t="shared" si="106"/>
        <v>.</v>
      </c>
      <c r="AW207" s="258" t="str">
        <f t="shared" si="99"/>
        <v>.</v>
      </c>
      <c r="AX207" s="258" t="str">
        <f t="shared" si="100"/>
        <v>.</v>
      </c>
      <c r="AY207" s="258" t="str">
        <f t="shared" si="101"/>
        <v>.</v>
      </c>
      <c r="AZ207" s="258" t="str">
        <f t="shared" si="102"/>
        <v>.</v>
      </c>
      <c r="BA207" s="258" t="str">
        <f t="shared" si="103"/>
        <v>.</v>
      </c>
      <c r="BB207" s="1056" t="str">
        <f t="shared" si="104"/>
        <v>.</v>
      </c>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row>
    <row r="208" spans="1:91" ht="12.75" thickBot="1" x14ac:dyDescent="0.25">
      <c r="A208" s="620"/>
      <c r="B208" s="290" t="s">
        <v>585</v>
      </c>
      <c r="C208" s="1022" t="str">
        <f>IF('WS3 - Notional General Income'!C88="","",'WS3 - Notional General Income'!C88)</f>
        <v/>
      </c>
      <c r="D208" s="1006" t="s">
        <v>687</v>
      </c>
      <c r="E208" s="1022"/>
      <c r="F208" s="1022"/>
      <c r="G208" s="1022"/>
      <c r="H208" s="1022"/>
      <c r="I208" s="1022"/>
      <c r="J208" s="1023" t="str">
        <f>IF('WS3 - Notional General Income'!L88=".",".",'WS3 - Notional General Income'!L88/'WS3 - Notional General Income'!D88)</f>
        <v>.</v>
      </c>
      <c r="K208" s="1023" t="str">
        <f>IF('WS4 - Yr 1 YIELD'!L85=".",".",'WS4 - Yr 1 YIELD'!L85/'WS4 - Yr 1 YIELD'!D85)</f>
        <v>.</v>
      </c>
      <c r="L208" s="1024"/>
      <c r="M208" s="1024"/>
      <c r="N208" s="1024"/>
      <c r="O208" s="1024"/>
      <c r="P208" s="1024"/>
      <c r="Q208" s="1024"/>
      <c r="R208" s="76"/>
      <c r="S208" s="3"/>
      <c r="T208" s="1030">
        <f>'WS3 - Notional General Income'!$D88</f>
        <v>0</v>
      </c>
      <c r="U208" s="1031">
        <f>'WS4 - Yr 1 YIELD'!$D85</f>
        <v>0</v>
      </c>
      <c r="V208" s="1035"/>
      <c r="W208" s="3"/>
      <c r="X208" s="1043" t="str">
        <f t="shared" si="105"/>
        <v>.</v>
      </c>
      <c r="Y208" s="1044" t="str">
        <f t="shared" si="88"/>
        <v>.</v>
      </c>
      <c r="Z208" s="1044" t="str">
        <f t="shared" si="115"/>
        <v>.</v>
      </c>
      <c r="AA208" s="1044" t="str">
        <f t="shared" si="116"/>
        <v>.</v>
      </c>
      <c r="AB208" s="1044" t="str">
        <f t="shared" si="117"/>
        <v>.</v>
      </c>
      <c r="AC208" s="1044" t="str">
        <f t="shared" si="118"/>
        <v>.</v>
      </c>
      <c r="AD208" s="1045" t="str">
        <f t="shared" si="119"/>
        <v>.</v>
      </c>
      <c r="AE208" s="3"/>
      <c r="AF208" s="1055" t="str">
        <f t="shared" si="109"/>
        <v>.</v>
      </c>
      <c r="AG208" s="258" t="str">
        <f t="shared" si="110"/>
        <v>.</v>
      </c>
      <c r="AH208" s="258" t="str">
        <f t="shared" si="111"/>
        <v>.</v>
      </c>
      <c r="AI208" s="258" t="str">
        <f t="shared" si="112"/>
        <v>.</v>
      </c>
      <c r="AJ208" s="258" t="str">
        <f t="shared" si="113"/>
        <v>.</v>
      </c>
      <c r="AK208" s="258" t="str">
        <f t="shared" si="114"/>
        <v>.</v>
      </c>
      <c r="AL208" s="1056" t="str">
        <f t="shared" si="98"/>
        <v>.</v>
      </c>
      <c r="AM208" s="3"/>
      <c r="AN208" s="1139" t="str">
        <f>IF(X208=".",".",SUM($X208:X208))</f>
        <v>.</v>
      </c>
      <c r="AO208" s="1140" t="str">
        <f>IF(Y208=".",".",SUM($X208:Y208))</f>
        <v>.</v>
      </c>
      <c r="AP208" s="1140" t="str">
        <f>IF(Z208=".",".",SUM($X208:Z208))</f>
        <v>.</v>
      </c>
      <c r="AQ208" s="1140" t="str">
        <f>IF(AA208=".",".",SUM($X208:AA208))</f>
        <v>.</v>
      </c>
      <c r="AR208" s="1140" t="str">
        <f>IF(AB208=".",".",SUM($X208:AB208))</f>
        <v>.</v>
      </c>
      <c r="AS208" s="1140" t="str">
        <f>IF(AC208=".",".",SUM($X208:AC208))</f>
        <v>.</v>
      </c>
      <c r="AT208" s="1141" t="str">
        <f>IF(AD208=".",".",SUM($X208:AD208))</f>
        <v>.</v>
      </c>
      <c r="AU208" s="3"/>
      <c r="AV208" s="1055" t="str">
        <f t="shared" si="106"/>
        <v>.</v>
      </c>
      <c r="AW208" s="258" t="str">
        <f t="shared" si="99"/>
        <v>.</v>
      </c>
      <c r="AX208" s="258" t="str">
        <f t="shared" si="100"/>
        <v>.</v>
      </c>
      <c r="AY208" s="258" t="str">
        <f t="shared" si="101"/>
        <v>.</v>
      </c>
      <c r="AZ208" s="258" t="str">
        <f t="shared" si="102"/>
        <v>.</v>
      </c>
      <c r="BA208" s="258" t="str">
        <f t="shared" si="103"/>
        <v>.</v>
      </c>
      <c r="BB208" s="1056" t="str">
        <f t="shared" si="104"/>
        <v>.</v>
      </c>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row>
    <row r="209" spans="1:91" ht="12.75" thickTop="1" x14ac:dyDescent="0.2">
      <c r="A209" s="620"/>
      <c r="B209" s="290" t="s">
        <v>697</v>
      </c>
      <c r="C209" s="1022" t="str">
        <f>IF('WS3 - Notional General Income'!C136="","",'WS3 - Notional General Income'!C136)</f>
        <v/>
      </c>
      <c r="D209" s="1006" t="s">
        <v>687</v>
      </c>
      <c r="E209" s="1022"/>
      <c r="F209" s="1022"/>
      <c r="G209" s="1022"/>
      <c r="H209" s="1022"/>
      <c r="I209" s="1022"/>
      <c r="J209" s="1023" t="str">
        <f>IF('WS3 - Notional General Income'!L136=".",".",'WS3 - Notional General Income'!L136/'WS3 - Notional General Income'!D136)</f>
        <v>.</v>
      </c>
      <c r="K209" s="1023" t="str">
        <f>IF('WS4 - Yr 1 YIELD'!L133=".",".",'WS4 - Yr 1 YIELD'!L133/'WS4 - Yr 1 YIELD'!D133)</f>
        <v>.</v>
      </c>
      <c r="L209" s="1024"/>
      <c r="M209" s="1024"/>
      <c r="N209" s="1024"/>
      <c r="O209" s="1024"/>
      <c r="P209" s="1024"/>
      <c r="Q209" s="1024"/>
      <c r="R209" s="76"/>
      <c r="S209" s="3"/>
      <c r="T209" s="1028">
        <f>'WS3 - Notional General Income'!$D136</f>
        <v>0</v>
      </c>
      <c r="U209" s="1029">
        <f>'WS4 - Yr 1 YIELD'!$D133</f>
        <v>0</v>
      </c>
      <c r="V209" s="1035"/>
      <c r="W209" s="3"/>
      <c r="X209" s="1043" t="str">
        <f t="shared" si="105"/>
        <v>.</v>
      </c>
      <c r="Y209" s="1044" t="str">
        <f t="shared" si="88"/>
        <v>.</v>
      </c>
      <c r="Z209" s="1044" t="str">
        <f t="shared" si="115"/>
        <v>.</v>
      </c>
      <c r="AA209" s="1044" t="str">
        <f t="shared" si="116"/>
        <v>.</v>
      </c>
      <c r="AB209" s="1044" t="str">
        <f t="shared" si="117"/>
        <v>.</v>
      </c>
      <c r="AC209" s="1044" t="str">
        <f t="shared" si="118"/>
        <v>.</v>
      </c>
      <c r="AD209" s="1045" t="str">
        <f t="shared" si="119"/>
        <v>.</v>
      </c>
      <c r="AE209" s="3"/>
      <c r="AF209" s="1055" t="str">
        <f t="shared" si="109"/>
        <v>.</v>
      </c>
      <c r="AG209" s="258" t="str">
        <f t="shared" si="110"/>
        <v>.</v>
      </c>
      <c r="AH209" s="258" t="str">
        <f t="shared" si="111"/>
        <v>.</v>
      </c>
      <c r="AI209" s="258" t="str">
        <f t="shared" si="112"/>
        <v>.</v>
      </c>
      <c r="AJ209" s="258" t="str">
        <f t="shared" si="113"/>
        <v>.</v>
      </c>
      <c r="AK209" s="258" t="str">
        <f t="shared" si="114"/>
        <v>.</v>
      </c>
      <c r="AL209" s="1056" t="str">
        <f t="shared" si="98"/>
        <v>.</v>
      </c>
      <c r="AM209" s="3"/>
      <c r="AN209" s="1139" t="str">
        <f>IF(X209=".",".",SUM($X209:X209))</f>
        <v>.</v>
      </c>
      <c r="AO209" s="1140" t="str">
        <f>IF(Y209=".",".",SUM($X209:Y209))</f>
        <v>.</v>
      </c>
      <c r="AP209" s="1140" t="str">
        <f>IF(Z209=".",".",SUM($X209:Z209))</f>
        <v>.</v>
      </c>
      <c r="AQ209" s="1140" t="str">
        <f>IF(AA209=".",".",SUM($X209:AA209))</f>
        <v>.</v>
      </c>
      <c r="AR209" s="1140" t="str">
        <f>IF(AB209=".",".",SUM($X209:AB209))</f>
        <v>.</v>
      </c>
      <c r="AS209" s="1140" t="str">
        <f>IF(AC209=".",".",SUM($X209:AC209))</f>
        <v>.</v>
      </c>
      <c r="AT209" s="1141" t="str">
        <f>IF(AD209=".",".",SUM($X209:AD209))</f>
        <v>.</v>
      </c>
      <c r="AU209" s="3"/>
      <c r="AV209" s="1055" t="str">
        <f t="shared" si="106"/>
        <v>.</v>
      </c>
      <c r="AW209" s="258" t="str">
        <f t="shared" si="99"/>
        <v>.</v>
      </c>
      <c r="AX209" s="258" t="str">
        <f t="shared" si="100"/>
        <v>.</v>
      </c>
      <c r="AY209" s="258" t="str">
        <f t="shared" si="101"/>
        <v>.</v>
      </c>
      <c r="AZ209" s="258" t="str">
        <f t="shared" si="102"/>
        <v>.</v>
      </c>
      <c r="BA209" s="258" t="str">
        <f t="shared" si="103"/>
        <v>.</v>
      </c>
      <c r="BB209" s="1056" t="str">
        <f t="shared" si="104"/>
        <v>.</v>
      </c>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row>
    <row r="210" spans="1:91" x14ac:dyDescent="0.2">
      <c r="A210" s="620"/>
      <c r="B210" s="290" t="s">
        <v>697</v>
      </c>
      <c r="C210" s="1022" t="str">
        <f>IF('WS3 - Notional General Income'!C137="","",'WS3 - Notional General Income'!C137)</f>
        <v/>
      </c>
      <c r="D210" s="1006" t="s">
        <v>687</v>
      </c>
      <c r="E210" s="1022"/>
      <c r="F210" s="1022"/>
      <c r="G210" s="1022"/>
      <c r="H210" s="1022"/>
      <c r="I210" s="1022"/>
      <c r="J210" s="1023" t="str">
        <f>IF('WS3 - Notional General Income'!L137=".",".",'WS3 - Notional General Income'!L137/'WS3 - Notional General Income'!D137)</f>
        <v>.</v>
      </c>
      <c r="K210" s="1023" t="str">
        <f>IF('WS4 - Yr 1 YIELD'!L134=".",".",'WS4 - Yr 1 YIELD'!L134/'WS4 - Yr 1 YIELD'!D134)</f>
        <v>.</v>
      </c>
      <c r="L210" s="1024"/>
      <c r="M210" s="1024"/>
      <c r="N210" s="1024"/>
      <c r="O210" s="1024"/>
      <c r="P210" s="1024"/>
      <c r="Q210" s="1024"/>
      <c r="R210" s="76"/>
      <c r="S210" s="3"/>
      <c r="T210" s="1028">
        <f>'WS3 - Notional General Income'!$D137</f>
        <v>0</v>
      </c>
      <c r="U210" s="1029">
        <f>'WS4 - Yr 1 YIELD'!$D134</f>
        <v>0</v>
      </c>
      <c r="V210" s="1035"/>
      <c r="W210" s="3"/>
      <c r="X210" s="1043" t="str">
        <f t="shared" si="105"/>
        <v>.</v>
      </c>
      <c r="Y210" s="1044" t="str">
        <f t="shared" si="88"/>
        <v>.</v>
      </c>
      <c r="Z210" s="1044" t="str">
        <f t="shared" si="115"/>
        <v>.</v>
      </c>
      <c r="AA210" s="1044" t="str">
        <f t="shared" si="116"/>
        <v>.</v>
      </c>
      <c r="AB210" s="1044" t="str">
        <f t="shared" si="117"/>
        <v>.</v>
      </c>
      <c r="AC210" s="1044" t="str">
        <f t="shared" si="118"/>
        <v>.</v>
      </c>
      <c r="AD210" s="1045" t="str">
        <f t="shared" si="119"/>
        <v>.</v>
      </c>
      <c r="AE210" s="3"/>
      <c r="AF210" s="1055" t="str">
        <f t="shared" si="109"/>
        <v>.</v>
      </c>
      <c r="AG210" s="258" t="str">
        <f t="shared" si="110"/>
        <v>.</v>
      </c>
      <c r="AH210" s="258" t="str">
        <f t="shared" si="111"/>
        <v>.</v>
      </c>
      <c r="AI210" s="258" t="str">
        <f t="shared" si="112"/>
        <v>.</v>
      </c>
      <c r="AJ210" s="258" t="str">
        <f t="shared" si="113"/>
        <v>.</v>
      </c>
      <c r="AK210" s="258" t="str">
        <f t="shared" si="114"/>
        <v>.</v>
      </c>
      <c r="AL210" s="1056" t="str">
        <f t="shared" si="98"/>
        <v>.</v>
      </c>
      <c r="AM210" s="3"/>
      <c r="AN210" s="1139" t="str">
        <f>IF(X210=".",".",SUM($X210:X210))</f>
        <v>.</v>
      </c>
      <c r="AO210" s="1140" t="str">
        <f>IF(Y210=".",".",SUM($X210:Y210))</f>
        <v>.</v>
      </c>
      <c r="AP210" s="1140" t="str">
        <f>IF(Z210=".",".",SUM($X210:Z210))</f>
        <v>.</v>
      </c>
      <c r="AQ210" s="1140" t="str">
        <f>IF(AA210=".",".",SUM($X210:AA210))</f>
        <v>.</v>
      </c>
      <c r="AR210" s="1140" t="str">
        <f>IF(AB210=".",".",SUM($X210:AB210))</f>
        <v>.</v>
      </c>
      <c r="AS210" s="1140" t="str">
        <f>IF(AC210=".",".",SUM($X210:AC210))</f>
        <v>.</v>
      </c>
      <c r="AT210" s="1141" t="str">
        <f>IF(AD210=".",".",SUM($X210:AD210))</f>
        <v>.</v>
      </c>
      <c r="AU210" s="3"/>
      <c r="AV210" s="1055" t="str">
        <f t="shared" si="106"/>
        <v>.</v>
      </c>
      <c r="AW210" s="258" t="str">
        <f t="shared" si="99"/>
        <v>.</v>
      </c>
      <c r="AX210" s="258" t="str">
        <f t="shared" si="100"/>
        <v>.</v>
      </c>
      <c r="AY210" s="258" t="str">
        <f t="shared" si="101"/>
        <v>.</v>
      </c>
      <c r="AZ210" s="258" t="str">
        <f t="shared" si="102"/>
        <v>.</v>
      </c>
      <c r="BA210" s="258" t="str">
        <f t="shared" si="103"/>
        <v>.</v>
      </c>
      <c r="BB210" s="1056" t="str">
        <f t="shared" si="104"/>
        <v>.</v>
      </c>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row>
    <row r="211" spans="1:91" x14ac:dyDescent="0.2">
      <c r="A211" s="620"/>
      <c r="B211" s="290" t="s">
        <v>697</v>
      </c>
      <c r="C211" s="1022" t="str">
        <f>IF('WS3 - Notional General Income'!C138="","",'WS3 - Notional General Income'!C138)</f>
        <v/>
      </c>
      <c r="D211" s="1006" t="s">
        <v>687</v>
      </c>
      <c r="E211" s="1022"/>
      <c r="F211" s="1022"/>
      <c r="G211" s="1022"/>
      <c r="H211" s="1022"/>
      <c r="I211" s="1022"/>
      <c r="J211" s="1023" t="str">
        <f>IF('WS3 - Notional General Income'!L138=".",".",'WS3 - Notional General Income'!L138/'WS3 - Notional General Income'!D138)</f>
        <v>.</v>
      </c>
      <c r="K211" s="1023" t="str">
        <f>IF('WS4 - Yr 1 YIELD'!L135=".",".",'WS4 - Yr 1 YIELD'!L135/'WS4 - Yr 1 YIELD'!D135)</f>
        <v>.</v>
      </c>
      <c r="L211" s="1024"/>
      <c r="M211" s="1024"/>
      <c r="N211" s="1024"/>
      <c r="O211" s="1024"/>
      <c r="P211" s="1024"/>
      <c r="Q211" s="1024"/>
      <c r="R211" s="76"/>
      <c r="S211" s="3"/>
      <c r="T211" s="1028">
        <f>'WS3 - Notional General Income'!$D138</f>
        <v>0</v>
      </c>
      <c r="U211" s="1029">
        <f>'WS4 - Yr 1 YIELD'!$D135</f>
        <v>0</v>
      </c>
      <c r="V211" s="1035"/>
      <c r="W211" s="3"/>
      <c r="X211" s="1043" t="str">
        <f t="shared" si="105"/>
        <v>.</v>
      </c>
      <c r="Y211" s="1044" t="str">
        <f t="shared" si="88"/>
        <v>.</v>
      </c>
      <c r="Z211" s="1044" t="str">
        <f t="shared" si="115"/>
        <v>.</v>
      </c>
      <c r="AA211" s="1044" t="str">
        <f t="shared" si="116"/>
        <v>.</v>
      </c>
      <c r="AB211" s="1044" t="str">
        <f t="shared" si="117"/>
        <v>.</v>
      </c>
      <c r="AC211" s="1044" t="str">
        <f t="shared" si="118"/>
        <v>.</v>
      </c>
      <c r="AD211" s="1045" t="str">
        <f t="shared" si="119"/>
        <v>.</v>
      </c>
      <c r="AE211" s="3"/>
      <c r="AF211" s="1055" t="str">
        <f t="shared" si="109"/>
        <v>.</v>
      </c>
      <c r="AG211" s="258" t="str">
        <f t="shared" si="110"/>
        <v>.</v>
      </c>
      <c r="AH211" s="258" t="str">
        <f t="shared" si="111"/>
        <v>.</v>
      </c>
      <c r="AI211" s="258" t="str">
        <f t="shared" si="112"/>
        <v>.</v>
      </c>
      <c r="AJ211" s="258" t="str">
        <f t="shared" si="113"/>
        <v>.</v>
      </c>
      <c r="AK211" s="258" t="str">
        <f t="shared" si="114"/>
        <v>.</v>
      </c>
      <c r="AL211" s="1056" t="str">
        <f t="shared" si="98"/>
        <v>.</v>
      </c>
      <c r="AM211" s="3"/>
      <c r="AN211" s="1139" t="str">
        <f>IF(X211=".",".",SUM($X211:X211))</f>
        <v>.</v>
      </c>
      <c r="AO211" s="1140" t="str">
        <f>IF(Y211=".",".",SUM($X211:Y211))</f>
        <v>.</v>
      </c>
      <c r="AP211" s="1140" t="str">
        <f>IF(Z211=".",".",SUM($X211:Z211))</f>
        <v>.</v>
      </c>
      <c r="AQ211" s="1140" t="str">
        <f>IF(AA211=".",".",SUM($X211:AA211))</f>
        <v>.</v>
      </c>
      <c r="AR211" s="1140" t="str">
        <f>IF(AB211=".",".",SUM($X211:AB211))</f>
        <v>.</v>
      </c>
      <c r="AS211" s="1140" t="str">
        <f>IF(AC211=".",".",SUM($X211:AC211))</f>
        <v>.</v>
      </c>
      <c r="AT211" s="1141" t="str">
        <f>IF(AD211=".",".",SUM($X211:AD211))</f>
        <v>.</v>
      </c>
      <c r="AU211" s="3"/>
      <c r="AV211" s="1055" t="str">
        <f t="shared" si="106"/>
        <v>.</v>
      </c>
      <c r="AW211" s="258" t="str">
        <f t="shared" si="99"/>
        <v>.</v>
      </c>
      <c r="AX211" s="258" t="str">
        <f t="shared" si="100"/>
        <v>.</v>
      </c>
      <c r="AY211" s="258" t="str">
        <f t="shared" si="101"/>
        <v>.</v>
      </c>
      <c r="AZ211" s="258" t="str">
        <f t="shared" si="102"/>
        <v>.</v>
      </c>
      <c r="BA211" s="258" t="str">
        <f t="shared" si="103"/>
        <v>.</v>
      </c>
      <c r="BB211" s="1056" t="str">
        <f t="shared" si="104"/>
        <v>.</v>
      </c>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row>
    <row r="212" spans="1:91" x14ac:dyDescent="0.2">
      <c r="A212" s="620"/>
      <c r="B212" s="290" t="s">
        <v>697</v>
      </c>
      <c r="C212" s="1022" t="str">
        <f>IF('WS3 - Notional General Income'!C139="","",'WS3 - Notional General Income'!C139)</f>
        <v/>
      </c>
      <c r="D212" s="1006" t="s">
        <v>687</v>
      </c>
      <c r="E212" s="1022"/>
      <c r="F212" s="1022"/>
      <c r="G212" s="1022"/>
      <c r="H212" s="1022"/>
      <c r="I212" s="1022"/>
      <c r="J212" s="1023" t="str">
        <f>IF('WS3 - Notional General Income'!L139=".",".",'WS3 - Notional General Income'!L139/'WS3 - Notional General Income'!D139)</f>
        <v>.</v>
      </c>
      <c r="K212" s="1023" t="str">
        <f>IF('WS4 - Yr 1 YIELD'!L136=".",".",'WS4 - Yr 1 YIELD'!L136/'WS4 - Yr 1 YIELD'!D136)</f>
        <v>.</v>
      </c>
      <c r="L212" s="1024"/>
      <c r="M212" s="1024"/>
      <c r="N212" s="1024"/>
      <c r="O212" s="1024"/>
      <c r="P212" s="1024"/>
      <c r="Q212" s="1024"/>
      <c r="R212" s="76"/>
      <c r="S212" s="3"/>
      <c r="T212" s="1028">
        <f>'WS3 - Notional General Income'!$D139</f>
        <v>0</v>
      </c>
      <c r="U212" s="1029">
        <f>'WS4 - Yr 1 YIELD'!$D136</f>
        <v>0</v>
      </c>
      <c r="V212" s="1035"/>
      <c r="W212" s="3"/>
      <c r="X212" s="1043" t="str">
        <f t="shared" si="105"/>
        <v>.</v>
      </c>
      <c r="Y212" s="1044" t="str">
        <f t="shared" si="88"/>
        <v>.</v>
      </c>
      <c r="Z212" s="1044" t="str">
        <f t="shared" si="115"/>
        <v>.</v>
      </c>
      <c r="AA212" s="1044" t="str">
        <f t="shared" si="116"/>
        <v>.</v>
      </c>
      <c r="AB212" s="1044" t="str">
        <f t="shared" si="117"/>
        <v>.</v>
      </c>
      <c r="AC212" s="1044" t="str">
        <f t="shared" si="118"/>
        <v>.</v>
      </c>
      <c r="AD212" s="1045" t="str">
        <f t="shared" si="119"/>
        <v>.</v>
      </c>
      <c r="AE212" s="3"/>
      <c r="AF212" s="1055" t="str">
        <f t="shared" si="109"/>
        <v>.</v>
      </c>
      <c r="AG212" s="258" t="str">
        <f t="shared" si="110"/>
        <v>.</v>
      </c>
      <c r="AH212" s="258" t="str">
        <f t="shared" si="111"/>
        <v>.</v>
      </c>
      <c r="AI212" s="258" t="str">
        <f t="shared" si="112"/>
        <v>.</v>
      </c>
      <c r="AJ212" s="258" t="str">
        <f t="shared" si="113"/>
        <v>.</v>
      </c>
      <c r="AK212" s="258" t="str">
        <f t="shared" si="114"/>
        <v>.</v>
      </c>
      <c r="AL212" s="1056" t="str">
        <f t="shared" si="98"/>
        <v>.</v>
      </c>
      <c r="AM212" s="3"/>
      <c r="AN212" s="1139" t="str">
        <f>IF(X212=".",".",SUM($X212:X212))</f>
        <v>.</v>
      </c>
      <c r="AO212" s="1140" t="str">
        <f>IF(Y212=".",".",SUM($X212:Y212))</f>
        <v>.</v>
      </c>
      <c r="AP212" s="1140" t="str">
        <f>IF(Z212=".",".",SUM($X212:Z212))</f>
        <v>.</v>
      </c>
      <c r="AQ212" s="1140" t="str">
        <f>IF(AA212=".",".",SUM($X212:AA212))</f>
        <v>.</v>
      </c>
      <c r="AR212" s="1140" t="str">
        <f>IF(AB212=".",".",SUM($X212:AB212))</f>
        <v>.</v>
      </c>
      <c r="AS212" s="1140" t="str">
        <f>IF(AC212=".",".",SUM($X212:AC212))</f>
        <v>.</v>
      </c>
      <c r="AT212" s="1141" t="str">
        <f>IF(AD212=".",".",SUM($X212:AD212))</f>
        <v>.</v>
      </c>
      <c r="AU212" s="3"/>
      <c r="AV212" s="1055" t="str">
        <f t="shared" si="106"/>
        <v>.</v>
      </c>
      <c r="AW212" s="258" t="str">
        <f t="shared" si="99"/>
        <v>.</v>
      </c>
      <c r="AX212" s="258" t="str">
        <f t="shared" si="100"/>
        <v>.</v>
      </c>
      <c r="AY212" s="258" t="str">
        <f t="shared" si="101"/>
        <v>.</v>
      </c>
      <c r="AZ212" s="258" t="str">
        <f t="shared" si="102"/>
        <v>.</v>
      </c>
      <c r="BA212" s="258" t="str">
        <f t="shared" si="103"/>
        <v>.</v>
      </c>
      <c r="BB212" s="1056" t="str">
        <f t="shared" si="104"/>
        <v>.</v>
      </c>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row>
    <row r="213" spans="1:91" x14ac:dyDescent="0.2">
      <c r="A213" s="620"/>
      <c r="B213" s="290" t="s">
        <v>697</v>
      </c>
      <c r="C213" s="1022" t="str">
        <f>IF('WS3 - Notional General Income'!C140="","",'WS3 - Notional General Income'!C140)</f>
        <v/>
      </c>
      <c r="D213" s="1006" t="s">
        <v>687</v>
      </c>
      <c r="E213" s="1022"/>
      <c r="F213" s="1022"/>
      <c r="G213" s="1022"/>
      <c r="H213" s="1022"/>
      <c r="I213" s="1022"/>
      <c r="J213" s="1023" t="str">
        <f>IF('WS3 - Notional General Income'!L140=".",".",'WS3 - Notional General Income'!L140/'WS3 - Notional General Income'!D140)</f>
        <v>.</v>
      </c>
      <c r="K213" s="1023" t="str">
        <f>IF('WS4 - Yr 1 YIELD'!L137=".",".",'WS4 - Yr 1 YIELD'!L137/'WS4 - Yr 1 YIELD'!D137)</f>
        <v>.</v>
      </c>
      <c r="L213" s="1024"/>
      <c r="M213" s="1024"/>
      <c r="N213" s="1024"/>
      <c r="O213" s="1024"/>
      <c r="P213" s="1024"/>
      <c r="Q213" s="1024"/>
      <c r="R213" s="76"/>
      <c r="S213" s="3"/>
      <c r="T213" s="1028">
        <f>'WS3 - Notional General Income'!$D140</f>
        <v>0</v>
      </c>
      <c r="U213" s="1029">
        <f>'WS4 - Yr 1 YIELD'!$D137</f>
        <v>0</v>
      </c>
      <c r="V213" s="1035"/>
      <c r="W213" s="3"/>
      <c r="X213" s="1043" t="str">
        <f t="shared" si="105"/>
        <v>.</v>
      </c>
      <c r="Y213" s="1044" t="str">
        <f t="shared" si="88"/>
        <v>.</v>
      </c>
      <c r="Z213" s="1044" t="str">
        <f t="shared" si="115"/>
        <v>.</v>
      </c>
      <c r="AA213" s="1044" t="str">
        <f t="shared" si="116"/>
        <v>.</v>
      </c>
      <c r="AB213" s="1044" t="str">
        <f t="shared" si="117"/>
        <v>.</v>
      </c>
      <c r="AC213" s="1044" t="str">
        <f t="shared" si="118"/>
        <v>.</v>
      </c>
      <c r="AD213" s="1045" t="str">
        <f t="shared" si="119"/>
        <v>.</v>
      </c>
      <c r="AE213" s="3"/>
      <c r="AF213" s="1055" t="str">
        <f t="shared" si="109"/>
        <v>.</v>
      </c>
      <c r="AG213" s="258" t="str">
        <f t="shared" si="110"/>
        <v>.</v>
      </c>
      <c r="AH213" s="258" t="str">
        <f t="shared" si="111"/>
        <v>.</v>
      </c>
      <c r="AI213" s="258" t="str">
        <f t="shared" si="112"/>
        <v>.</v>
      </c>
      <c r="AJ213" s="258" t="str">
        <f t="shared" si="113"/>
        <v>.</v>
      </c>
      <c r="AK213" s="258" t="str">
        <f t="shared" si="114"/>
        <v>.</v>
      </c>
      <c r="AL213" s="1056" t="str">
        <f t="shared" si="98"/>
        <v>.</v>
      </c>
      <c r="AM213" s="3"/>
      <c r="AN213" s="1139" t="str">
        <f>IF(X213=".",".",SUM($X213:X213))</f>
        <v>.</v>
      </c>
      <c r="AO213" s="1140" t="str">
        <f>IF(Y213=".",".",SUM($X213:Y213))</f>
        <v>.</v>
      </c>
      <c r="AP213" s="1140" t="str">
        <f>IF(Z213=".",".",SUM($X213:Z213))</f>
        <v>.</v>
      </c>
      <c r="AQ213" s="1140" t="str">
        <f>IF(AA213=".",".",SUM($X213:AA213))</f>
        <v>.</v>
      </c>
      <c r="AR213" s="1140" t="str">
        <f>IF(AB213=".",".",SUM($X213:AB213))</f>
        <v>.</v>
      </c>
      <c r="AS213" s="1140" t="str">
        <f>IF(AC213=".",".",SUM($X213:AC213))</f>
        <v>.</v>
      </c>
      <c r="AT213" s="1141" t="str">
        <f>IF(AD213=".",".",SUM($X213:AD213))</f>
        <v>.</v>
      </c>
      <c r="AU213" s="3"/>
      <c r="AV213" s="1055" t="str">
        <f t="shared" si="106"/>
        <v>.</v>
      </c>
      <c r="AW213" s="258" t="str">
        <f t="shared" si="99"/>
        <v>.</v>
      </c>
      <c r="AX213" s="258" t="str">
        <f t="shared" si="100"/>
        <v>.</v>
      </c>
      <c r="AY213" s="258" t="str">
        <f t="shared" si="101"/>
        <v>.</v>
      </c>
      <c r="AZ213" s="258" t="str">
        <f t="shared" si="102"/>
        <v>.</v>
      </c>
      <c r="BA213" s="258" t="str">
        <f t="shared" si="103"/>
        <v>.</v>
      </c>
      <c r="BB213" s="1056" t="str">
        <f t="shared" si="104"/>
        <v>.</v>
      </c>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row>
    <row r="214" spans="1:91" x14ac:dyDescent="0.2">
      <c r="A214" s="620"/>
      <c r="B214" s="290" t="s">
        <v>697</v>
      </c>
      <c r="C214" s="1022" t="str">
        <f>IF('WS3 - Notional General Income'!C141="","",'WS3 - Notional General Income'!C141)</f>
        <v/>
      </c>
      <c r="D214" s="1006" t="s">
        <v>687</v>
      </c>
      <c r="E214" s="1022"/>
      <c r="F214" s="1022"/>
      <c r="G214" s="1022"/>
      <c r="H214" s="1022"/>
      <c r="I214" s="1022"/>
      <c r="J214" s="1023" t="str">
        <f>IF('WS3 - Notional General Income'!L141=".",".",'WS3 - Notional General Income'!L141/'WS3 - Notional General Income'!D141)</f>
        <v>.</v>
      </c>
      <c r="K214" s="1023" t="str">
        <f>IF('WS4 - Yr 1 YIELD'!L138=".",".",'WS4 - Yr 1 YIELD'!L138/'WS4 - Yr 1 YIELD'!D138)</f>
        <v>.</v>
      </c>
      <c r="L214" s="1024"/>
      <c r="M214" s="1024"/>
      <c r="N214" s="1024"/>
      <c r="O214" s="1024"/>
      <c r="P214" s="1024"/>
      <c r="Q214" s="1024"/>
      <c r="R214" s="76"/>
      <c r="S214" s="3"/>
      <c r="T214" s="1028">
        <f>'WS3 - Notional General Income'!$D141</f>
        <v>0</v>
      </c>
      <c r="U214" s="1029">
        <f>'WS4 - Yr 1 YIELD'!$D138</f>
        <v>0</v>
      </c>
      <c r="V214" s="1035"/>
      <c r="W214" s="3"/>
      <c r="X214" s="1043" t="str">
        <f t="shared" si="105"/>
        <v>.</v>
      </c>
      <c r="Y214" s="1044" t="str">
        <f t="shared" si="88"/>
        <v>.</v>
      </c>
      <c r="Z214" s="1044" t="str">
        <f t="shared" si="115"/>
        <v>.</v>
      </c>
      <c r="AA214" s="1044" t="str">
        <f t="shared" si="116"/>
        <v>.</v>
      </c>
      <c r="AB214" s="1044" t="str">
        <f t="shared" si="117"/>
        <v>.</v>
      </c>
      <c r="AC214" s="1044" t="str">
        <f t="shared" si="118"/>
        <v>.</v>
      </c>
      <c r="AD214" s="1045" t="str">
        <f t="shared" si="119"/>
        <v>.</v>
      </c>
      <c r="AE214" s="3"/>
      <c r="AF214" s="1055" t="str">
        <f t="shared" si="109"/>
        <v>.</v>
      </c>
      <c r="AG214" s="258" t="str">
        <f t="shared" si="110"/>
        <v>.</v>
      </c>
      <c r="AH214" s="258" t="str">
        <f t="shared" si="111"/>
        <v>.</v>
      </c>
      <c r="AI214" s="258" t="str">
        <f t="shared" si="112"/>
        <v>.</v>
      </c>
      <c r="AJ214" s="258" t="str">
        <f t="shared" si="113"/>
        <v>.</v>
      </c>
      <c r="AK214" s="258" t="str">
        <f t="shared" si="114"/>
        <v>.</v>
      </c>
      <c r="AL214" s="1056" t="str">
        <f t="shared" si="98"/>
        <v>.</v>
      </c>
      <c r="AM214" s="3"/>
      <c r="AN214" s="1139" t="str">
        <f>IF(X214=".",".",SUM($X214:X214))</f>
        <v>.</v>
      </c>
      <c r="AO214" s="1140" t="str">
        <f>IF(Y214=".",".",SUM($X214:Y214))</f>
        <v>.</v>
      </c>
      <c r="AP214" s="1140" t="str">
        <f>IF(Z214=".",".",SUM($X214:Z214))</f>
        <v>.</v>
      </c>
      <c r="AQ214" s="1140" t="str">
        <f>IF(AA214=".",".",SUM($X214:AA214))</f>
        <v>.</v>
      </c>
      <c r="AR214" s="1140" t="str">
        <f>IF(AB214=".",".",SUM($X214:AB214))</f>
        <v>.</v>
      </c>
      <c r="AS214" s="1140" t="str">
        <f>IF(AC214=".",".",SUM($X214:AC214))</f>
        <v>.</v>
      </c>
      <c r="AT214" s="1141" t="str">
        <f>IF(AD214=".",".",SUM($X214:AD214))</f>
        <v>.</v>
      </c>
      <c r="AU214" s="3"/>
      <c r="AV214" s="1055" t="str">
        <f t="shared" si="106"/>
        <v>.</v>
      </c>
      <c r="AW214" s="258" t="str">
        <f t="shared" si="99"/>
        <v>.</v>
      </c>
      <c r="AX214" s="258" t="str">
        <f t="shared" si="100"/>
        <v>.</v>
      </c>
      <c r="AY214" s="258" t="str">
        <f t="shared" si="101"/>
        <v>.</v>
      </c>
      <c r="AZ214" s="258" t="str">
        <f t="shared" si="102"/>
        <v>.</v>
      </c>
      <c r="BA214" s="258" t="str">
        <f t="shared" si="103"/>
        <v>.</v>
      </c>
      <c r="BB214" s="1056" t="str">
        <f t="shared" si="104"/>
        <v>.</v>
      </c>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row>
    <row r="215" spans="1:91" x14ac:dyDescent="0.2">
      <c r="A215" s="620"/>
      <c r="B215" s="290" t="s">
        <v>697</v>
      </c>
      <c r="C215" s="1022" t="str">
        <f>IF('WS3 - Notional General Income'!C142="","",'WS3 - Notional General Income'!C142)</f>
        <v/>
      </c>
      <c r="D215" s="1006" t="s">
        <v>687</v>
      </c>
      <c r="E215" s="1022"/>
      <c r="F215" s="1022"/>
      <c r="G215" s="1022"/>
      <c r="H215" s="1022"/>
      <c r="I215" s="1022"/>
      <c r="J215" s="1023" t="str">
        <f>IF('WS3 - Notional General Income'!L142=".",".",'WS3 - Notional General Income'!L142/'WS3 - Notional General Income'!D142)</f>
        <v>.</v>
      </c>
      <c r="K215" s="1023" t="str">
        <f>IF('WS4 - Yr 1 YIELD'!L139=".",".",'WS4 - Yr 1 YIELD'!L139/'WS4 - Yr 1 YIELD'!D139)</f>
        <v>.</v>
      </c>
      <c r="L215" s="1024"/>
      <c r="M215" s="1024"/>
      <c r="N215" s="1024"/>
      <c r="O215" s="1024"/>
      <c r="P215" s="1024"/>
      <c r="Q215" s="1024"/>
      <c r="R215" s="76"/>
      <c r="S215" s="3"/>
      <c r="T215" s="1028">
        <f>'WS3 - Notional General Income'!$D142</f>
        <v>0</v>
      </c>
      <c r="U215" s="1029">
        <f>'WS4 - Yr 1 YIELD'!$D139</f>
        <v>0</v>
      </c>
      <c r="V215" s="1035"/>
      <c r="W215" s="3"/>
      <c r="X215" s="1043" t="str">
        <f t="shared" si="105"/>
        <v>.</v>
      </c>
      <c r="Y215" s="1044" t="str">
        <f t="shared" si="88"/>
        <v>.</v>
      </c>
      <c r="Z215" s="1044" t="str">
        <f t="shared" si="115"/>
        <v>.</v>
      </c>
      <c r="AA215" s="1044" t="str">
        <f t="shared" si="116"/>
        <v>.</v>
      </c>
      <c r="AB215" s="1044" t="str">
        <f t="shared" si="117"/>
        <v>.</v>
      </c>
      <c r="AC215" s="1044" t="str">
        <f t="shared" si="118"/>
        <v>.</v>
      </c>
      <c r="AD215" s="1045" t="str">
        <f t="shared" si="119"/>
        <v>.</v>
      </c>
      <c r="AE215" s="3"/>
      <c r="AF215" s="1055" t="str">
        <f t="shared" si="109"/>
        <v>.</v>
      </c>
      <c r="AG215" s="258" t="str">
        <f t="shared" si="110"/>
        <v>.</v>
      </c>
      <c r="AH215" s="258" t="str">
        <f t="shared" si="111"/>
        <v>.</v>
      </c>
      <c r="AI215" s="258" t="str">
        <f t="shared" si="112"/>
        <v>.</v>
      </c>
      <c r="AJ215" s="258" t="str">
        <f t="shared" si="113"/>
        <v>.</v>
      </c>
      <c r="AK215" s="258" t="str">
        <f t="shared" si="114"/>
        <v>.</v>
      </c>
      <c r="AL215" s="1056" t="str">
        <f t="shared" si="98"/>
        <v>.</v>
      </c>
      <c r="AM215" s="3"/>
      <c r="AN215" s="1139" t="str">
        <f>IF(X215=".",".",SUM($X215:X215))</f>
        <v>.</v>
      </c>
      <c r="AO215" s="1140" t="str">
        <f>IF(Y215=".",".",SUM($X215:Y215))</f>
        <v>.</v>
      </c>
      <c r="AP215" s="1140" t="str">
        <f>IF(Z215=".",".",SUM($X215:Z215))</f>
        <v>.</v>
      </c>
      <c r="AQ215" s="1140" t="str">
        <f>IF(AA215=".",".",SUM($X215:AA215))</f>
        <v>.</v>
      </c>
      <c r="AR215" s="1140" t="str">
        <f>IF(AB215=".",".",SUM($X215:AB215))</f>
        <v>.</v>
      </c>
      <c r="AS215" s="1140" t="str">
        <f>IF(AC215=".",".",SUM($X215:AC215))</f>
        <v>.</v>
      </c>
      <c r="AT215" s="1141" t="str">
        <f>IF(AD215=".",".",SUM($X215:AD215))</f>
        <v>.</v>
      </c>
      <c r="AU215" s="3"/>
      <c r="AV215" s="1055" t="str">
        <f t="shared" si="106"/>
        <v>.</v>
      </c>
      <c r="AW215" s="258" t="str">
        <f t="shared" si="99"/>
        <v>.</v>
      </c>
      <c r="AX215" s="258" t="str">
        <f t="shared" si="100"/>
        <v>.</v>
      </c>
      <c r="AY215" s="258" t="str">
        <f t="shared" si="101"/>
        <v>.</v>
      </c>
      <c r="AZ215" s="258" t="str">
        <f t="shared" si="102"/>
        <v>.</v>
      </c>
      <c r="BA215" s="258" t="str">
        <f t="shared" si="103"/>
        <v>.</v>
      </c>
      <c r="BB215" s="1056" t="str">
        <f t="shared" si="104"/>
        <v>.</v>
      </c>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row>
    <row r="216" spans="1:91" x14ac:dyDescent="0.2">
      <c r="A216" s="620"/>
      <c r="B216" s="290" t="s">
        <v>697</v>
      </c>
      <c r="C216" s="1022" t="str">
        <f>IF('WS3 - Notional General Income'!C143="","",'WS3 - Notional General Income'!C143)</f>
        <v/>
      </c>
      <c r="D216" s="1006" t="s">
        <v>687</v>
      </c>
      <c r="E216" s="1022"/>
      <c r="F216" s="1022"/>
      <c r="G216" s="1022"/>
      <c r="H216" s="1022"/>
      <c r="I216" s="1022"/>
      <c r="J216" s="1023" t="str">
        <f>IF('WS3 - Notional General Income'!L143=".",".",'WS3 - Notional General Income'!L143/'WS3 - Notional General Income'!D143)</f>
        <v>.</v>
      </c>
      <c r="K216" s="1023" t="str">
        <f>IF('WS4 - Yr 1 YIELD'!L140=".",".",'WS4 - Yr 1 YIELD'!L140/'WS4 - Yr 1 YIELD'!D140)</f>
        <v>.</v>
      </c>
      <c r="L216" s="1024"/>
      <c r="M216" s="1024"/>
      <c r="N216" s="1024"/>
      <c r="O216" s="1024"/>
      <c r="P216" s="1024"/>
      <c r="Q216" s="1024"/>
      <c r="R216" s="76"/>
      <c r="S216" s="3"/>
      <c r="T216" s="1028">
        <f>'WS3 - Notional General Income'!$D143</f>
        <v>0</v>
      </c>
      <c r="U216" s="1029">
        <f>'WS4 - Yr 1 YIELD'!$D140</f>
        <v>0</v>
      </c>
      <c r="V216" s="1035"/>
      <c r="W216" s="3"/>
      <c r="X216" s="1043" t="str">
        <f t="shared" si="105"/>
        <v>.</v>
      </c>
      <c r="Y216" s="1044" t="str">
        <f t="shared" si="88"/>
        <v>.</v>
      </c>
      <c r="Z216" s="1044" t="str">
        <f t="shared" si="115"/>
        <v>.</v>
      </c>
      <c r="AA216" s="1044" t="str">
        <f t="shared" si="116"/>
        <v>.</v>
      </c>
      <c r="AB216" s="1044" t="str">
        <f t="shared" si="117"/>
        <v>.</v>
      </c>
      <c r="AC216" s="1044" t="str">
        <f t="shared" si="118"/>
        <v>.</v>
      </c>
      <c r="AD216" s="1045" t="str">
        <f t="shared" si="119"/>
        <v>.</v>
      </c>
      <c r="AE216" s="3"/>
      <c r="AF216" s="1055" t="str">
        <f t="shared" si="109"/>
        <v>.</v>
      </c>
      <c r="AG216" s="258" t="str">
        <f t="shared" si="110"/>
        <v>.</v>
      </c>
      <c r="AH216" s="258" t="str">
        <f t="shared" si="111"/>
        <v>.</v>
      </c>
      <c r="AI216" s="258" t="str">
        <f t="shared" si="112"/>
        <v>.</v>
      </c>
      <c r="AJ216" s="258" t="str">
        <f t="shared" si="113"/>
        <v>.</v>
      </c>
      <c r="AK216" s="258" t="str">
        <f t="shared" si="114"/>
        <v>.</v>
      </c>
      <c r="AL216" s="1056" t="str">
        <f t="shared" si="98"/>
        <v>.</v>
      </c>
      <c r="AM216" s="3"/>
      <c r="AN216" s="1139" t="str">
        <f>IF(X216=".",".",SUM($X216:X216))</f>
        <v>.</v>
      </c>
      <c r="AO216" s="1140" t="str">
        <f>IF(Y216=".",".",SUM($X216:Y216))</f>
        <v>.</v>
      </c>
      <c r="AP216" s="1140" t="str">
        <f>IF(Z216=".",".",SUM($X216:Z216))</f>
        <v>.</v>
      </c>
      <c r="AQ216" s="1140" t="str">
        <f>IF(AA216=".",".",SUM($X216:AA216))</f>
        <v>.</v>
      </c>
      <c r="AR216" s="1140" t="str">
        <f>IF(AB216=".",".",SUM($X216:AB216))</f>
        <v>.</v>
      </c>
      <c r="AS216" s="1140" t="str">
        <f>IF(AC216=".",".",SUM($X216:AC216))</f>
        <v>.</v>
      </c>
      <c r="AT216" s="1141" t="str">
        <f>IF(AD216=".",".",SUM($X216:AD216))</f>
        <v>.</v>
      </c>
      <c r="AU216" s="3"/>
      <c r="AV216" s="1055" t="str">
        <f t="shared" si="106"/>
        <v>.</v>
      </c>
      <c r="AW216" s="258" t="str">
        <f t="shared" si="99"/>
        <v>.</v>
      </c>
      <c r="AX216" s="258" t="str">
        <f t="shared" si="100"/>
        <v>.</v>
      </c>
      <c r="AY216" s="258" t="str">
        <f t="shared" si="101"/>
        <v>.</v>
      </c>
      <c r="AZ216" s="258" t="str">
        <f t="shared" si="102"/>
        <v>.</v>
      </c>
      <c r="BA216" s="258" t="str">
        <f t="shared" si="103"/>
        <v>.</v>
      </c>
      <c r="BB216" s="1056" t="str">
        <f t="shared" si="104"/>
        <v>.</v>
      </c>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row>
    <row r="217" spans="1:91" x14ac:dyDescent="0.2">
      <c r="A217" s="620"/>
      <c r="B217" s="290" t="s">
        <v>697</v>
      </c>
      <c r="C217" s="1022" t="str">
        <f>IF('WS3 - Notional General Income'!C144="","",'WS3 - Notional General Income'!C144)</f>
        <v/>
      </c>
      <c r="D217" s="1006" t="s">
        <v>687</v>
      </c>
      <c r="E217" s="1022"/>
      <c r="F217" s="1022"/>
      <c r="G217" s="1022"/>
      <c r="H217" s="1022"/>
      <c r="I217" s="1022"/>
      <c r="J217" s="1023" t="str">
        <f>IF('WS3 - Notional General Income'!L144=".",".",'WS3 - Notional General Income'!L144/'WS3 - Notional General Income'!D144)</f>
        <v>.</v>
      </c>
      <c r="K217" s="1023" t="str">
        <f>IF('WS4 - Yr 1 YIELD'!L141=".",".",'WS4 - Yr 1 YIELD'!L141/'WS4 - Yr 1 YIELD'!D141)</f>
        <v>.</v>
      </c>
      <c r="L217" s="1024"/>
      <c r="M217" s="1024"/>
      <c r="N217" s="1024"/>
      <c r="O217" s="1024"/>
      <c r="P217" s="1024"/>
      <c r="Q217" s="1024"/>
      <c r="R217" s="76"/>
      <c r="S217" s="3"/>
      <c r="T217" s="1028">
        <f>'WS3 - Notional General Income'!$D144</f>
        <v>0</v>
      </c>
      <c r="U217" s="1029">
        <f>'WS4 - Yr 1 YIELD'!$D141</f>
        <v>0</v>
      </c>
      <c r="V217" s="1035"/>
      <c r="W217" s="3"/>
      <c r="X217" s="1043" t="str">
        <f t="shared" si="105"/>
        <v>.</v>
      </c>
      <c r="Y217" s="1044" t="str">
        <f t="shared" si="88"/>
        <v>.</v>
      </c>
      <c r="Z217" s="1044" t="str">
        <f t="shared" si="115"/>
        <v>.</v>
      </c>
      <c r="AA217" s="1044" t="str">
        <f t="shared" si="116"/>
        <v>.</v>
      </c>
      <c r="AB217" s="1044" t="str">
        <f t="shared" si="117"/>
        <v>.</v>
      </c>
      <c r="AC217" s="1044" t="str">
        <f t="shared" si="118"/>
        <v>.</v>
      </c>
      <c r="AD217" s="1045" t="str">
        <f t="shared" si="119"/>
        <v>.</v>
      </c>
      <c r="AE217" s="3"/>
      <c r="AF217" s="1055" t="str">
        <f t="shared" si="109"/>
        <v>.</v>
      </c>
      <c r="AG217" s="258" t="str">
        <f t="shared" si="110"/>
        <v>.</v>
      </c>
      <c r="AH217" s="258" t="str">
        <f t="shared" si="111"/>
        <v>.</v>
      </c>
      <c r="AI217" s="258" t="str">
        <f t="shared" si="112"/>
        <v>.</v>
      </c>
      <c r="AJ217" s="258" t="str">
        <f t="shared" si="113"/>
        <v>.</v>
      </c>
      <c r="AK217" s="258" t="str">
        <f t="shared" si="114"/>
        <v>.</v>
      </c>
      <c r="AL217" s="1056" t="str">
        <f t="shared" si="98"/>
        <v>.</v>
      </c>
      <c r="AM217" s="3"/>
      <c r="AN217" s="1139" t="str">
        <f>IF(X217=".",".",SUM($X217:X217))</f>
        <v>.</v>
      </c>
      <c r="AO217" s="1140" t="str">
        <f>IF(Y217=".",".",SUM($X217:Y217))</f>
        <v>.</v>
      </c>
      <c r="AP217" s="1140" t="str">
        <f>IF(Z217=".",".",SUM($X217:Z217))</f>
        <v>.</v>
      </c>
      <c r="AQ217" s="1140" t="str">
        <f>IF(AA217=".",".",SUM($X217:AA217))</f>
        <v>.</v>
      </c>
      <c r="AR217" s="1140" t="str">
        <f>IF(AB217=".",".",SUM($X217:AB217))</f>
        <v>.</v>
      </c>
      <c r="AS217" s="1140" t="str">
        <f>IF(AC217=".",".",SUM($X217:AC217))</f>
        <v>.</v>
      </c>
      <c r="AT217" s="1141" t="str">
        <f>IF(AD217=".",".",SUM($X217:AD217))</f>
        <v>.</v>
      </c>
      <c r="AU217" s="3"/>
      <c r="AV217" s="1055" t="str">
        <f t="shared" si="106"/>
        <v>.</v>
      </c>
      <c r="AW217" s="258" t="str">
        <f t="shared" si="99"/>
        <v>.</v>
      </c>
      <c r="AX217" s="258" t="str">
        <f t="shared" si="100"/>
        <v>.</v>
      </c>
      <c r="AY217" s="258" t="str">
        <f t="shared" si="101"/>
        <v>.</v>
      </c>
      <c r="AZ217" s="258" t="str">
        <f t="shared" si="102"/>
        <v>.</v>
      </c>
      <c r="BA217" s="258" t="str">
        <f t="shared" si="103"/>
        <v>.</v>
      </c>
      <c r="BB217" s="1056" t="str">
        <f t="shared" si="104"/>
        <v>.</v>
      </c>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row>
    <row r="218" spans="1:91" x14ac:dyDescent="0.2">
      <c r="A218" s="620"/>
      <c r="B218" s="290" t="s">
        <v>697</v>
      </c>
      <c r="C218" s="1022" t="str">
        <f>IF('WS3 - Notional General Income'!C145="","",'WS3 - Notional General Income'!C145)</f>
        <v/>
      </c>
      <c r="D218" s="1022" t="s">
        <v>687</v>
      </c>
      <c r="E218" s="1022"/>
      <c r="F218" s="1022"/>
      <c r="G218" s="1022"/>
      <c r="H218" s="1022"/>
      <c r="I218" s="1022"/>
      <c r="J218" s="1023" t="str">
        <f>IF('WS3 - Notional General Income'!L145=".",".",'WS3 - Notional General Income'!L145/'WS3 - Notional General Income'!D145)</f>
        <v>.</v>
      </c>
      <c r="K218" s="1023" t="str">
        <f>IF('WS4 - Yr 1 YIELD'!L142=".",".",'WS4 - Yr 1 YIELD'!L142/'WS4 - Yr 1 YIELD'!D142)</f>
        <v>.</v>
      </c>
      <c r="L218" s="1024"/>
      <c r="M218" s="1024"/>
      <c r="N218" s="1024"/>
      <c r="O218" s="1024"/>
      <c r="P218" s="1024"/>
      <c r="Q218" s="1024"/>
      <c r="R218" s="76"/>
      <c r="S218" s="3"/>
      <c r="T218" s="1028">
        <f>'WS3 - Notional General Income'!$D145</f>
        <v>0</v>
      </c>
      <c r="U218" s="1029">
        <f>'WS4 - Yr 1 YIELD'!$D142</f>
        <v>0</v>
      </c>
      <c r="V218" s="1035"/>
      <c r="W218" s="3"/>
      <c r="X218" s="1043" t="str">
        <f t="shared" si="105"/>
        <v>.</v>
      </c>
      <c r="Y218" s="1044" t="str">
        <f t="shared" si="88"/>
        <v>.</v>
      </c>
      <c r="Z218" s="1044" t="str">
        <f t="shared" si="115"/>
        <v>.</v>
      </c>
      <c r="AA218" s="1044" t="str">
        <f t="shared" si="116"/>
        <v>.</v>
      </c>
      <c r="AB218" s="1044" t="str">
        <f t="shared" si="117"/>
        <v>.</v>
      </c>
      <c r="AC218" s="1044" t="str">
        <f t="shared" si="118"/>
        <v>.</v>
      </c>
      <c r="AD218" s="1045" t="str">
        <f t="shared" si="119"/>
        <v>.</v>
      </c>
      <c r="AE218" s="3"/>
      <c r="AF218" s="1055" t="str">
        <f t="shared" si="109"/>
        <v>.</v>
      </c>
      <c r="AG218" s="258" t="str">
        <f t="shared" si="110"/>
        <v>.</v>
      </c>
      <c r="AH218" s="258" t="str">
        <f t="shared" si="111"/>
        <v>.</v>
      </c>
      <c r="AI218" s="258" t="str">
        <f t="shared" si="112"/>
        <v>.</v>
      </c>
      <c r="AJ218" s="258" t="str">
        <f t="shared" si="113"/>
        <v>.</v>
      </c>
      <c r="AK218" s="258" t="str">
        <f t="shared" si="114"/>
        <v>.</v>
      </c>
      <c r="AL218" s="1056" t="str">
        <f t="shared" si="98"/>
        <v>.</v>
      </c>
      <c r="AM218" s="3"/>
      <c r="AN218" s="1139" t="str">
        <f>IF(X218=".",".",SUM($X218:X218))</f>
        <v>.</v>
      </c>
      <c r="AO218" s="1140" t="str">
        <f>IF(Y218=".",".",SUM($X218:Y218))</f>
        <v>.</v>
      </c>
      <c r="AP218" s="1140" t="str">
        <f>IF(Z218=".",".",SUM($X218:Z218))</f>
        <v>.</v>
      </c>
      <c r="AQ218" s="1140" t="str">
        <f>IF(AA218=".",".",SUM($X218:AA218))</f>
        <v>.</v>
      </c>
      <c r="AR218" s="1140" t="str">
        <f>IF(AB218=".",".",SUM($X218:AB218))</f>
        <v>.</v>
      </c>
      <c r="AS218" s="1140" t="str">
        <f>IF(AC218=".",".",SUM($X218:AC218))</f>
        <v>.</v>
      </c>
      <c r="AT218" s="1141" t="str">
        <f>IF(AD218=".",".",SUM($X218:AD218))</f>
        <v>.</v>
      </c>
      <c r="AU218" s="3"/>
      <c r="AV218" s="1055" t="str">
        <f t="shared" si="106"/>
        <v>.</v>
      </c>
      <c r="AW218" s="258" t="str">
        <f t="shared" si="99"/>
        <v>.</v>
      </c>
      <c r="AX218" s="258" t="str">
        <f t="shared" si="100"/>
        <v>.</v>
      </c>
      <c r="AY218" s="258" t="str">
        <f t="shared" si="101"/>
        <v>.</v>
      </c>
      <c r="AZ218" s="258" t="str">
        <f t="shared" si="102"/>
        <v>.</v>
      </c>
      <c r="BA218" s="258" t="str">
        <f t="shared" si="103"/>
        <v>.</v>
      </c>
      <c r="BB218" s="1056" t="str">
        <f t="shared" si="104"/>
        <v>.</v>
      </c>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row>
    <row r="219" spans="1:91" s="6" customFormat="1" x14ac:dyDescent="0.2">
      <c r="A219" s="620"/>
      <c r="B219" s="744"/>
      <c r="C219" s="744" t="s">
        <v>698</v>
      </c>
      <c r="D219" s="744"/>
      <c r="E219" s="744"/>
      <c r="F219" s="744"/>
      <c r="G219" s="744"/>
      <c r="H219" s="744"/>
      <c r="I219" s="744"/>
      <c r="J219" s="1026" t="str">
        <f>IF($T219=0,".",SUMPRODUCT(J199:J218,$T199:$T218)/$T219)</f>
        <v>.</v>
      </c>
      <c r="K219" s="1027" t="str">
        <f t="shared" ref="K219" si="122">IF($U219=0,".",SUMPRODUCT(K199:K218,$U199:$U218)/$U219)</f>
        <v>.</v>
      </c>
      <c r="L219" s="1027" t="str">
        <f t="shared" ref="L219:Q219" si="123">IF($U219=0,".",SUMPRODUCT(L199:L218,$U199:$U218)/$U219)</f>
        <v>.</v>
      </c>
      <c r="M219" s="1027" t="str">
        <f t="shared" si="123"/>
        <v>.</v>
      </c>
      <c r="N219" s="1027" t="str">
        <f t="shared" si="123"/>
        <v>.</v>
      </c>
      <c r="O219" s="1027" t="str">
        <f t="shared" si="123"/>
        <v>.</v>
      </c>
      <c r="P219" s="1027" t="str">
        <f t="shared" si="123"/>
        <v>.</v>
      </c>
      <c r="Q219" s="1027" t="str">
        <f t="shared" si="123"/>
        <v>.</v>
      </c>
      <c r="R219" s="76"/>
      <c r="S219" s="2"/>
      <c r="T219" s="1032">
        <f>SUM(T199:T208)</f>
        <v>0</v>
      </c>
      <c r="U219" s="1033">
        <f>SUM(U199:U208)</f>
        <v>0</v>
      </c>
      <c r="V219" s="1036"/>
      <c r="W219" s="2"/>
      <c r="X219" s="1063" t="str">
        <f t="shared" si="105"/>
        <v>.</v>
      </c>
      <c r="Y219" s="1064" t="str">
        <f t="shared" si="88"/>
        <v>.</v>
      </c>
      <c r="Z219" s="1064" t="str">
        <f t="shared" ref="Z219:AD219" si="124">IF(M219=".",".",M219-L219)</f>
        <v>.</v>
      </c>
      <c r="AA219" s="1064" t="str">
        <f t="shared" si="124"/>
        <v>.</v>
      </c>
      <c r="AB219" s="1064" t="str">
        <f t="shared" si="124"/>
        <v>.</v>
      </c>
      <c r="AC219" s="1064" t="str">
        <f t="shared" si="124"/>
        <v>.</v>
      </c>
      <c r="AD219" s="1065" t="str">
        <f t="shared" si="124"/>
        <v>.</v>
      </c>
      <c r="AE219" s="2"/>
      <c r="AF219" s="1136" t="str">
        <f t="shared" si="109"/>
        <v>.</v>
      </c>
      <c r="AG219" s="1137" t="str">
        <f t="shared" si="110"/>
        <v>.</v>
      </c>
      <c r="AH219" s="1137" t="str">
        <f t="shared" si="111"/>
        <v>.</v>
      </c>
      <c r="AI219" s="1137" t="str">
        <f t="shared" si="112"/>
        <v>.</v>
      </c>
      <c r="AJ219" s="1137" t="str">
        <f t="shared" si="113"/>
        <v>.</v>
      </c>
      <c r="AK219" s="1137" t="str">
        <f t="shared" si="114"/>
        <v>.</v>
      </c>
      <c r="AL219" s="1138" t="str">
        <f t="shared" si="98"/>
        <v>.</v>
      </c>
      <c r="AM219" s="2"/>
      <c r="AN219" s="1142" t="str">
        <f>IF(X219=".",".",SUM($X219:X219))</f>
        <v>.</v>
      </c>
      <c r="AO219" s="1143" t="str">
        <f>IF(Y219=".",".",SUM($X219:Y219))</f>
        <v>.</v>
      </c>
      <c r="AP219" s="1143" t="str">
        <f>IF(Z219=".",".",SUM($X219:Z219))</f>
        <v>.</v>
      </c>
      <c r="AQ219" s="1143" t="str">
        <f>IF(AA219=".",".",SUM($X219:AA219))</f>
        <v>.</v>
      </c>
      <c r="AR219" s="1143" t="str">
        <f>IF(AB219=".",".",SUM($X219:AB219))</f>
        <v>.</v>
      </c>
      <c r="AS219" s="1143" t="str">
        <f>IF(AC219=".",".",SUM($X219:AC219))</f>
        <v>.</v>
      </c>
      <c r="AT219" s="1144" t="str">
        <f>IF(AD219=".",".",SUM($X219:AD219))</f>
        <v>.</v>
      </c>
      <c r="AU219" s="3"/>
      <c r="AV219" s="1136" t="str">
        <f t="shared" si="106"/>
        <v>.</v>
      </c>
      <c r="AW219" s="1137" t="str">
        <f t="shared" si="99"/>
        <v>.</v>
      </c>
      <c r="AX219" s="1137" t="str">
        <f t="shared" si="100"/>
        <v>.</v>
      </c>
      <c r="AY219" s="1137" t="str">
        <f t="shared" si="101"/>
        <v>.</v>
      </c>
      <c r="AZ219" s="1137" t="str">
        <f t="shared" si="102"/>
        <v>.</v>
      </c>
      <c r="BA219" s="1137" t="str">
        <f t="shared" si="103"/>
        <v>.</v>
      </c>
      <c r="BB219" s="1138" t="str">
        <f t="shared" si="104"/>
        <v>.</v>
      </c>
      <c r="BC219" s="2"/>
      <c r="BD219" s="2"/>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row>
    <row r="220" spans="1:91" x14ac:dyDescent="0.2">
      <c r="A220" s="620"/>
      <c r="B220" s="3"/>
      <c r="C220" s="3"/>
      <c r="D220" s="3"/>
      <c r="E220" s="3"/>
      <c r="F220" s="3"/>
      <c r="G220" s="3"/>
      <c r="H220" s="3"/>
      <c r="I220" s="3"/>
      <c r="J220" s="16"/>
      <c r="K220" s="16"/>
      <c r="L220" s="3"/>
      <c r="M220" s="3"/>
      <c r="N220" s="3"/>
      <c r="O220" s="3"/>
      <c r="P220" s="3"/>
      <c r="Q220" s="3"/>
      <c r="R220" s="76"/>
      <c r="S220" s="3"/>
      <c r="T220" s="3"/>
      <c r="U220" s="3"/>
      <c r="V220" s="1035"/>
      <c r="W220" s="3"/>
      <c r="X220" s="95"/>
      <c r="Y220" s="95"/>
      <c r="Z220" s="95"/>
      <c r="AA220" s="95"/>
      <c r="AB220" s="95"/>
      <c r="AC220" s="95"/>
      <c r="AD220" s="95"/>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row>
    <row r="221" spans="1:91" x14ac:dyDescent="0.2">
      <c r="A221" s="620"/>
      <c r="B221" s="2"/>
      <c r="C221" s="3"/>
      <c r="D221" s="3"/>
      <c r="E221" s="3"/>
      <c r="F221" s="3"/>
      <c r="G221" s="3"/>
      <c r="H221" s="3"/>
      <c r="I221" s="3"/>
      <c r="J221" s="16"/>
      <c r="K221" s="16"/>
      <c r="L221" s="3"/>
      <c r="M221" s="3"/>
      <c r="N221" s="3"/>
      <c r="O221" s="3"/>
      <c r="P221" s="3"/>
      <c r="Q221" s="3"/>
      <c r="R221" s="76"/>
      <c r="S221" s="3"/>
      <c r="T221" s="3"/>
      <c r="U221" s="3"/>
      <c r="V221" s="1035"/>
      <c r="W221" s="3"/>
      <c r="X221" s="95"/>
      <c r="Y221" s="95"/>
      <c r="Z221" s="95"/>
      <c r="AA221" s="95"/>
      <c r="AB221" s="95"/>
      <c r="AC221" s="95"/>
      <c r="AD221" s="95"/>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row>
    <row r="222" spans="1:91" ht="15" x14ac:dyDescent="0.25">
      <c r="A222" s="620">
        <f>A98+1</f>
        <v>3</v>
      </c>
      <c r="B222" s="1066" t="str">
        <f>"Table "&amp;A1&amp;"."&amp;A222&amp;": Average Ordinary and Special Rates - without proposed special variation (assumed rate peg only)"</f>
        <v>Table 7.3: Average Ordinary and Special Rates - without proposed special variation (assumed rate peg only)</v>
      </c>
      <c r="C222" s="1067"/>
      <c r="D222" s="1067"/>
      <c r="E222" s="1067"/>
      <c r="F222" s="1067"/>
      <c r="G222" s="1067"/>
      <c r="H222" s="1067"/>
      <c r="I222" s="1067"/>
      <c r="J222" s="1068"/>
      <c r="K222" s="1068"/>
      <c r="L222" s="1069"/>
      <c r="M222" s="1069"/>
      <c r="N222" s="1070"/>
      <c r="O222" s="1069"/>
      <c r="P222" s="1069"/>
      <c r="Q222" s="1071"/>
      <c r="R222" s="76"/>
      <c r="S222" s="3"/>
      <c r="T222" s="1049" t="str">
        <f>T99</f>
        <v>Number of Assessments</v>
      </c>
      <c r="U222" s="1050"/>
      <c r="V222" s="1035"/>
      <c r="W222" s="3"/>
      <c r="X222" s="208" t="str">
        <f>X$25</f>
        <v>Annual increases (nominal $ per year)</v>
      </c>
      <c r="Y222" s="3"/>
      <c r="Z222" s="3"/>
      <c r="AA222" s="3"/>
      <c r="AB222" s="3"/>
      <c r="AC222" s="3"/>
      <c r="AD222" s="3"/>
      <c r="AE222" s="3"/>
      <c r="AF222" s="208" t="str">
        <f>AF$25</f>
        <v>Annual increases (%)</v>
      </c>
      <c r="AG222" s="3"/>
      <c r="AH222" s="3"/>
      <c r="AI222" s="3"/>
      <c r="AJ222" s="3"/>
      <c r="AK222" s="3"/>
      <c r="AL222" s="3"/>
      <c r="AM222" s="3"/>
      <c r="AN222" s="208" t="str">
        <f>AN$25</f>
        <v>Cumulative increases (nominal $ per year)</v>
      </c>
      <c r="AO222" s="3"/>
      <c r="AP222" s="3"/>
      <c r="AQ222" s="3"/>
      <c r="AR222" s="3"/>
      <c r="AS222" s="3"/>
      <c r="AT222" s="3"/>
      <c r="AU222" s="3"/>
      <c r="AV222" s="208" t="str">
        <f>AV$25</f>
        <v>Cumulative increases (%)</v>
      </c>
      <c r="AW222" s="3"/>
      <c r="AX222" s="3"/>
      <c r="AY222" s="3"/>
      <c r="AZ222" s="3"/>
      <c r="BA222" s="3"/>
      <c r="BB222" s="3"/>
      <c r="BC222" s="3"/>
      <c r="BD222" s="3"/>
      <c r="BE222" s="3"/>
      <c r="BF222" s="3"/>
      <c r="BG222" s="3"/>
      <c r="BH222" s="3"/>
      <c r="BI222" s="3"/>
      <c r="BJ222" s="3"/>
      <c r="BK222" s="3"/>
    </row>
    <row r="223" spans="1:91" ht="39" customHeight="1" x14ac:dyDescent="0.2">
      <c r="A223" s="620"/>
      <c r="B223" s="964" t="s">
        <v>675</v>
      </c>
      <c r="C223" s="1074" t="s">
        <v>676</v>
      </c>
      <c r="D223" s="1083"/>
      <c r="E223" s="1083"/>
      <c r="F223" s="1083"/>
      <c r="G223" s="1083"/>
      <c r="H223" s="1083"/>
      <c r="I223" s="1083"/>
      <c r="J223" s="1084" t="s">
        <v>688</v>
      </c>
      <c r="K223" s="1084" t="s">
        <v>689</v>
      </c>
      <c r="L223" s="1084" t="s">
        <v>690</v>
      </c>
      <c r="M223" s="1084" t="s">
        <v>691</v>
      </c>
      <c r="N223" s="1084" t="s">
        <v>692</v>
      </c>
      <c r="O223" s="1084" t="s">
        <v>693</v>
      </c>
      <c r="P223" s="1084" t="s">
        <v>694</v>
      </c>
      <c r="Q223" s="1073" t="s">
        <v>695</v>
      </c>
      <c r="R223" s="76"/>
      <c r="S223" s="3"/>
      <c r="T223" s="685"/>
      <c r="U223" s="568"/>
      <c r="V223" s="1035"/>
      <c r="W223" s="3"/>
      <c r="X223" s="681" t="s">
        <v>699</v>
      </c>
      <c r="Y223" s="695"/>
      <c r="Z223" s="695"/>
      <c r="AA223" s="695"/>
      <c r="AB223" s="695"/>
      <c r="AC223" s="695"/>
      <c r="AD223" s="1050"/>
      <c r="AE223" s="3"/>
      <c r="AF223" s="681" t="str">
        <f>$X223</f>
        <v xml:space="preserve">Average Rates - without proposed special variation </v>
      </c>
      <c r="AG223" s="695"/>
      <c r="AH223" s="695"/>
      <c r="AI223" s="695"/>
      <c r="AJ223" s="695"/>
      <c r="AK223" s="695"/>
      <c r="AL223" s="1050"/>
      <c r="AM223" s="3"/>
      <c r="AN223" s="681" t="str">
        <f>$X223</f>
        <v xml:space="preserve">Average Rates - without proposed special variation </v>
      </c>
      <c r="AO223" s="695"/>
      <c r="AP223" s="695"/>
      <c r="AQ223" s="695"/>
      <c r="AR223" s="695"/>
      <c r="AS223" s="695"/>
      <c r="AT223" s="1050"/>
      <c r="AU223" s="3"/>
      <c r="AV223" s="681" t="str">
        <f>$X223</f>
        <v xml:space="preserve">Average Rates - without proposed special variation </v>
      </c>
      <c r="AW223" s="695"/>
      <c r="AX223" s="695"/>
      <c r="AY223" s="695"/>
      <c r="AZ223" s="695"/>
      <c r="BA223" s="695"/>
      <c r="BB223" s="1050"/>
      <c r="BC223" s="3"/>
      <c r="BD223" s="3"/>
      <c r="BE223" s="3"/>
      <c r="BF223" s="3"/>
      <c r="BG223" s="3"/>
      <c r="BH223" s="3"/>
      <c r="BI223" s="3"/>
      <c r="BJ223" s="3"/>
      <c r="BK223" s="3"/>
    </row>
    <row r="224" spans="1:91" x14ac:dyDescent="0.2">
      <c r="A224" s="620"/>
      <c r="B224" s="1075"/>
      <c r="C224" s="1076"/>
      <c r="D224" s="859"/>
      <c r="E224" s="859"/>
      <c r="F224" s="859"/>
      <c r="G224" s="859"/>
      <c r="H224" s="859"/>
      <c r="I224" s="859"/>
      <c r="J224" s="1448" t="str">
        <f t="shared" ref="J224:Q224" si="125">J100</f>
        <v>2023-24</v>
      </c>
      <c r="K224" s="1448" t="str">
        <f t="shared" si="125"/>
        <v>2024-25</v>
      </c>
      <c r="L224" s="1018" t="str">
        <f t="shared" si="125"/>
        <v>2025-26</v>
      </c>
      <c r="M224" s="1018" t="str">
        <f t="shared" si="125"/>
        <v>2026-27</v>
      </c>
      <c r="N224" s="1018" t="str">
        <f t="shared" si="125"/>
        <v>2027-28</v>
      </c>
      <c r="O224" s="1018" t="str">
        <f t="shared" si="125"/>
        <v>2028-29</v>
      </c>
      <c r="P224" s="1018" t="str">
        <f t="shared" si="125"/>
        <v>2029-30</v>
      </c>
      <c r="Q224" s="1019" t="str">
        <f t="shared" si="125"/>
        <v>2030-31</v>
      </c>
      <c r="R224" s="76"/>
      <c r="S224" s="3"/>
      <c r="T224" s="1059" t="str">
        <f t="shared" ref="T224:U243" si="126">T100</f>
        <v>2023-24</v>
      </c>
      <c r="U224" s="1060" t="str">
        <f t="shared" si="126"/>
        <v>2024-25</v>
      </c>
      <c r="V224" s="1035"/>
      <c r="W224" s="3"/>
      <c r="X224" s="1051" t="str">
        <f>X$27</f>
        <v>Year 1</v>
      </c>
      <c r="Y224" s="1052" t="str">
        <f t="shared" ref="Y224:AD224" si="127">Y$27</f>
        <v>Year 2</v>
      </c>
      <c r="Z224" s="1052" t="str">
        <f t="shared" si="127"/>
        <v>Year 3</v>
      </c>
      <c r="AA224" s="1052" t="str">
        <f t="shared" si="127"/>
        <v>Year 4</v>
      </c>
      <c r="AB224" s="1052" t="str">
        <f t="shared" si="127"/>
        <v>Year 5</v>
      </c>
      <c r="AC224" s="1052" t="str">
        <f t="shared" si="127"/>
        <v>Year 6</v>
      </c>
      <c r="AD224" s="1053" t="str">
        <f t="shared" si="127"/>
        <v>Year 7</v>
      </c>
      <c r="AE224" s="19"/>
      <c r="AF224" s="1051" t="str">
        <f t="shared" ref="AF224:AL224" si="128">AF$27</f>
        <v>Year 1</v>
      </c>
      <c r="AG224" s="1052" t="str">
        <f t="shared" si="128"/>
        <v>Year 2</v>
      </c>
      <c r="AH224" s="1052" t="str">
        <f t="shared" si="128"/>
        <v>Year 3</v>
      </c>
      <c r="AI224" s="1052" t="str">
        <f t="shared" si="128"/>
        <v>Year 4</v>
      </c>
      <c r="AJ224" s="1052" t="str">
        <f t="shared" si="128"/>
        <v>Year 5</v>
      </c>
      <c r="AK224" s="1052" t="str">
        <f t="shared" si="128"/>
        <v>Year 6</v>
      </c>
      <c r="AL224" s="1053" t="str">
        <f t="shared" si="128"/>
        <v>Year 7</v>
      </c>
      <c r="AM224" s="19"/>
      <c r="AN224" s="1051" t="str">
        <f>AN$27</f>
        <v>Year 1</v>
      </c>
      <c r="AO224" s="1052" t="str">
        <f t="shared" ref="AO224:AT224" si="129">AO$27</f>
        <v>Year 2</v>
      </c>
      <c r="AP224" s="1052" t="str">
        <f t="shared" si="129"/>
        <v>Year 3</v>
      </c>
      <c r="AQ224" s="1052" t="str">
        <f t="shared" si="129"/>
        <v>Year 4</v>
      </c>
      <c r="AR224" s="1052" t="str">
        <f t="shared" si="129"/>
        <v>Year 5</v>
      </c>
      <c r="AS224" s="1052" t="str">
        <f t="shared" si="129"/>
        <v>Year 6</v>
      </c>
      <c r="AT224" s="1053" t="str">
        <f t="shared" si="129"/>
        <v>Year 7</v>
      </c>
      <c r="AU224" s="19"/>
      <c r="AV224" s="1051" t="str">
        <f>AV$27</f>
        <v>Year 1</v>
      </c>
      <c r="AW224" s="1052" t="str">
        <f t="shared" ref="AW224:BB224" si="130">AW$27</f>
        <v>Year 2</v>
      </c>
      <c r="AX224" s="1052" t="str">
        <f t="shared" si="130"/>
        <v>Year 3</v>
      </c>
      <c r="AY224" s="1052" t="str">
        <f t="shared" si="130"/>
        <v>Year 4</v>
      </c>
      <c r="AZ224" s="1052" t="str">
        <f t="shared" si="130"/>
        <v>Year 5</v>
      </c>
      <c r="BA224" s="1052" t="str">
        <f t="shared" si="130"/>
        <v>Year 6</v>
      </c>
      <c r="BB224" s="1053" t="str">
        <f t="shared" si="130"/>
        <v>Year 7</v>
      </c>
      <c r="BC224" s="3"/>
      <c r="BD224" s="3"/>
      <c r="BE224" s="3"/>
      <c r="BF224" s="3"/>
      <c r="BG224" s="3"/>
      <c r="BH224" s="3"/>
      <c r="BI224" s="3"/>
      <c r="BJ224" s="3"/>
      <c r="BK224" s="3"/>
    </row>
    <row r="225" spans="1:92" x14ac:dyDescent="0.2">
      <c r="A225" s="620"/>
      <c r="B225" s="1077" t="str">
        <f t="shared" ref="B225:C254" si="131">B101</f>
        <v>Residential</v>
      </c>
      <c r="C225" s="1079" t="str">
        <f t="shared" si="131"/>
        <v>Residential</v>
      </c>
      <c r="D225" s="1079" t="s">
        <v>687</v>
      </c>
      <c r="E225" s="1079"/>
      <c r="F225" s="1079"/>
      <c r="G225" s="1079"/>
      <c r="H225" s="1079"/>
      <c r="I225" s="1079"/>
      <c r="J225" s="1080">
        <f t="shared" ref="J225:J256" si="132">J101</f>
        <v>1087.8681447394329</v>
      </c>
      <c r="K225" s="1081">
        <v>1142.26</v>
      </c>
      <c r="L225" s="1081">
        <v>1176.53</v>
      </c>
      <c r="M225" s="1081">
        <v>1211.83</v>
      </c>
      <c r="N225" s="1081">
        <v>1248.18</v>
      </c>
      <c r="O225" s="1081">
        <v>1285.6300000000001</v>
      </c>
      <c r="P225" s="1082">
        <v>1324.19</v>
      </c>
      <c r="Q225" s="1078">
        <v>1363.92</v>
      </c>
      <c r="R225" s="76"/>
      <c r="S225" s="3"/>
      <c r="T225" s="1028">
        <f t="shared" si="126"/>
        <v>29428</v>
      </c>
      <c r="U225" s="1029">
        <f t="shared" si="126"/>
        <v>29428</v>
      </c>
      <c r="V225" s="1035"/>
      <c r="W225" s="3"/>
      <c r="X225" s="1043">
        <f t="shared" ref="X225:X256" si="133">IF(K225="",".",K225-J225)</f>
        <v>54.391855260567127</v>
      </c>
      <c r="Y225" s="1044">
        <f t="shared" ref="Y225:Y256" si="134">IF(L225="",".",L225-K225)</f>
        <v>34.269999999999982</v>
      </c>
      <c r="Z225" s="1044">
        <f t="shared" ref="Z225:Z256" si="135">IF(M225="",".",M225-L225)</f>
        <v>35.299999999999955</v>
      </c>
      <c r="AA225" s="1044">
        <f t="shared" ref="AA225:AA256" si="136">IF(N225="",".",N225-M225)</f>
        <v>36.350000000000136</v>
      </c>
      <c r="AB225" s="1044">
        <f t="shared" ref="AB225:AB256" si="137">IF(O225="",".",O225-N225)</f>
        <v>37.450000000000045</v>
      </c>
      <c r="AC225" s="1044">
        <f t="shared" ref="AC225:AC256" si="138">IF(P225="",".",P225-O225)</f>
        <v>38.559999999999945</v>
      </c>
      <c r="AD225" s="1045">
        <f t="shared" ref="AD225:AD256" si="139">IF(Q225="",".",Q225-P225)</f>
        <v>39.730000000000018</v>
      </c>
      <c r="AE225" s="3"/>
      <c r="AF225" s="1145">
        <f t="shared" ref="AF225:AF228" si="140">IFERROR(K225/J225-1,".")</f>
        <v>4.9998573378205791E-2</v>
      </c>
      <c r="AG225" s="1146">
        <f t="shared" ref="AG225:AG288" si="141">IFERROR(L225/K225-1,".")</f>
        <v>3.000192600633822E-2</v>
      </c>
      <c r="AH225" s="1146">
        <f t="shared" ref="AH225:AH288" si="142">IFERROR(M225/L225-1,".")</f>
        <v>3.0003484824016269E-2</v>
      </c>
      <c r="AI225" s="1146">
        <f t="shared" ref="AI225:AI288" si="143">IFERROR(N225/M225-1,".")</f>
        <v>2.9995956528556134E-2</v>
      </c>
      <c r="AJ225" s="1146">
        <f t="shared" ref="AJ225:AJ288" si="144">IFERROR(O225/N225-1,".")</f>
        <v>3.0003685365892707E-2</v>
      </c>
      <c r="AK225" s="1146">
        <f t="shared" ref="AK225:AK288" si="145">IFERROR(P225/O225-1,".")</f>
        <v>2.999307732395784E-2</v>
      </c>
      <c r="AL225" s="1147">
        <f t="shared" ref="AL225:AL288" si="146">IFERROR(Q225/P225-1,".")</f>
        <v>3.0003247268141298E-2</v>
      </c>
      <c r="AM225" s="3"/>
      <c r="AN225" s="1043">
        <f>IF(X225=".",".",SUM($X225:X225))</f>
        <v>54.391855260567127</v>
      </c>
      <c r="AO225" s="1044">
        <f>IF(Y225=".",".",SUM($X225:Y225))</f>
        <v>88.661855260567108</v>
      </c>
      <c r="AP225" s="1044">
        <f>IF(Z225=".",".",SUM($X225:Z225))</f>
        <v>123.96185526056706</v>
      </c>
      <c r="AQ225" s="1044">
        <f>IF(AA225=".",".",SUM($X225:AA225))</f>
        <v>160.3118552605672</v>
      </c>
      <c r="AR225" s="1044">
        <f>IF(AB225=".",".",SUM($X225:AB225))</f>
        <v>197.76185526056724</v>
      </c>
      <c r="AS225" s="1044">
        <f>IF(AC225=".",".",SUM($X225:AC225))</f>
        <v>236.32185526056719</v>
      </c>
      <c r="AT225" s="1045">
        <f>IF(AD225=".",".",SUM($X225:AD225))</f>
        <v>276.05185526056721</v>
      </c>
      <c r="AU225" s="3"/>
      <c r="AV225" s="1145">
        <f>IFERROR(K225/$J225-1,".")</f>
        <v>4.9998573378205791E-2</v>
      </c>
      <c r="AW225" s="1146">
        <f t="shared" ref="AW225:AW288" si="147">IFERROR(L225/$J225-1,".")</f>
        <v>8.1500552883459587E-2</v>
      </c>
      <c r="AX225" s="1146">
        <f t="shared" ref="AX225:AX288" si="148">IFERROR(M225/$J225-1,".")</f>
        <v>0.11394933830906373</v>
      </c>
      <c r="AY225" s="1146">
        <f t="shared" ref="AY225:AY288" si="149">IFERROR(N225/$J225-1,".")</f>
        <v>0.14736331423599625</v>
      </c>
      <c r="AZ225" s="1146">
        <f t="shared" ref="AZ225:AZ288" si="150">IFERROR(O225/$J225-1,".")</f>
        <v>0.18178844211670087</v>
      </c>
      <c r="BA225" s="1146">
        <f t="shared" ref="BA225:BA288" si="151">IFERROR(P225/$J225-1,".")</f>
        <v>0.21723391424166683</v>
      </c>
      <c r="BB225" s="1147">
        <f t="shared" ref="BB225:BB288" si="152">IFERROR(Q225/$J225-1,".")</f>
        <v>0.25375488435382709</v>
      </c>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row>
    <row r="226" spans="1:92" x14ac:dyDescent="0.2">
      <c r="A226" s="620"/>
      <c r="B226" s="1077" t="str">
        <f t="shared" si="131"/>
        <v>Residential</v>
      </c>
      <c r="C226" s="1022" t="str">
        <f t="shared" si="131"/>
        <v/>
      </c>
      <c r="D226" s="1022" t="s">
        <v>687</v>
      </c>
      <c r="E226" s="1022"/>
      <c r="F226" s="1022"/>
      <c r="G226" s="1022"/>
      <c r="H226" s="1022"/>
      <c r="I226" s="1022"/>
      <c r="J226" s="1023" t="str">
        <f t="shared" si="132"/>
        <v>.</v>
      </c>
      <c r="K226" s="1012"/>
      <c r="L226" s="1024"/>
      <c r="M226" s="1024"/>
      <c r="N226" s="1024"/>
      <c r="O226" s="1024"/>
      <c r="P226" s="1024"/>
      <c r="Q226" s="1010"/>
      <c r="R226" s="76"/>
      <c r="S226" s="3"/>
      <c r="T226" s="1028">
        <f t="shared" si="126"/>
        <v>0</v>
      </c>
      <c r="U226" s="1029">
        <f t="shared" si="126"/>
        <v>0</v>
      </c>
      <c r="V226" s="1035"/>
      <c r="W226" s="3"/>
      <c r="X226" s="1043" t="str">
        <f t="shared" si="133"/>
        <v>.</v>
      </c>
      <c r="Y226" s="1044" t="str">
        <f t="shared" si="134"/>
        <v>.</v>
      </c>
      <c r="Z226" s="1044" t="str">
        <f t="shared" si="135"/>
        <v>.</v>
      </c>
      <c r="AA226" s="1044" t="str">
        <f t="shared" si="136"/>
        <v>.</v>
      </c>
      <c r="AB226" s="1044" t="str">
        <f t="shared" si="137"/>
        <v>.</v>
      </c>
      <c r="AC226" s="1044" t="str">
        <f t="shared" si="138"/>
        <v>.</v>
      </c>
      <c r="AD226" s="1045" t="str">
        <f t="shared" si="139"/>
        <v>.</v>
      </c>
      <c r="AE226" s="3"/>
      <c r="AF226" s="1145" t="str">
        <f t="shared" si="140"/>
        <v>.</v>
      </c>
      <c r="AG226" s="1146" t="str">
        <f t="shared" si="141"/>
        <v>.</v>
      </c>
      <c r="AH226" s="1146" t="str">
        <f t="shared" si="142"/>
        <v>.</v>
      </c>
      <c r="AI226" s="1146" t="str">
        <f t="shared" si="143"/>
        <v>.</v>
      </c>
      <c r="AJ226" s="1146" t="str">
        <f t="shared" si="144"/>
        <v>.</v>
      </c>
      <c r="AK226" s="1146" t="str">
        <f t="shared" si="145"/>
        <v>.</v>
      </c>
      <c r="AL226" s="1147" t="str">
        <f t="shared" si="146"/>
        <v>.</v>
      </c>
      <c r="AM226" s="3"/>
      <c r="AN226" s="1043" t="str">
        <f>IF(X226=".",".",SUM($X226:X226))</f>
        <v>.</v>
      </c>
      <c r="AO226" s="1044" t="str">
        <f>IF(Y226=".",".",SUM($X226:Y226))</f>
        <v>.</v>
      </c>
      <c r="AP226" s="1044" t="str">
        <f>IF(Z226=".",".",SUM($X226:Z226))</f>
        <v>.</v>
      </c>
      <c r="AQ226" s="1044" t="str">
        <f>IF(AA226=".",".",SUM($X226:AA226))</f>
        <v>.</v>
      </c>
      <c r="AR226" s="1044" t="str">
        <f>IF(AB226=".",".",SUM($X226:AB226))</f>
        <v>.</v>
      </c>
      <c r="AS226" s="1044" t="str">
        <f>IF(AC226=".",".",SUM($X226:AC226))</f>
        <v>.</v>
      </c>
      <c r="AT226" s="1045" t="str">
        <f>IF(AD226=".",".",SUM($X226:AD226))</f>
        <v>.</v>
      </c>
      <c r="AU226" s="3"/>
      <c r="AV226" s="1145" t="str">
        <f t="shared" ref="AV226:AV289" si="153">IFERROR(K226/$J226-1,".")</f>
        <v>.</v>
      </c>
      <c r="AW226" s="1146" t="str">
        <f t="shared" si="147"/>
        <v>.</v>
      </c>
      <c r="AX226" s="1146" t="str">
        <f t="shared" si="148"/>
        <v>.</v>
      </c>
      <c r="AY226" s="1146" t="str">
        <f t="shared" si="149"/>
        <v>.</v>
      </c>
      <c r="AZ226" s="1146" t="str">
        <f t="shared" si="150"/>
        <v>.</v>
      </c>
      <c r="BA226" s="1146" t="str">
        <f t="shared" si="151"/>
        <v>.</v>
      </c>
      <c r="BB226" s="1147" t="str">
        <f t="shared" si="152"/>
        <v>.</v>
      </c>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row>
    <row r="227" spans="1:92" x14ac:dyDescent="0.2">
      <c r="A227" s="620"/>
      <c r="B227" s="1077" t="str">
        <f t="shared" si="131"/>
        <v>Residential</v>
      </c>
      <c r="C227" s="1022" t="str">
        <f t="shared" si="131"/>
        <v/>
      </c>
      <c r="D227" s="1022" t="s">
        <v>687</v>
      </c>
      <c r="E227" s="1022"/>
      <c r="F227" s="1022"/>
      <c r="G227" s="1022"/>
      <c r="H227" s="1022"/>
      <c r="I227" s="1022"/>
      <c r="J227" s="1023" t="str">
        <f t="shared" si="132"/>
        <v>.</v>
      </c>
      <c r="K227" s="1012"/>
      <c r="L227" s="1024"/>
      <c r="M227" s="1024"/>
      <c r="N227" s="1024"/>
      <c r="O227" s="1024"/>
      <c r="P227" s="1024"/>
      <c r="Q227" s="1010"/>
      <c r="R227" s="76"/>
      <c r="S227" s="3"/>
      <c r="T227" s="1028">
        <f t="shared" si="126"/>
        <v>0</v>
      </c>
      <c r="U227" s="1029">
        <f t="shared" si="126"/>
        <v>0</v>
      </c>
      <c r="V227" s="1035"/>
      <c r="W227" s="3"/>
      <c r="X227" s="1043" t="str">
        <f t="shared" si="133"/>
        <v>.</v>
      </c>
      <c r="Y227" s="1044" t="str">
        <f t="shared" si="134"/>
        <v>.</v>
      </c>
      <c r="Z227" s="1044" t="str">
        <f t="shared" si="135"/>
        <v>.</v>
      </c>
      <c r="AA227" s="1044" t="str">
        <f t="shared" si="136"/>
        <v>.</v>
      </c>
      <c r="AB227" s="1044" t="str">
        <f t="shared" si="137"/>
        <v>.</v>
      </c>
      <c r="AC227" s="1044" t="str">
        <f t="shared" si="138"/>
        <v>.</v>
      </c>
      <c r="AD227" s="1045" t="str">
        <f t="shared" si="139"/>
        <v>.</v>
      </c>
      <c r="AE227" s="3"/>
      <c r="AF227" s="1145" t="str">
        <f t="shared" si="140"/>
        <v>.</v>
      </c>
      <c r="AG227" s="1146" t="str">
        <f t="shared" si="141"/>
        <v>.</v>
      </c>
      <c r="AH227" s="1146" t="str">
        <f t="shared" si="142"/>
        <v>.</v>
      </c>
      <c r="AI227" s="1146" t="str">
        <f t="shared" si="143"/>
        <v>.</v>
      </c>
      <c r="AJ227" s="1146" t="str">
        <f t="shared" si="144"/>
        <v>.</v>
      </c>
      <c r="AK227" s="1146" t="str">
        <f t="shared" si="145"/>
        <v>.</v>
      </c>
      <c r="AL227" s="1147" t="str">
        <f t="shared" si="146"/>
        <v>.</v>
      </c>
      <c r="AM227" s="3"/>
      <c r="AN227" s="1043" t="str">
        <f>IF(X227=".",".",SUM($X227:X227))</f>
        <v>.</v>
      </c>
      <c r="AO227" s="1044" t="str">
        <f>IF(Y227=".",".",SUM($X227:Y227))</f>
        <v>.</v>
      </c>
      <c r="AP227" s="1044" t="str">
        <f>IF(Z227=".",".",SUM($X227:Z227))</f>
        <v>.</v>
      </c>
      <c r="AQ227" s="1044" t="str">
        <f>IF(AA227=".",".",SUM($X227:AA227))</f>
        <v>.</v>
      </c>
      <c r="AR227" s="1044" t="str">
        <f>IF(AB227=".",".",SUM($X227:AB227))</f>
        <v>.</v>
      </c>
      <c r="AS227" s="1044" t="str">
        <f>IF(AC227=".",".",SUM($X227:AC227))</f>
        <v>.</v>
      </c>
      <c r="AT227" s="1045" t="str">
        <f>IF(AD227=".",".",SUM($X227:AD227))</f>
        <v>.</v>
      </c>
      <c r="AU227" s="3"/>
      <c r="AV227" s="1145" t="str">
        <f t="shared" si="153"/>
        <v>.</v>
      </c>
      <c r="AW227" s="1146" t="str">
        <f t="shared" si="147"/>
        <v>.</v>
      </c>
      <c r="AX227" s="1146" t="str">
        <f t="shared" si="148"/>
        <v>.</v>
      </c>
      <c r="AY227" s="1146" t="str">
        <f t="shared" si="149"/>
        <v>.</v>
      </c>
      <c r="AZ227" s="1146" t="str">
        <f t="shared" si="150"/>
        <v>.</v>
      </c>
      <c r="BA227" s="1146" t="str">
        <f t="shared" si="151"/>
        <v>.</v>
      </c>
      <c r="BB227" s="1147" t="str">
        <f t="shared" si="152"/>
        <v>.</v>
      </c>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row>
    <row r="228" spans="1:92" x14ac:dyDescent="0.2">
      <c r="A228" s="620"/>
      <c r="B228" s="1077" t="str">
        <f t="shared" si="131"/>
        <v>Residential</v>
      </c>
      <c r="C228" s="1022" t="str">
        <f t="shared" si="131"/>
        <v/>
      </c>
      <c r="D228" s="1022" t="s">
        <v>687</v>
      </c>
      <c r="E228" s="1022"/>
      <c r="F228" s="1022"/>
      <c r="G228" s="1022"/>
      <c r="H228" s="1022"/>
      <c r="I228" s="1022"/>
      <c r="J228" s="1023" t="str">
        <f t="shared" si="132"/>
        <v>.</v>
      </c>
      <c r="K228" s="1012"/>
      <c r="L228" s="1024"/>
      <c r="M228" s="1024"/>
      <c r="N228" s="1024"/>
      <c r="O228" s="1024"/>
      <c r="P228" s="1024"/>
      <c r="Q228" s="1010"/>
      <c r="R228" s="76"/>
      <c r="S228" s="3"/>
      <c r="T228" s="1028">
        <f t="shared" si="126"/>
        <v>0</v>
      </c>
      <c r="U228" s="1029">
        <f t="shared" si="126"/>
        <v>0</v>
      </c>
      <c r="V228" s="1035"/>
      <c r="W228" s="3"/>
      <c r="X228" s="1043" t="str">
        <f t="shared" si="133"/>
        <v>.</v>
      </c>
      <c r="Y228" s="1044" t="str">
        <f t="shared" si="134"/>
        <v>.</v>
      </c>
      <c r="Z228" s="1044" t="str">
        <f t="shared" si="135"/>
        <v>.</v>
      </c>
      <c r="AA228" s="1044" t="str">
        <f t="shared" si="136"/>
        <v>.</v>
      </c>
      <c r="AB228" s="1044" t="str">
        <f t="shared" si="137"/>
        <v>.</v>
      </c>
      <c r="AC228" s="1044" t="str">
        <f t="shared" si="138"/>
        <v>.</v>
      </c>
      <c r="AD228" s="1045" t="str">
        <f t="shared" si="139"/>
        <v>.</v>
      </c>
      <c r="AE228" s="3"/>
      <c r="AF228" s="1145" t="str">
        <f t="shared" si="140"/>
        <v>.</v>
      </c>
      <c r="AG228" s="1146" t="str">
        <f t="shared" si="141"/>
        <v>.</v>
      </c>
      <c r="AH228" s="1146" t="str">
        <f t="shared" si="142"/>
        <v>.</v>
      </c>
      <c r="AI228" s="1146" t="str">
        <f t="shared" si="143"/>
        <v>.</v>
      </c>
      <c r="AJ228" s="1146" t="str">
        <f t="shared" si="144"/>
        <v>.</v>
      </c>
      <c r="AK228" s="1146" t="str">
        <f t="shared" si="145"/>
        <v>.</v>
      </c>
      <c r="AL228" s="1147" t="str">
        <f t="shared" si="146"/>
        <v>.</v>
      </c>
      <c r="AM228" s="3"/>
      <c r="AN228" s="1043" t="str">
        <f>IF(X228=".",".",SUM($X228:X228))</f>
        <v>.</v>
      </c>
      <c r="AO228" s="1044" t="str">
        <f>IF(Y228=".",".",SUM($X228:Y228))</f>
        <v>.</v>
      </c>
      <c r="AP228" s="1044" t="str">
        <f>IF(Z228=".",".",SUM($X228:Z228))</f>
        <v>.</v>
      </c>
      <c r="AQ228" s="1044" t="str">
        <f>IF(AA228=".",".",SUM($X228:AA228))</f>
        <v>.</v>
      </c>
      <c r="AR228" s="1044" t="str">
        <f>IF(AB228=".",".",SUM($X228:AB228))</f>
        <v>.</v>
      </c>
      <c r="AS228" s="1044" t="str">
        <f>IF(AC228=".",".",SUM($X228:AC228))</f>
        <v>.</v>
      </c>
      <c r="AT228" s="1045" t="str">
        <f>IF(AD228=".",".",SUM($X228:AD228))</f>
        <v>.</v>
      </c>
      <c r="AU228" s="3"/>
      <c r="AV228" s="1145" t="str">
        <f t="shared" si="153"/>
        <v>.</v>
      </c>
      <c r="AW228" s="1146" t="str">
        <f t="shared" si="147"/>
        <v>.</v>
      </c>
      <c r="AX228" s="1146" t="str">
        <f t="shared" si="148"/>
        <v>.</v>
      </c>
      <c r="AY228" s="1146" t="str">
        <f t="shared" si="149"/>
        <v>.</v>
      </c>
      <c r="AZ228" s="1146" t="str">
        <f t="shared" si="150"/>
        <v>.</v>
      </c>
      <c r="BA228" s="1146" t="str">
        <f t="shared" si="151"/>
        <v>.</v>
      </c>
      <c r="BB228" s="1147" t="str">
        <f t="shared" si="152"/>
        <v>.</v>
      </c>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row>
    <row r="229" spans="1:92" x14ac:dyDescent="0.2">
      <c r="A229" s="620"/>
      <c r="B229" s="1077" t="str">
        <f t="shared" si="131"/>
        <v>Residential</v>
      </c>
      <c r="C229" s="1022" t="str">
        <f t="shared" si="131"/>
        <v/>
      </c>
      <c r="D229" s="1022" t="s">
        <v>687</v>
      </c>
      <c r="E229" s="1022"/>
      <c r="F229" s="1022"/>
      <c r="G229" s="1022"/>
      <c r="H229" s="1022"/>
      <c r="I229" s="1022"/>
      <c r="J229" s="1023" t="str">
        <f t="shared" si="132"/>
        <v>.</v>
      </c>
      <c r="K229" s="1012"/>
      <c r="L229" s="1024"/>
      <c r="M229" s="1024"/>
      <c r="N229" s="1024"/>
      <c r="O229" s="1024"/>
      <c r="P229" s="1024"/>
      <c r="Q229" s="1010"/>
      <c r="R229" s="76"/>
      <c r="S229" s="3"/>
      <c r="T229" s="1028">
        <f t="shared" si="126"/>
        <v>0</v>
      </c>
      <c r="U229" s="1029">
        <f t="shared" si="126"/>
        <v>0</v>
      </c>
      <c r="V229" s="1035"/>
      <c r="W229" s="3"/>
      <c r="X229" s="1043" t="str">
        <f t="shared" si="133"/>
        <v>.</v>
      </c>
      <c r="Y229" s="1044" t="str">
        <f t="shared" si="134"/>
        <v>.</v>
      </c>
      <c r="Z229" s="1044" t="str">
        <f t="shared" si="135"/>
        <v>.</v>
      </c>
      <c r="AA229" s="1044" t="str">
        <f t="shared" si="136"/>
        <v>.</v>
      </c>
      <c r="AB229" s="1044" t="str">
        <f t="shared" si="137"/>
        <v>.</v>
      </c>
      <c r="AC229" s="1044" t="str">
        <f t="shared" si="138"/>
        <v>.</v>
      </c>
      <c r="AD229" s="1045" t="str">
        <f t="shared" si="139"/>
        <v>.</v>
      </c>
      <c r="AE229" s="3"/>
      <c r="AF229" s="1145" t="str">
        <f>IFERROR(K229/J229-1,".")</f>
        <v>.</v>
      </c>
      <c r="AG229" s="1146" t="str">
        <f t="shared" si="141"/>
        <v>.</v>
      </c>
      <c r="AH229" s="1146" t="str">
        <f t="shared" si="142"/>
        <v>.</v>
      </c>
      <c r="AI229" s="1146" t="str">
        <f t="shared" si="143"/>
        <v>.</v>
      </c>
      <c r="AJ229" s="1146" t="str">
        <f t="shared" si="144"/>
        <v>.</v>
      </c>
      <c r="AK229" s="1146" t="str">
        <f t="shared" si="145"/>
        <v>.</v>
      </c>
      <c r="AL229" s="1147" t="str">
        <f t="shared" si="146"/>
        <v>.</v>
      </c>
      <c r="AM229" s="3"/>
      <c r="AN229" s="1043" t="str">
        <f>IF(X229=".",".",SUM($X229:X229))</f>
        <v>.</v>
      </c>
      <c r="AO229" s="1044" t="str">
        <f>IF(Y229=".",".",SUM($X229:Y229))</f>
        <v>.</v>
      </c>
      <c r="AP229" s="1044" t="str">
        <f>IF(Z229=".",".",SUM($X229:Z229))</f>
        <v>.</v>
      </c>
      <c r="AQ229" s="1044" t="str">
        <f>IF(AA229=".",".",SUM($X229:AA229))</f>
        <v>.</v>
      </c>
      <c r="AR229" s="1044" t="str">
        <f>IF(AB229=".",".",SUM($X229:AB229))</f>
        <v>.</v>
      </c>
      <c r="AS229" s="1044" t="str">
        <f>IF(AC229=".",".",SUM($X229:AC229))</f>
        <v>.</v>
      </c>
      <c r="AT229" s="1045" t="str">
        <f>IF(AD229=".",".",SUM($X229:AD229))</f>
        <v>.</v>
      </c>
      <c r="AU229" s="3"/>
      <c r="AV229" s="1145" t="str">
        <f t="shared" si="153"/>
        <v>.</v>
      </c>
      <c r="AW229" s="1146" t="str">
        <f t="shared" si="147"/>
        <v>.</v>
      </c>
      <c r="AX229" s="1146" t="str">
        <f t="shared" si="148"/>
        <v>.</v>
      </c>
      <c r="AY229" s="1146" t="str">
        <f t="shared" si="149"/>
        <v>.</v>
      </c>
      <c r="AZ229" s="1146" t="str">
        <f t="shared" si="150"/>
        <v>.</v>
      </c>
      <c r="BA229" s="1146" t="str">
        <f t="shared" si="151"/>
        <v>.</v>
      </c>
      <c r="BB229" s="1147" t="str">
        <f t="shared" si="152"/>
        <v>.</v>
      </c>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row>
    <row r="230" spans="1:92" x14ac:dyDescent="0.2">
      <c r="A230" s="620"/>
      <c r="B230" s="1077" t="str">
        <f t="shared" si="131"/>
        <v>Residential</v>
      </c>
      <c r="C230" s="1022" t="str">
        <f t="shared" si="131"/>
        <v/>
      </c>
      <c r="D230" s="1022" t="s">
        <v>687</v>
      </c>
      <c r="E230" s="1022"/>
      <c r="F230" s="1022"/>
      <c r="G230" s="1022"/>
      <c r="H230" s="1022"/>
      <c r="I230" s="1022"/>
      <c r="J230" s="1023" t="str">
        <f t="shared" si="132"/>
        <v>.</v>
      </c>
      <c r="K230" s="1012"/>
      <c r="L230" s="1024"/>
      <c r="M230" s="1024"/>
      <c r="N230" s="1024"/>
      <c r="O230" s="1024"/>
      <c r="P230" s="1024"/>
      <c r="Q230" s="1010"/>
      <c r="R230" s="76"/>
      <c r="S230" s="3"/>
      <c r="T230" s="1028">
        <f t="shared" si="126"/>
        <v>0</v>
      </c>
      <c r="U230" s="1029">
        <f t="shared" si="126"/>
        <v>0</v>
      </c>
      <c r="V230" s="1035"/>
      <c r="W230" s="3"/>
      <c r="X230" s="1043" t="str">
        <f t="shared" si="133"/>
        <v>.</v>
      </c>
      <c r="Y230" s="1044" t="str">
        <f t="shared" si="134"/>
        <v>.</v>
      </c>
      <c r="Z230" s="1044" t="str">
        <f t="shared" si="135"/>
        <v>.</v>
      </c>
      <c r="AA230" s="1044" t="str">
        <f t="shared" si="136"/>
        <v>.</v>
      </c>
      <c r="AB230" s="1044" t="str">
        <f t="shared" si="137"/>
        <v>.</v>
      </c>
      <c r="AC230" s="1044" t="str">
        <f t="shared" si="138"/>
        <v>.</v>
      </c>
      <c r="AD230" s="1045" t="str">
        <f t="shared" si="139"/>
        <v>.</v>
      </c>
      <c r="AE230" s="3"/>
      <c r="AF230" s="1145" t="str">
        <f t="shared" ref="AF230:AF293" si="154">IFERROR(K230/J230-1,".")</f>
        <v>.</v>
      </c>
      <c r="AG230" s="1146" t="str">
        <f t="shared" si="141"/>
        <v>.</v>
      </c>
      <c r="AH230" s="1146" t="str">
        <f t="shared" si="142"/>
        <v>.</v>
      </c>
      <c r="AI230" s="1146" t="str">
        <f t="shared" si="143"/>
        <v>.</v>
      </c>
      <c r="AJ230" s="1146" t="str">
        <f t="shared" si="144"/>
        <v>.</v>
      </c>
      <c r="AK230" s="1146" t="str">
        <f t="shared" si="145"/>
        <v>.</v>
      </c>
      <c r="AL230" s="1147" t="str">
        <f t="shared" si="146"/>
        <v>.</v>
      </c>
      <c r="AM230" s="3"/>
      <c r="AN230" s="1043" t="str">
        <f>IF(X230=".",".",SUM($X230:X230))</f>
        <v>.</v>
      </c>
      <c r="AO230" s="1044" t="str">
        <f>IF(Y230=".",".",SUM($X230:Y230))</f>
        <v>.</v>
      </c>
      <c r="AP230" s="1044" t="str">
        <f>IF(Z230=".",".",SUM($X230:Z230))</f>
        <v>.</v>
      </c>
      <c r="AQ230" s="1044" t="str">
        <f>IF(AA230=".",".",SUM($X230:AA230))</f>
        <v>.</v>
      </c>
      <c r="AR230" s="1044" t="str">
        <f>IF(AB230=".",".",SUM($X230:AB230))</f>
        <v>.</v>
      </c>
      <c r="AS230" s="1044" t="str">
        <f>IF(AC230=".",".",SUM($X230:AC230))</f>
        <v>.</v>
      </c>
      <c r="AT230" s="1045" t="str">
        <f>IF(AD230=".",".",SUM($X230:AD230))</f>
        <v>.</v>
      </c>
      <c r="AU230" s="3"/>
      <c r="AV230" s="1145" t="str">
        <f t="shared" si="153"/>
        <v>.</v>
      </c>
      <c r="AW230" s="1146" t="str">
        <f t="shared" si="147"/>
        <v>.</v>
      </c>
      <c r="AX230" s="1146" t="str">
        <f t="shared" si="148"/>
        <v>.</v>
      </c>
      <c r="AY230" s="1146" t="str">
        <f t="shared" si="149"/>
        <v>.</v>
      </c>
      <c r="AZ230" s="1146" t="str">
        <f t="shared" si="150"/>
        <v>.</v>
      </c>
      <c r="BA230" s="1146" t="str">
        <f t="shared" si="151"/>
        <v>.</v>
      </c>
      <c r="BB230" s="1147" t="str">
        <f t="shared" si="152"/>
        <v>.</v>
      </c>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row>
    <row r="231" spans="1:92" x14ac:dyDescent="0.2">
      <c r="A231" s="620"/>
      <c r="B231" s="1077" t="str">
        <f t="shared" si="131"/>
        <v>Residential</v>
      </c>
      <c r="C231" s="1022" t="str">
        <f t="shared" si="131"/>
        <v/>
      </c>
      <c r="D231" s="1022" t="s">
        <v>687</v>
      </c>
      <c r="E231" s="1022"/>
      <c r="F231" s="1022"/>
      <c r="G231" s="1022"/>
      <c r="H231" s="1022"/>
      <c r="I231" s="1022"/>
      <c r="J231" s="1023" t="str">
        <f t="shared" si="132"/>
        <v>.</v>
      </c>
      <c r="K231" s="1012"/>
      <c r="L231" s="1024"/>
      <c r="M231" s="1024"/>
      <c r="N231" s="1024"/>
      <c r="O231" s="1024"/>
      <c r="P231" s="1024"/>
      <c r="Q231" s="1010"/>
      <c r="R231" s="76"/>
      <c r="S231" s="3"/>
      <c r="T231" s="1028">
        <f t="shared" si="126"/>
        <v>0</v>
      </c>
      <c r="U231" s="1029">
        <f t="shared" si="126"/>
        <v>0</v>
      </c>
      <c r="V231" s="1035"/>
      <c r="W231" s="3"/>
      <c r="X231" s="1043" t="str">
        <f t="shared" si="133"/>
        <v>.</v>
      </c>
      <c r="Y231" s="1044" t="str">
        <f t="shared" si="134"/>
        <v>.</v>
      </c>
      <c r="Z231" s="1044" t="str">
        <f t="shared" si="135"/>
        <v>.</v>
      </c>
      <c r="AA231" s="1044" t="str">
        <f t="shared" si="136"/>
        <v>.</v>
      </c>
      <c r="AB231" s="1044" t="str">
        <f t="shared" si="137"/>
        <v>.</v>
      </c>
      <c r="AC231" s="1044" t="str">
        <f t="shared" si="138"/>
        <v>.</v>
      </c>
      <c r="AD231" s="1045" t="str">
        <f t="shared" si="139"/>
        <v>.</v>
      </c>
      <c r="AE231" s="3"/>
      <c r="AF231" s="1145" t="str">
        <f t="shared" si="154"/>
        <v>.</v>
      </c>
      <c r="AG231" s="1146" t="str">
        <f t="shared" si="141"/>
        <v>.</v>
      </c>
      <c r="AH231" s="1146" t="str">
        <f t="shared" si="142"/>
        <v>.</v>
      </c>
      <c r="AI231" s="1146" t="str">
        <f t="shared" si="143"/>
        <v>.</v>
      </c>
      <c r="AJ231" s="1146" t="str">
        <f t="shared" si="144"/>
        <v>.</v>
      </c>
      <c r="AK231" s="1146" t="str">
        <f t="shared" si="145"/>
        <v>.</v>
      </c>
      <c r="AL231" s="1147" t="str">
        <f t="shared" si="146"/>
        <v>.</v>
      </c>
      <c r="AM231" s="3"/>
      <c r="AN231" s="1043" t="str">
        <f>IF(X231=".",".",SUM($X231:X231))</f>
        <v>.</v>
      </c>
      <c r="AO231" s="1044" t="str">
        <f>IF(Y231=".",".",SUM($X231:Y231))</f>
        <v>.</v>
      </c>
      <c r="AP231" s="1044" t="str">
        <f>IF(Z231=".",".",SUM($X231:Z231))</f>
        <v>.</v>
      </c>
      <c r="AQ231" s="1044" t="str">
        <f>IF(AA231=".",".",SUM($X231:AA231))</f>
        <v>.</v>
      </c>
      <c r="AR231" s="1044" t="str">
        <f>IF(AB231=".",".",SUM($X231:AB231))</f>
        <v>.</v>
      </c>
      <c r="AS231" s="1044" t="str">
        <f>IF(AC231=".",".",SUM($X231:AC231))</f>
        <v>.</v>
      </c>
      <c r="AT231" s="1045" t="str">
        <f>IF(AD231=".",".",SUM($X231:AD231))</f>
        <v>.</v>
      </c>
      <c r="AU231" s="3"/>
      <c r="AV231" s="1145" t="str">
        <f t="shared" si="153"/>
        <v>.</v>
      </c>
      <c r="AW231" s="1146" t="str">
        <f t="shared" si="147"/>
        <v>.</v>
      </c>
      <c r="AX231" s="1146" t="str">
        <f t="shared" si="148"/>
        <v>.</v>
      </c>
      <c r="AY231" s="1146" t="str">
        <f t="shared" si="149"/>
        <v>.</v>
      </c>
      <c r="AZ231" s="1146" t="str">
        <f t="shared" si="150"/>
        <v>.</v>
      </c>
      <c r="BA231" s="1146" t="str">
        <f t="shared" si="151"/>
        <v>.</v>
      </c>
      <c r="BB231" s="1147" t="str">
        <f t="shared" si="152"/>
        <v>.</v>
      </c>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row>
    <row r="232" spans="1:92" x14ac:dyDescent="0.2">
      <c r="A232" s="620"/>
      <c r="B232" s="1077" t="str">
        <f t="shared" si="131"/>
        <v>Residential</v>
      </c>
      <c r="C232" s="1022" t="str">
        <f t="shared" si="131"/>
        <v/>
      </c>
      <c r="D232" s="1022" t="s">
        <v>687</v>
      </c>
      <c r="E232" s="1022"/>
      <c r="F232" s="1022"/>
      <c r="G232" s="1022"/>
      <c r="H232" s="1022"/>
      <c r="I232" s="1022"/>
      <c r="J232" s="1023" t="str">
        <f t="shared" si="132"/>
        <v>.</v>
      </c>
      <c r="K232" s="1012"/>
      <c r="L232" s="1024"/>
      <c r="M232" s="1024"/>
      <c r="N232" s="1024"/>
      <c r="O232" s="1024"/>
      <c r="P232" s="1024"/>
      <c r="Q232" s="1010"/>
      <c r="R232" s="76"/>
      <c r="S232" s="3"/>
      <c r="T232" s="1028">
        <f t="shared" si="126"/>
        <v>0</v>
      </c>
      <c r="U232" s="1029">
        <f t="shared" si="126"/>
        <v>0</v>
      </c>
      <c r="V232" s="1035"/>
      <c r="W232" s="3"/>
      <c r="X232" s="1043" t="str">
        <f t="shared" si="133"/>
        <v>.</v>
      </c>
      <c r="Y232" s="1044" t="str">
        <f t="shared" si="134"/>
        <v>.</v>
      </c>
      <c r="Z232" s="1044" t="str">
        <f t="shared" si="135"/>
        <v>.</v>
      </c>
      <c r="AA232" s="1044" t="str">
        <f t="shared" si="136"/>
        <v>.</v>
      </c>
      <c r="AB232" s="1044" t="str">
        <f t="shared" si="137"/>
        <v>.</v>
      </c>
      <c r="AC232" s="1044" t="str">
        <f t="shared" si="138"/>
        <v>.</v>
      </c>
      <c r="AD232" s="1045" t="str">
        <f t="shared" si="139"/>
        <v>.</v>
      </c>
      <c r="AE232" s="3"/>
      <c r="AF232" s="1145" t="str">
        <f t="shared" si="154"/>
        <v>.</v>
      </c>
      <c r="AG232" s="1146" t="str">
        <f t="shared" si="141"/>
        <v>.</v>
      </c>
      <c r="AH232" s="1146" t="str">
        <f t="shared" si="142"/>
        <v>.</v>
      </c>
      <c r="AI232" s="1146" t="str">
        <f t="shared" si="143"/>
        <v>.</v>
      </c>
      <c r="AJ232" s="1146" t="str">
        <f t="shared" si="144"/>
        <v>.</v>
      </c>
      <c r="AK232" s="1146" t="str">
        <f t="shared" si="145"/>
        <v>.</v>
      </c>
      <c r="AL232" s="1147" t="str">
        <f t="shared" si="146"/>
        <v>.</v>
      </c>
      <c r="AM232" s="3"/>
      <c r="AN232" s="1043" t="str">
        <f>IF(X232=".",".",SUM($X232:X232))</f>
        <v>.</v>
      </c>
      <c r="AO232" s="1044" t="str">
        <f>IF(Y232=".",".",SUM($X232:Y232))</f>
        <v>.</v>
      </c>
      <c r="AP232" s="1044" t="str">
        <f>IF(Z232=".",".",SUM($X232:Z232))</f>
        <v>.</v>
      </c>
      <c r="AQ232" s="1044" t="str">
        <f>IF(AA232=".",".",SUM($X232:AA232))</f>
        <v>.</v>
      </c>
      <c r="AR232" s="1044" t="str">
        <f>IF(AB232=".",".",SUM($X232:AB232))</f>
        <v>.</v>
      </c>
      <c r="AS232" s="1044" t="str">
        <f>IF(AC232=".",".",SUM($X232:AC232))</f>
        <v>.</v>
      </c>
      <c r="AT232" s="1045" t="str">
        <f>IF(AD232=".",".",SUM($X232:AD232))</f>
        <v>.</v>
      </c>
      <c r="AU232" s="3"/>
      <c r="AV232" s="1145" t="str">
        <f t="shared" si="153"/>
        <v>.</v>
      </c>
      <c r="AW232" s="1146" t="str">
        <f t="shared" si="147"/>
        <v>.</v>
      </c>
      <c r="AX232" s="1146" t="str">
        <f t="shared" si="148"/>
        <v>.</v>
      </c>
      <c r="AY232" s="1146" t="str">
        <f t="shared" si="149"/>
        <v>.</v>
      </c>
      <c r="AZ232" s="1146" t="str">
        <f t="shared" si="150"/>
        <v>.</v>
      </c>
      <c r="BA232" s="1146" t="str">
        <f t="shared" si="151"/>
        <v>.</v>
      </c>
      <c r="BB232" s="1147" t="str">
        <f t="shared" si="152"/>
        <v>.</v>
      </c>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row>
    <row r="233" spans="1:92" x14ac:dyDescent="0.2">
      <c r="A233" s="620"/>
      <c r="B233" s="1077" t="str">
        <f t="shared" si="131"/>
        <v>Residential</v>
      </c>
      <c r="C233" s="1022" t="str">
        <f t="shared" si="131"/>
        <v/>
      </c>
      <c r="D233" s="1022" t="s">
        <v>687</v>
      </c>
      <c r="E233" s="1022"/>
      <c r="F233" s="1022"/>
      <c r="G233" s="1022"/>
      <c r="H233" s="1022"/>
      <c r="I233" s="1022"/>
      <c r="J233" s="1023" t="str">
        <f t="shared" si="132"/>
        <v>.</v>
      </c>
      <c r="K233" s="1012"/>
      <c r="L233" s="1024"/>
      <c r="M233" s="1024"/>
      <c r="N233" s="1024"/>
      <c r="O233" s="1024"/>
      <c r="P233" s="1024"/>
      <c r="Q233" s="1010"/>
      <c r="R233" s="76"/>
      <c r="S233" s="3"/>
      <c r="T233" s="1028">
        <f t="shared" si="126"/>
        <v>0</v>
      </c>
      <c r="U233" s="1029">
        <f t="shared" si="126"/>
        <v>0</v>
      </c>
      <c r="V233" s="1035"/>
      <c r="W233" s="3"/>
      <c r="X233" s="1043" t="str">
        <f t="shared" si="133"/>
        <v>.</v>
      </c>
      <c r="Y233" s="1044" t="str">
        <f t="shared" si="134"/>
        <v>.</v>
      </c>
      <c r="Z233" s="1044" t="str">
        <f t="shared" si="135"/>
        <v>.</v>
      </c>
      <c r="AA233" s="1044" t="str">
        <f t="shared" si="136"/>
        <v>.</v>
      </c>
      <c r="AB233" s="1044" t="str">
        <f t="shared" si="137"/>
        <v>.</v>
      </c>
      <c r="AC233" s="1044" t="str">
        <f t="shared" si="138"/>
        <v>.</v>
      </c>
      <c r="AD233" s="1045" t="str">
        <f t="shared" si="139"/>
        <v>.</v>
      </c>
      <c r="AE233" s="3"/>
      <c r="AF233" s="1145" t="str">
        <f t="shared" si="154"/>
        <v>.</v>
      </c>
      <c r="AG233" s="1146" t="str">
        <f t="shared" si="141"/>
        <v>.</v>
      </c>
      <c r="AH233" s="1146" t="str">
        <f t="shared" si="142"/>
        <v>.</v>
      </c>
      <c r="AI233" s="1146" t="str">
        <f t="shared" si="143"/>
        <v>.</v>
      </c>
      <c r="AJ233" s="1146" t="str">
        <f t="shared" si="144"/>
        <v>.</v>
      </c>
      <c r="AK233" s="1146" t="str">
        <f t="shared" si="145"/>
        <v>.</v>
      </c>
      <c r="AL233" s="1147" t="str">
        <f t="shared" si="146"/>
        <v>.</v>
      </c>
      <c r="AM233" s="3"/>
      <c r="AN233" s="1043" t="str">
        <f>IF(X233=".",".",SUM($X233:X233))</f>
        <v>.</v>
      </c>
      <c r="AO233" s="1044" t="str">
        <f>IF(Y233=".",".",SUM($X233:Y233))</f>
        <v>.</v>
      </c>
      <c r="AP233" s="1044" t="str">
        <f>IF(Z233=".",".",SUM($X233:Z233))</f>
        <v>.</v>
      </c>
      <c r="AQ233" s="1044" t="str">
        <f>IF(AA233=".",".",SUM($X233:AA233))</f>
        <v>.</v>
      </c>
      <c r="AR233" s="1044" t="str">
        <f>IF(AB233=".",".",SUM($X233:AB233))</f>
        <v>.</v>
      </c>
      <c r="AS233" s="1044" t="str">
        <f>IF(AC233=".",".",SUM($X233:AC233))</f>
        <v>.</v>
      </c>
      <c r="AT233" s="1045" t="str">
        <f>IF(AD233=".",".",SUM($X233:AD233))</f>
        <v>.</v>
      </c>
      <c r="AU233" s="3"/>
      <c r="AV233" s="1145" t="str">
        <f t="shared" si="153"/>
        <v>.</v>
      </c>
      <c r="AW233" s="1146" t="str">
        <f t="shared" si="147"/>
        <v>.</v>
      </c>
      <c r="AX233" s="1146" t="str">
        <f t="shared" si="148"/>
        <v>.</v>
      </c>
      <c r="AY233" s="1146" t="str">
        <f t="shared" si="149"/>
        <v>.</v>
      </c>
      <c r="AZ233" s="1146" t="str">
        <f t="shared" si="150"/>
        <v>.</v>
      </c>
      <c r="BA233" s="1146" t="str">
        <f t="shared" si="151"/>
        <v>.</v>
      </c>
      <c r="BB233" s="1147" t="str">
        <f t="shared" si="152"/>
        <v>.</v>
      </c>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row>
    <row r="234" spans="1:92" x14ac:dyDescent="0.2">
      <c r="A234" s="620"/>
      <c r="B234" s="1077" t="str">
        <f t="shared" si="131"/>
        <v>Residential</v>
      </c>
      <c r="C234" s="1022" t="str">
        <f t="shared" si="131"/>
        <v/>
      </c>
      <c r="D234" s="1022" t="s">
        <v>687</v>
      </c>
      <c r="E234" s="1022"/>
      <c r="F234" s="1022"/>
      <c r="G234" s="1022"/>
      <c r="H234" s="1022"/>
      <c r="I234" s="1022"/>
      <c r="J234" s="1023" t="str">
        <f t="shared" si="132"/>
        <v>.</v>
      </c>
      <c r="K234" s="1012"/>
      <c r="L234" s="1024"/>
      <c r="M234" s="1024"/>
      <c r="N234" s="1024"/>
      <c r="O234" s="1024"/>
      <c r="P234" s="1024"/>
      <c r="Q234" s="1010"/>
      <c r="R234" s="76"/>
      <c r="S234" s="3"/>
      <c r="T234" s="1028">
        <f t="shared" si="126"/>
        <v>0</v>
      </c>
      <c r="U234" s="1029">
        <f t="shared" si="126"/>
        <v>0</v>
      </c>
      <c r="V234" s="1035"/>
      <c r="W234" s="3"/>
      <c r="X234" s="1043" t="str">
        <f t="shared" si="133"/>
        <v>.</v>
      </c>
      <c r="Y234" s="1044" t="str">
        <f t="shared" si="134"/>
        <v>.</v>
      </c>
      <c r="Z234" s="1044" t="str">
        <f t="shared" si="135"/>
        <v>.</v>
      </c>
      <c r="AA234" s="1044" t="str">
        <f t="shared" si="136"/>
        <v>.</v>
      </c>
      <c r="AB234" s="1044" t="str">
        <f t="shared" si="137"/>
        <v>.</v>
      </c>
      <c r="AC234" s="1044" t="str">
        <f t="shared" si="138"/>
        <v>.</v>
      </c>
      <c r="AD234" s="1045" t="str">
        <f t="shared" si="139"/>
        <v>.</v>
      </c>
      <c r="AE234" s="3"/>
      <c r="AF234" s="1145" t="str">
        <f t="shared" si="154"/>
        <v>.</v>
      </c>
      <c r="AG234" s="1146" t="str">
        <f t="shared" si="141"/>
        <v>.</v>
      </c>
      <c r="AH234" s="1146" t="str">
        <f t="shared" si="142"/>
        <v>.</v>
      </c>
      <c r="AI234" s="1146" t="str">
        <f t="shared" si="143"/>
        <v>.</v>
      </c>
      <c r="AJ234" s="1146" t="str">
        <f t="shared" si="144"/>
        <v>.</v>
      </c>
      <c r="AK234" s="1146" t="str">
        <f t="shared" si="145"/>
        <v>.</v>
      </c>
      <c r="AL234" s="1147" t="str">
        <f t="shared" si="146"/>
        <v>.</v>
      </c>
      <c r="AM234" s="3"/>
      <c r="AN234" s="1043" t="str">
        <f>IF(X234=".",".",SUM($X234:X234))</f>
        <v>.</v>
      </c>
      <c r="AO234" s="1044" t="str">
        <f>IF(Y234=".",".",SUM($X234:Y234))</f>
        <v>.</v>
      </c>
      <c r="AP234" s="1044" t="str">
        <f>IF(Z234=".",".",SUM($X234:Z234))</f>
        <v>.</v>
      </c>
      <c r="AQ234" s="1044" t="str">
        <f>IF(AA234=".",".",SUM($X234:AA234))</f>
        <v>.</v>
      </c>
      <c r="AR234" s="1044" t="str">
        <f>IF(AB234=".",".",SUM($X234:AB234))</f>
        <v>.</v>
      </c>
      <c r="AS234" s="1044" t="str">
        <f>IF(AC234=".",".",SUM($X234:AC234))</f>
        <v>.</v>
      </c>
      <c r="AT234" s="1045" t="str">
        <f>IF(AD234=".",".",SUM($X234:AD234))</f>
        <v>.</v>
      </c>
      <c r="AU234" s="3"/>
      <c r="AV234" s="1145" t="str">
        <f t="shared" si="153"/>
        <v>.</v>
      </c>
      <c r="AW234" s="1146" t="str">
        <f t="shared" si="147"/>
        <v>.</v>
      </c>
      <c r="AX234" s="1146" t="str">
        <f t="shared" si="148"/>
        <v>.</v>
      </c>
      <c r="AY234" s="1146" t="str">
        <f t="shared" si="149"/>
        <v>.</v>
      </c>
      <c r="AZ234" s="1146" t="str">
        <f t="shared" si="150"/>
        <v>.</v>
      </c>
      <c r="BA234" s="1146" t="str">
        <f t="shared" si="151"/>
        <v>.</v>
      </c>
      <c r="BB234" s="1147" t="str">
        <f t="shared" si="152"/>
        <v>.</v>
      </c>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row>
    <row r="235" spans="1:92" x14ac:dyDescent="0.2">
      <c r="A235" s="620"/>
      <c r="B235" s="1077" t="str">
        <f t="shared" si="131"/>
        <v>Residential</v>
      </c>
      <c r="C235" s="1022" t="str">
        <f t="shared" si="131"/>
        <v/>
      </c>
      <c r="D235" s="1022" t="s">
        <v>687</v>
      </c>
      <c r="E235" s="1022"/>
      <c r="F235" s="1022"/>
      <c r="G235" s="1022"/>
      <c r="H235" s="1022"/>
      <c r="I235" s="1022"/>
      <c r="J235" s="1023" t="str">
        <f t="shared" si="132"/>
        <v>.</v>
      </c>
      <c r="K235" s="1012"/>
      <c r="L235" s="1024"/>
      <c r="M235" s="1024"/>
      <c r="N235" s="1024"/>
      <c r="O235" s="1024"/>
      <c r="P235" s="1024"/>
      <c r="Q235" s="1010"/>
      <c r="R235" s="76"/>
      <c r="S235" s="3"/>
      <c r="T235" s="1028">
        <f t="shared" si="126"/>
        <v>0</v>
      </c>
      <c r="U235" s="1029">
        <f t="shared" si="126"/>
        <v>0</v>
      </c>
      <c r="V235" s="1035"/>
      <c r="W235" s="3"/>
      <c r="X235" s="1043" t="str">
        <f t="shared" si="133"/>
        <v>.</v>
      </c>
      <c r="Y235" s="1044" t="str">
        <f t="shared" si="134"/>
        <v>.</v>
      </c>
      <c r="Z235" s="1044" t="str">
        <f t="shared" si="135"/>
        <v>.</v>
      </c>
      <c r="AA235" s="1044" t="str">
        <f t="shared" si="136"/>
        <v>.</v>
      </c>
      <c r="AB235" s="1044" t="str">
        <f t="shared" si="137"/>
        <v>.</v>
      </c>
      <c r="AC235" s="1044" t="str">
        <f t="shared" si="138"/>
        <v>.</v>
      </c>
      <c r="AD235" s="1045" t="str">
        <f t="shared" si="139"/>
        <v>.</v>
      </c>
      <c r="AE235" s="3"/>
      <c r="AF235" s="1145" t="str">
        <f t="shared" si="154"/>
        <v>.</v>
      </c>
      <c r="AG235" s="1146" t="str">
        <f t="shared" si="141"/>
        <v>.</v>
      </c>
      <c r="AH235" s="1146" t="str">
        <f t="shared" si="142"/>
        <v>.</v>
      </c>
      <c r="AI235" s="1146" t="str">
        <f t="shared" si="143"/>
        <v>.</v>
      </c>
      <c r="AJ235" s="1146" t="str">
        <f t="shared" si="144"/>
        <v>.</v>
      </c>
      <c r="AK235" s="1146" t="str">
        <f t="shared" si="145"/>
        <v>.</v>
      </c>
      <c r="AL235" s="1147" t="str">
        <f t="shared" si="146"/>
        <v>.</v>
      </c>
      <c r="AM235" s="3"/>
      <c r="AN235" s="1043" t="str">
        <f>IF(X235=".",".",SUM($X235:X235))</f>
        <v>.</v>
      </c>
      <c r="AO235" s="1044" t="str">
        <f>IF(Y235=".",".",SUM($X235:Y235))</f>
        <v>.</v>
      </c>
      <c r="AP235" s="1044" t="str">
        <f>IF(Z235=".",".",SUM($X235:Z235))</f>
        <v>.</v>
      </c>
      <c r="AQ235" s="1044" t="str">
        <f>IF(AA235=".",".",SUM($X235:AA235))</f>
        <v>.</v>
      </c>
      <c r="AR235" s="1044" t="str">
        <f>IF(AB235=".",".",SUM($X235:AB235))</f>
        <v>.</v>
      </c>
      <c r="AS235" s="1044" t="str">
        <f>IF(AC235=".",".",SUM($X235:AC235))</f>
        <v>.</v>
      </c>
      <c r="AT235" s="1045" t="str">
        <f>IF(AD235=".",".",SUM($X235:AD235))</f>
        <v>.</v>
      </c>
      <c r="AU235" s="3"/>
      <c r="AV235" s="1145" t="str">
        <f t="shared" si="153"/>
        <v>.</v>
      </c>
      <c r="AW235" s="1146" t="str">
        <f t="shared" si="147"/>
        <v>.</v>
      </c>
      <c r="AX235" s="1146" t="str">
        <f t="shared" si="148"/>
        <v>.</v>
      </c>
      <c r="AY235" s="1146" t="str">
        <f t="shared" si="149"/>
        <v>.</v>
      </c>
      <c r="AZ235" s="1146" t="str">
        <f t="shared" si="150"/>
        <v>.</v>
      </c>
      <c r="BA235" s="1146" t="str">
        <f t="shared" si="151"/>
        <v>.</v>
      </c>
      <c r="BB235" s="1147" t="str">
        <f t="shared" si="152"/>
        <v>.</v>
      </c>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row>
    <row r="236" spans="1:92" x14ac:dyDescent="0.2">
      <c r="A236" s="620"/>
      <c r="B236" s="1077" t="str">
        <f t="shared" si="131"/>
        <v>Residential</v>
      </c>
      <c r="C236" s="1022" t="str">
        <f t="shared" si="131"/>
        <v/>
      </c>
      <c r="D236" s="1022" t="s">
        <v>687</v>
      </c>
      <c r="E236" s="1022"/>
      <c r="F236" s="1022"/>
      <c r="G236" s="1022"/>
      <c r="H236" s="1022"/>
      <c r="I236" s="1022"/>
      <c r="J236" s="1023" t="str">
        <f t="shared" si="132"/>
        <v>.</v>
      </c>
      <c r="K236" s="1012"/>
      <c r="L236" s="1024"/>
      <c r="M236" s="1024"/>
      <c r="N236" s="1024"/>
      <c r="O236" s="1024"/>
      <c r="P236" s="1024"/>
      <c r="Q236" s="1010"/>
      <c r="R236" s="76"/>
      <c r="S236" s="3"/>
      <c r="T236" s="1028">
        <f t="shared" si="126"/>
        <v>0</v>
      </c>
      <c r="U236" s="1029">
        <f t="shared" si="126"/>
        <v>0</v>
      </c>
      <c r="V236" s="1035"/>
      <c r="W236" s="3"/>
      <c r="X236" s="1043" t="str">
        <f t="shared" si="133"/>
        <v>.</v>
      </c>
      <c r="Y236" s="1044" t="str">
        <f t="shared" si="134"/>
        <v>.</v>
      </c>
      <c r="Z236" s="1044" t="str">
        <f t="shared" si="135"/>
        <v>.</v>
      </c>
      <c r="AA236" s="1044" t="str">
        <f t="shared" si="136"/>
        <v>.</v>
      </c>
      <c r="AB236" s="1044" t="str">
        <f t="shared" si="137"/>
        <v>.</v>
      </c>
      <c r="AC236" s="1044" t="str">
        <f t="shared" si="138"/>
        <v>.</v>
      </c>
      <c r="AD236" s="1045" t="str">
        <f t="shared" si="139"/>
        <v>.</v>
      </c>
      <c r="AE236" s="3"/>
      <c r="AF236" s="1145" t="str">
        <f t="shared" si="154"/>
        <v>.</v>
      </c>
      <c r="AG236" s="1146" t="str">
        <f t="shared" si="141"/>
        <v>.</v>
      </c>
      <c r="AH236" s="1146" t="str">
        <f t="shared" si="142"/>
        <v>.</v>
      </c>
      <c r="AI236" s="1146" t="str">
        <f t="shared" si="143"/>
        <v>.</v>
      </c>
      <c r="AJ236" s="1146" t="str">
        <f t="shared" si="144"/>
        <v>.</v>
      </c>
      <c r="AK236" s="1146" t="str">
        <f t="shared" si="145"/>
        <v>.</v>
      </c>
      <c r="AL236" s="1147" t="str">
        <f t="shared" si="146"/>
        <v>.</v>
      </c>
      <c r="AM236" s="3"/>
      <c r="AN236" s="1043" t="str">
        <f>IF(X236=".",".",SUM($X236:X236))</f>
        <v>.</v>
      </c>
      <c r="AO236" s="1044" t="str">
        <f>IF(Y236=".",".",SUM($X236:Y236))</f>
        <v>.</v>
      </c>
      <c r="AP236" s="1044" t="str">
        <f>IF(Z236=".",".",SUM($X236:Z236))</f>
        <v>.</v>
      </c>
      <c r="AQ236" s="1044" t="str">
        <f>IF(AA236=".",".",SUM($X236:AA236))</f>
        <v>.</v>
      </c>
      <c r="AR236" s="1044" t="str">
        <f>IF(AB236=".",".",SUM($X236:AB236))</f>
        <v>.</v>
      </c>
      <c r="AS236" s="1044" t="str">
        <f>IF(AC236=".",".",SUM($X236:AC236))</f>
        <v>.</v>
      </c>
      <c r="AT236" s="1045" t="str">
        <f>IF(AD236=".",".",SUM($X236:AD236))</f>
        <v>.</v>
      </c>
      <c r="AU236" s="3"/>
      <c r="AV236" s="1145" t="str">
        <f t="shared" si="153"/>
        <v>.</v>
      </c>
      <c r="AW236" s="1146" t="str">
        <f t="shared" si="147"/>
        <v>.</v>
      </c>
      <c r="AX236" s="1146" t="str">
        <f t="shared" si="148"/>
        <v>.</v>
      </c>
      <c r="AY236" s="1146" t="str">
        <f t="shared" si="149"/>
        <v>.</v>
      </c>
      <c r="AZ236" s="1146" t="str">
        <f t="shared" si="150"/>
        <v>.</v>
      </c>
      <c r="BA236" s="1146" t="str">
        <f t="shared" si="151"/>
        <v>.</v>
      </c>
      <c r="BB236" s="1147" t="str">
        <f t="shared" si="152"/>
        <v>.</v>
      </c>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row>
    <row r="237" spans="1:92" x14ac:dyDescent="0.2">
      <c r="A237" s="620"/>
      <c r="B237" s="1077" t="str">
        <f t="shared" si="131"/>
        <v>Residential</v>
      </c>
      <c r="C237" s="1022" t="str">
        <f t="shared" si="131"/>
        <v/>
      </c>
      <c r="D237" s="1022" t="s">
        <v>687</v>
      </c>
      <c r="E237" s="1022"/>
      <c r="F237" s="1022"/>
      <c r="G237" s="1022"/>
      <c r="H237" s="1022"/>
      <c r="I237" s="1022"/>
      <c r="J237" s="1023" t="str">
        <f t="shared" si="132"/>
        <v>.</v>
      </c>
      <c r="K237" s="1012"/>
      <c r="L237" s="1024"/>
      <c r="M237" s="1024"/>
      <c r="N237" s="1024"/>
      <c r="O237" s="1024"/>
      <c r="P237" s="1024"/>
      <c r="Q237" s="1010"/>
      <c r="R237" s="76"/>
      <c r="S237" s="3"/>
      <c r="T237" s="1028">
        <f t="shared" si="126"/>
        <v>0</v>
      </c>
      <c r="U237" s="1029">
        <f t="shared" si="126"/>
        <v>0</v>
      </c>
      <c r="V237" s="1035"/>
      <c r="W237" s="3"/>
      <c r="X237" s="1043" t="str">
        <f t="shared" si="133"/>
        <v>.</v>
      </c>
      <c r="Y237" s="1044" t="str">
        <f t="shared" si="134"/>
        <v>.</v>
      </c>
      <c r="Z237" s="1044" t="str">
        <f t="shared" si="135"/>
        <v>.</v>
      </c>
      <c r="AA237" s="1044" t="str">
        <f t="shared" si="136"/>
        <v>.</v>
      </c>
      <c r="AB237" s="1044" t="str">
        <f t="shared" si="137"/>
        <v>.</v>
      </c>
      <c r="AC237" s="1044" t="str">
        <f t="shared" si="138"/>
        <v>.</v>
      </c>
      <c r="AD237" s="1045" t="str">
        <f t="shared" si="139"/>
        <v>.</v>
      </c>
      <c r="AE237" s="3"/>
      <c r="AF237" s="1145" t="str">
        <f t="shared" si="154"/>
        <v>.</v>
      </c>
      <c r="AG237" s="1146" t="str">
        <f t="shared" si="141"/>
        <v>.</v>
      </c>
      <c r="AH237" s="1146" t="str">
        <f t="shared" si="142"/>
        <v>.</v>
      </c>
      <c r="AI237" s="1146" t="str">
        <f t="shared" si="143"/>
        <v>.</v>
      </c>
      <c r="AJ237" s="1146" t="str">
        <f t="shared" si="144"/>
        <v>.</v>
      </c>
      <c r="AK237" s="1146" t="str">
        <f t="shared" si="145"/>
        <v>.</v>
      </c>
      <c r="AL237" s="1147" t="str">
        <f t="shared" si="146"/>
        <v>.</v>
      </c>
      <c r="AM237" s="3"/>
      <c r="AN237" s="1043" t="str">
        <f>IF(X237=".",".",SUM($X237:X237))</f>
        <v>.</v>
      </c>
      <c r="AO237" s="1044" t="str">
        <f>IF(Y237=".",".",SUM($X237:Y237))</f>
        <v>.</v>
      </c>
      <c r="AP237" s="1044" t="str">
        <f>IF(Z237=".",".",SUM($X237:Z237))</f>
        <v>.</v>
      </c>
      <c r="AQ237" s="1044" t="str">
        <f>IF(AA237=".",".",SUM($X237:AA237))</f>
        <v>.</v>
      </c>
      <c r="AR237" s="1044" t="str">
        <f>IF(AB237=".",".",SUM($X237:AB237))</f>
        <v>.</v>
      </c>
      <c r="AS237" s="1044" t="str">
        <f>IF(AC237=".",".",SUM($X237:AC237))</f>
        <v>.</v>
      </c>
      <c r="AT237" s="1045" t="str">
        <f>IF(AD237=".",".",SUM($X237:AD237))</f>
        <v>.</v>
      </c>
      <c r="AU237" s="3"/>
      <c r="AV237" s="1145" t="str">
        <f t="shared" si="153"/>
        <v>.</v>
      </c>
      <c r="AW237" s="1146" t="str">
        <f t="shared" si="147"/>
        <v>.</v>
      </c>
      <c r="AX237" s="1146" t="str">
        <f t="shared" si="148"/>
        <v>.</v>
      </c>
      <c r="AY237" s="1146" t="str">
        <f t="shared" si="149"/>
        <v>.</v>
      </c>
      <c r="AZ237" s="1146" t="str">
        <f t="shared" si="150"/>
        <v>.</v>
      </c>
      <c r="BA237" s="1146" t="str">
        <f t="shared" si="151"/>
        <v>.</v>
      </c>
      <c r="BB237" s="1147" t="str">
        <f t="shared" si="152"/>
        <v>.</v>
      </c>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row>
    <row r="238" spans="1:92" x14ac:dyDescent="0.2">
      <c r="A238" s="620"/>
      <c r="B238" s="1077" t="str">
        <f t="shared" si="131"/>
        <v>Residential</v>
      </c>
      <c r="C238" s="1022" t="str">
        <f t="shared" si="131"/>
        <v/>
      </c>
      <c r="D238" s="1022" t="s">
        <v>687</v>
      </c>
      <c r="E238" s="1022"/>
      <c r="F238" s="1022"/>
      <c r="G238" s="1022"/>
      <c r="H238" s="1022"/>
      <c r="I238" s="1022"/>
      <c r="J238" s="1023" t="str">
        <f t="shared" si="132"/>
        <v>.</v>
      </c>
      <c r="K238" s="1012"/>
      <c r="L238" s="1024"/>
      <c r="M238" s="1024"/>
      <c r="N238" s="1024"/>
      <c r="O238" s="1024"/>
      <c r="P238" s="1024"/>
      <c r="Q238" s="1010"/>
      <c r="R238" s="76"/>
      <c r="S238" s="3"/>
      <c r="T238" s="1028">
        <f t="shared" si="126"/>
        <v>0</v>
      </c>
      <c r="U238" s="1029">
        <f t="shared" si="126"/>
        <v>0</v>
      </c>
      <c r="V238" s="1035"/>
      <c r="W238" s="3"/>
      <c r="X238" s="1043" t="str">
        <f t="shared" si="133"/>
        <v>.</v>
      </c>
      <c r="Y238" s="1044" t="str">
        <f t="shared" si="134"/>
        <v>.</v>
      </c>
      <c r="Z238" s="1044" t="str">
        <f t="shared" si="135"/>
        <v>.</v>
      </c>
      <c r="AA238" s="1044" t="str">
        <f t="shared" si="136"/>
        <v>.</v>
      </c>
      <c r="AB238" s="1044" t="str">
        <f t="shared" si="137"/>
        <v>.</v>
      </c>
      <c r="AC238" s="1044" t="str">
        <f t="shared" si="138"/>
        <v>.</v>
      </c>
      <c r="AD238" s="1045" t="str">
        <f t="shared" si="139"/>
        <v>.</v>
      </c>
      <c r="AE238" s="3"/>
      <c r="AF238" s="1145" t="str">
        <f t="shared" si="154"/>
        <v>.</v>
      </c>
      <c r="AG238" s="1146" t="str">
        <f t="shared" si="141"/>
        <v>.</v>
      </c>
      <c r="AH238" s="1146" t="str">
        <f t="shared" si="142"/>
        <v>.</v>
      </c>
      <c r="AI238" s="1146" t="str">
        <f t="shared" si="143"/>
        <v>.</v>
      </c>
      <c r="AJ238" s="1146" t="str">
        <f t="shared" si="144"/>
        <v>.</v>
      </c>
      <c r="AK238" s="1146" t="str">
        <f t="shared" si="145"/>
        <v>.</v>
      </c>
      <c r="AL238" s="1147" t="str">
        <f t="shared" si="146"/>
        <v>.</v>
      </c>
      <c r="AM238" s="3"/>
      <c r="AN238" s="1043" t="str">
        <f>IF(X238=".",".",SUM($X238:X238))</f>
        <v>.</v>
      </c>
      <c r="AO238" s="1044" t="str">
        <f>IF(Y238=".",".",SUM($X238:Y238))</f>
        <v>.</v>
      </c>
      <c r="AP238" s="1044" t="str">
        <f>IF(Z238=".",".",SUM($X238:Z238))</f>
        <v>.</v>
      </c>
      <c r="AQ238" s="1044" t="str">
        <f>IF(AA238=".",".",SUM($X238:AA238))</f>
        <v>.</v>
      </c>
      <c r="AR238" s="1044" t="str">
        <f>IF(AB238=".",".",SUM($X238:AB238))</f>
        <v>.</v>
      </c>
      <c r="AS238" s="1044" t="str">
        <f>IF(AC238=".",".",SUM($X238:AC238))</f>
        <v>.</v>
      </c>
      <c r="AT238" s="1045" t="str">
        <f>IF(AD238=".",".",SUM($X238:AD238))</f>
        <v>.</v>
      </c>
      <c r="AU238" s="3"/>
      <c r="AV238" s="1145" t="str">
        <f t="shared" si="153"/>
        <v>.</v>
      </c>
      <c r="AW238" s="1146" t="str">
        <f t="shared" si="147"/>
        <v>.</v>
      </c>
      <c r="AX238" s="1146" t="str">
        <f t="shared" si="148"/>
        <v>.</v>
      </c>
      <c r="AY238" s="1146" t="str">
        <f t="shared" si="149"/>
        <v>.</v>
      </c>
      <c r="AZ238" s="1146" t="str">
        <f t="shared" si="150"/>
        <v>.</v>
      </c>
      <c r="BA238" s="1146" t="str">
        <f t="shared" si="151"/>
        <v>.</v>
      </c>
      <c r="BB238" s="1147" t="str">
        <f t="shared" si="152"/>
        <v>.</v>
      </c>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row>
    <row r="239" spans="1:92" x14ac:dyDescent="0.2">
      <c r="A239" s="620"/>
      <c r="B239" s="1077" t="str">
        <f t="shared" si="131"/>
        <v>Residential</v>
      </c>
      <c r="C239" s="1022" t="str">
        <f t="shared" si="131"/>
        <v/>
      </c>
      <c r="D239" s="1022" t="s">
        <v>687</v>
      </c>
      <c r="E239" s="1022"/>
      <c r="F239" s="1022"/>
      <c r="G239" s="1022"/>
      <c r="H239" s="1022"/>
      <c r="I239" s="1022"/>
      <c r="J239" s="1023" t="str">
        <f t="shared" si="132"/>
        <v>.</v>
      </c>
      <c r="K239" s="1012"/>
      <c r="L239" s="1024"/>
      <c r="M239" s="1024"/>
      <c r="N239" s="1024"/>
      <c r="O239" s="1024"/>
      <c r="P239" s="1024"/>
      <c r="Q239" s="1010"/>
      <c r="R239" s="76"/>
      <c r="S239" s="3"/>
      <c r="T239" s="1028">
        <f t="shared" si="126"/>
        <v>0</v>
      </c>
      <c r="U239" s="1029">
        <f t="shared" si="126"/>
        <v>0</v>
      </c>
      <c r="V239" s="1035"/>
      <c r="W239" s="3"/>
      <c r="X239" s="1043" t="str">
        <f t="shared" si="133"/>
        <v>.</v>
      </c>
      <c r="Y239" s="1044" t="str">
        <f t="shared" si="134"/>
        <v>.</v>
      </c>
      <c r="Z239" s="1044" t="str">
        <f t="shared" si="135"/>
        <v>.</v>
      </c>
      <c r="AA239" s="1044" t="str">
        <f t="shared" si="136"/>
        <v>.</v>
      </c>
      <c r="AB239" s="1044" t="str">
        <f t="shared" si="137"/>
        <v>.</v>
      </c>
      <c r="AC239" s="1044" t="str">
        <f t="shared" si="138"/>
        <v>.</v>
      </c>
      <c r="AD239" s="1045" t="str">
        <f t="shared" si="139"/>
        <v>.</v>
      </c>
      <c r="AE239" s="3"/>
      <c r="AF239" s="1145" t="str">
        <f t="shared" si="154"/>
        <v>.</v>
      </c>
      <c r="AG239" s="1146" t="str">
        <f t="shared" si="141"/>
        <v>.</v>
      </c>
      <c r="AH239" s="1146" t="str">
        <f t="shared" si="142"/>
        <v>.</v>
      </c>
      <c r="AI239" s="1146" t="str">
        <f t="shared" si="143"/>
        <v>.</v>
      </c>
      <c r="AJ239" s="1146" t="str">
        <f t="shared" si="144"/>
        <v>.</v>
      </c>
      <c r="AK239" s="1146" t="str">
        <f t="shared" si="145"/>
        <v>.</v>
      </c>
      <c r="AL239" s="1147" t="str">
        <f t="shared" si="146"/>
        <v>.</v>
      </c>
      <c r="AM239" s="3"/>
      <c r="AN239" s="1043" t="str">
        <f>IF(X239=".",".",SUM($X239:X239))</f>
        <v>.</v>
      </c>
      <c r="AO239" s="1044" t="str">
        <f>IF(Y239=".",".",SUM($X239:Y239))</f>
        <v>.</v>
      </c>
      <c r="AP239" s="1044" t="str">
        <f>IF(Z239=".",".",SUM($X239:Z239))</f>
        <v>.</v>
      </c>
      <c r="AQ239" s="1044" t="str">
        <f>IF(AA239=".",".",SUM($X239:AA239))</f>
        <v>.</v>
      </c>
      <c r="AR239" s="1044" t="str">
        <f>IF(AB239=".",".",SUM($X239:AB239))</f>
        <v>.</v>
      </c>
      <c r="AS239" s="1044" t="str">
        <f>IF(AC239=".",".",SUM($X239:AC239))</f>
        <v>.</v>
      </c>
      <c r="AT239" s="1045" t="str">
        <f>IF(AD239=".",".",SUM($X239:AD239))</f>
        <v>.</v>
      </c>
      <c r="AU239" s="3"/>
      <c r="AV239" s="1145" t="str">
        <f t="shared" si="153"/>
        <v>.</v>
      </c>
      <c r="AW239" s="1146" t="str">
        <f t="shared" si="147"/>
        <v>.</v>
      </c>
      <c r="AX239" s="1146" t="str">
        <f t="shared" si="148"/>
        <v>.</v>
      </c>
      <c r="AY239" s="1146" t="str">
        <f t="shared" si="149"/>
        <v>.</v>
      </c>
      <c r="AZ239" s="1146" t="str">
        <f t="shared" si="150"/>
        <v>.</v>
      </c>
      <c r="BA239" s="1146" t="str">
        <f t="shared" si="151"/>
        <v>.</v>
      </c>
      <c r="BB239" s="1147" t="str">
        <f t="shared" si="152"/>
        <v>.</v>
      </c>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row>
    <row r="240" spans="1:92" x14ac:dyDescent="0.2">
      <c r="A240" s="620"/>
      <c r="B240" s="1077" t="str">
        <f t="shared" si="131"/>
        <v>Residential</v>
      </c>
      <c r="C240" s="1022" t="str">
        <f t="shared" si="131"/>
        <v/>
      </c>
      <c r="D240" s="1022" t="s">
        <v>687</v>
      </c>
      <c r="E240" s="1022"/>
      <c r="F240" s="1022"/>
      <c r="G240" s="1022"/>
      <c r="H240" s="1022"/>
      <c r="I240" s="1022"/>
      <c r="J240" s="1023" t="str">
        <f t="shared" si="132"/>
        <v>.</v>
      </c>
      <c r="K240" s="1012"/>
      <c r="L240" s="1024"/>
      <c r="M240" s="1024"/>
      <c r="N240" s="1024"/>
      <c r="O240" s="1024"/>
      <c r="P240" s="1024"/>
      <c r="Q240" s="1010"/>
      <c r="R240" s="76"/>
      <c r="S240" s="3"/>
      <c r="T240" s="1028">
        <f t="shared" si="126"/>
        <v>0</v>
      </c>
      <c r="U240" s="1029">
        <f t="shared" si="126"/>
        <v>0</v>
      </c>
      <c r="V240" s="1035"/>
      <c r="W240" s="3"/>
      <c r="X240" s="1043" t="str">
        <f t="shared" si="133"/>
        <v>.</v>
      </c>
      <c r="Y240" s="1044" t="str">
        <f t="shared" si="134"/>
        <v>.</v>
      </c>
      <c r="Z240" s="1044" t="str">
        <f t="shared" si="135"/>
        <v>.</v>
      </c>
      <c r="AA240" s="1044" t="str">
        <f t="shared" si="136"/>
        <v>.</v>
      </c>
      <c r="AB240" s="1044" t="str">
        <f t="shared" si="137"/>
        <v>.</v>
      </c>
      <c r="AC240" s="1044" t="str">
        <f t="shared" si="138"/>
        <v>.</v>
      </c>
      <c r="AD240" s="1045" t="str">
        <f t="shared" si="139"/>
        <v>.</v>
      </c>
      <c r="AE240" s="3"/>
      <c r="AF240" s="1145" t="str">
        <f t="shared" si="154"/>
        <v>.</v>
      </c>
      <c r="AG240" s="1146" t="str">
        <f t="shared" si="141"/>
        <v>.</v>
      </c>
      <c r="AH240" s="1146" t="str">
        <f t="shared" si="142"/>
        <v>.</v>
      </c>
      <c r="AI240" s="1146" t="str">
        <f t="shared" si="143"/>
        <v>.</v>
      </c>
      <c r="AJ240" s="1146" t="str">
        <f t="shared" si="144"/>
        <v>.</v>
      </c>
      <c r="AK240" s="1146" t="str">
        <f t="shared" si="145"/>
        <v>.</v>
      </c>
      <c r="AL240" s="1147" t="str">
        <f t="shared" si="146"/>
        <v>.</v>
      </c>
      <c r="AM240" s="3"/>
      <c r="AN240" s="1043" t="str">
        <f>IF(X240=".",".",SUM($X240:X240))</f>
        <v>.</v>
      </c>
      <c r="AO240" s="1044" t="str">
        <f>IF(Y240=".",".",SUM($X240:Y240))</f>
        <v>.</v>
      </c>
      <c r="AP240" s="1044" t="str">
        <f>IF(Z240=".",".",SUM($X240:Z240))</f>
        <v>.</v>
      </c>
      <c r="AQ240" s="1044" t="str">
        <f>IF(AA240=".",".",SUM($X240:AA240))</f>
        <v>.</v>
      </c>
      <c r="AR240" s="1044" t="str">
        <f>IF(AB240=".",".",SUM($X240:AB240))</f>
        <v>.</v>
      </c>
      <c r="AS240" s="1044" t="str">
        <f>IF(AC240=".",".",SUM($X240:AC240))</f>
        <v>.</v>
      </c>
      <c r="AT240" s="1045" t="str">
        <f>IF(AD240=".",".",SUM($X240:AD240))</f>
        <v>.</v>
      </c>
      <c r="AU240" s="3"/>
      <c r="AV240" s="1145" t="str">
        <f t="shared" si="153"/>
        <v>.</v>
      </c>
      <c r="AW240" s="1146" t="str">
        <f t="shared" si="147"/>
        <v>.</v>
      </c>
      <c r="AX240" s="1146" t="str">
        <f t="shared" si="148"/>
        <v>.</v>
      </c>
      <c r="AY240" s="1146" t="str">
        <f t="shared" si="149"/>
        <v>.</v>
      </c>
      <c r="AZ240" s="1146" t="str">
        <f t="shared" si="150"/>
        <v>.</v>
      </c>
      <c r="BA240" s="1146" t="str">
        <f t="shared" si="151"/>
        <v>.</v>
      </c>
      <c r="BB240" s="1147" t="str">
        <f t="shared" si="152"/>
        <v>.</v>
      </c>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row>
    <row r="241" spans="1:92" x14ac:dyDescent="0.2">
      <c r="A241" s="620"/>
      <c r="B241" s="1077" t="str">
        <f t="shared" si="131"/>
        <v>Residential</v>
      </c>
      <c r="C241" s="1022" t="str">
        <f t="shared" si="131"/>
        <v/>
      </c>
      <c r="D241" s="1022" t="s">
        <v>687</v>
      </c>
      <c r="E241" s="1022"/>
      <c r="F241" s="1022"/>
      <c r="G241" s="1022"/>
      <c r="H241" s="1022"/>
      <c r="I241" s="1022"/>
      <c r="J241" s="1023" t="str">
        <f t="shared" si="132"/>
        <v>.</v>
      </c>
      <c r="K241" s="1012"/>
      <c r="L241" s="1024"/>
      <c r="M241" s="1024"/>
      <c r="N241" s="1024"/>
      <c r="O241" s="1024"/>
      <c r="P241" s="1024"/>
      <c r="Q241" s="1010"/>
      <c r="R241" s="76"/>
      <c r="S241" s="3"/>
      <c r="T241" s="1028">
        <f t="shared" si="126"/>
        <v>0</v>
      </c>
      <c r="U241" s="1029">
        <f t="shared" si="126"/>
        <v>0</v>
      </c>
      <c r="V241" s="1035"/>
      <c r="W241" s="3"/>
      <c r="X241" s="1043" t="str">
        <f t="shared" si="133"/>
        <v>.</v>
      </c>
      <c r="Y241" s="1044" t="str">
        <f t="shared" si="134"/>
        <v>.</v>
      </c>
      <c r="Z241" s="1044" t="str">
        <f t="shared" si="135"/>
        <v>.</v>
      </c>
      <c r="AA241" s="1044" t="str">
        <f t="shared" si="136"/>
        <v>.</v>
      </c>
      <c r="AB241" s="1044" t="str">
        <f t="shared" si="137"/>
        <v>.</v>
      </c>
      <c r="AC241" s="1044" t="str">
        <f t="shared" si="138"/>
        <v>.</v>
      </c>
      <c r="AD241" s="1045" t="str">
        <f t="shared" si="139"/>
        <v>.</v>
      </c>
      <c r="AE241" s="3"/>
      <c r="AF241" s="1145" t="str">
        <f t="shared" si="154"/>
        <v>.</v>
      </c>
      <c r="AG241" s="1146" t="str">
        <f t="shared" si="141"/>
        <v>.</v>
      </c>
      <c r="AH241" s="1146" t="str">
        <f t="shared" si="142"/>
        <v>.</v>
      </c>
      <c r="AI241" s="1146" t="str">
        <f t="shared" si="143"/>
        <v>.</v>
      </c>
      <c r="AJ241" s="1146" t="str">
        <f t="shared" si="144"/>
        <v>.</v>
      </c>
      <c r="AK241" s="1146" t="str">
        <f t="shared" si="145"/>
        <v>.</v>
      </c>
      <c r="AL241" s="1147" t="str">
        <f t="shared" si="146"/>
        <v>.</v>
      </c>
      <c r="AM241" s="3"/>
      <c r="AN241" s="1043" t="str">
        <f>IF(X241=".",".",SUM($X241:X241))</f>
        <v>.</v>
      </c>
      <c r="AO241" s="1044" t="str">
        <f>IF(Y241=".",".",SUM($X241:Y241))</f>
        <v>.</v>
      </c>
      <c r="AP241" s="1044" t="str">
        <f>IF(Z241=".",".",SUM($X241:Z241))</f>
        <v>.</v>
      </c>
      <c r="AQ241" s="1044" t="str">
        <f>IF(AA241=".",".",SUM($X241:AA241))</f>
        <v>.</v>
      </c>
      <c r="AR241" s="1044" t="str">
        <f>IF(AB241=".",".",SUM($X241:AB241))</f>
        <v>.</v>
      </c>
      <c r="AS241" s="1044" t="str">
        <f>IF(AC241=".",".",SUM($X241:AC241))</f>
        <v>.</v>
      </c>
      <c r="AT241" s="1045" t="str">
        <f>IF(AD241=".",".",SUM($X241:AD241))</f>
        <v>.</v>
      </c>
      <c r="AU241" s="3"/>
      <c r="AV241" s="1145" t="str">
        <f t="shared" si="153"/>
        <v>.</v>
      </c>
      <c r="AW241" s="1146" t="str">
        <f t="shared" si="147"/>
        <v>.</v>
      </c>
      <c r="AX241" s="1146" t="str">
        <f t="shared" si="148"/>
        <v>.</v>
      </c>
      <c r="AY241" s="1146" t="str">
        <f t="shared" si="149"/>
        <v>.</v>
      </c>
      <c r="AZ241" s="1146" t="str">
        <f t="shared" si="150"/>
        <v>.</v>
      </c>
      <c r="BA241" s="1146" t="str">
        <f t="shared" si="151"/>
        <v>.</v>
      </c>
      <c r="BB241" s="1147" t="str">
        <f t="shared" si="152"/>
        <v>.</v>
      </c>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row>
    <row r="242" spans="1:92" x14ac:dyDescent="0.2">
      <c r="A242" s="620"/>
      <c r="B242" s="1077" t="str">
        <f t="shared" si="131"/>
        <v>Residential</v>
      </c>
      <c r="C242" s="1022" t="str">
        <f t="shared" si="131"/>
        <v/>
      </c>
      <c r="D242" s="1022" t="s">
        <v>687</v>
      </c>
      <c r="E242" s="1022"/>
      <c r="F242" s="1022"/>
      <c r="G242" s="1022"/>
      <c r="H242" s="1022"/>
      <c r="I242" s="1022"/>
      <c r="J242" s="1023" t="str">
        <f t="shared" si="132"/>
        <v>.</v>
      </c>
      <c r="K242" s="1012"/>
      <c r="L242" s="1024"/>
      <c r="M242" s="1024"/>
      <c r="N242" s="1024"/>
      <c r="O242" s="1024"/>
      <c r="P242" s="1024"/>
      <c r="Q242" s="1010"/>
      <c r="R242" s="76"/>
      <c r="S242" s="3"/>
      <c r="T242" s="1028">
        <f t="shared" si="126"/>
        <v>0</v>
      </c>
      <c r="U242" s="1029">
        <f t="shared" si="126"/>
        <v>0</v>
      </c>
      <c r="V242" s="1035"/>
      <c r="W242" s="3"/>
      <c r="X242" s="1043" t="str">
        <f t="shared" si="133"/>
        <v>.</v>
      </c>
      <c r="Y242" s="1044" t="str">
        <f t="shared" si="134"/>
        <v>.</v>
      </c>
      <c r="Z242" s="1044" t="str">
        <f t="shared" si="135"/>
        <v>.</v>
      </c>
      <c r="AA242" s="1044" t="str">
        <f t="shared" si="136"/>
        <v>.</v>
      </c>
      <c r="AB242" s="1044" t="str">
        <f t="shared" si="137"/>
        <v>.</v>
      </c>
      <c r="AC242" s="1044" t="str">
        <f t="shared" si="138"/>
        <v>.</v>
      </c>
      <c r="AD242" s="1045" t="str">
        <f t="shared" si="139"/>
        <v>.</v>
      </c>
      <c r="AE242" s="3"/>
      <c r="AF242" s="1145" t="str">
        <f t="shared" si="154"/>
        <v>.</v>
      </c>
      <c r="AG242" s="1146" t="str">
        <f t="shared" si="141"/>
        <v>.</v>
      </c>
      <c r="AH242" s="1146" t="str">
        <f t="shared" si="142"/>
        <v>.</v>
      </c>
      <c r="AI242" s="1146" t="str">
        <f t="shared" si="143"/>
        <v>.</v>
      </c>
      <c r="AJ242" s="1146" t="str">
        <f t="shared" si="144"/>
        <v>.</v>
      </c>
      <c r="AK242" s="1146" t="str">
        <f t="shared" si="145"/>
        <v>.</v>
      </c>
      <c r="AL242" s="1147" t="str">
        <f t="shared" si="146"/>
        <v>.</v>
      </c>
      <c r="AM242" s="3"/>
      <c r="AN242" s="1043" t="str">
        <f>IF(X242=".",".",SUM($X242:X242))</f>
        <v>.</v>
      </c>
      <c r="AO242" s="1044" t="str">
        <f>IF(Y242=".",".",SUM($X242:Y242))</f>
        <v>.</v>
      </c>
      <c r="AP242" s="1044" t="str">
        <f>IF(Z242=".",".",SUM($X242:Z242))</f>
        <v>.</v>
      </c>
      <c r="AQ242" s="1044" t="str">
        <f>IF(AA242=".",".",SUM($X242:AA242))</f>
        <v>.</v>
      </c>
      <c r="AR242" s="1044" t="str">
        <f>IF(AB242=".",".",SUM($X242:AB242))</f>
        <v>.</v>
      </c>
      <c r="AS242" s="1044" t="str">
        <f>IF(AC242=".",".",SUM($X242:AC242))</f>
        <v>.</v>
      </c>
      <c r="AT242" s="1045" t="str">
        <f>IF(AD242=".",".",SUM($X242:AD242))</f>
        <v>.</v>
      </c>
      <c r="AU242" s="3"/>
      <c r="AV242" s="1145" t="str">
        <f t="shared" si="153"/>
        <v>.</v>
      </c>
      <c r="AW242" s="1146" t="str">
        <f t="shared" si="147"/>
        <v>.</v>
      </c>
      <c r="AX242" s="1146" t="str">
        <f t="shared" si="148"/>
        <v>.</v>
      </c>
      <c r="AY242" s="1146" t="str">
        <f t="shared" si="149"/>
        <v>.</v>
      </c>
      <c r="AZ242" s="1146" t="str">
        <f t="shared" si="150"/>
        <v>.</v>
      </c>
      <c r="BA242" s="1146" t="str">
        <f t="shared" si="151"/>
        <v>.</v>
      </c>
      <c r="BB242" s="1147" t="str">
        <f t="shared" si="152"/>
        <v>.</v>
      </c>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row>
    <row r="243" spans="1:92" x14ac:dyDescent="0.2">
      <c r="A243" s="620"/>
      <c r="B243" s="1077" t="str">
        <f t="shared" si="131"/>
        <v>Residential</v>
      </c>
      <c r="C243" s="1022" t="str">
        <f t="shared" si="131"/>
        <v/>
      </c>
      <c r="D243" s="1022" t="s">
        <v>687</v>
      </c>
      <c r="E243" s="1022"/>
      <c r="F243" s="1022"/>
      <c r="G243" s="1022"/>
      <c r="H243" s="1022"/>
      <c r="I243" s="1022"/>
      <c r="J243" s="1023" t="str">
        <f t="shared" si="132"/>
        <v>.</v>
      </c>
      <c r="K243" s="1012"/>
      <c r="L243" s="1024"/>
      <c r="M243" s="1024"/>
      <c r="N243" s="1024"/>
      <c r="O243" s="1024"/>
      <c r="P243" s="1024"/>
      <c r="Q243" s="1010"/>
      <c r="R243" s="76"/>
      <c r="S243" s="3"/>
      <c r="T243" s="1028">
        <f t="shared" si="126"/>
        <v>0</v>
      </c>
      <c r="U243" s="1029">
        <f t="shared" si="126"/>
        <v>0</v>
      </c>
      <c r="V243" s="1035"/>
      <c r="W243" s="3"/>
      <c r="X243" s="1043" t="str">
        <f t="shared" si="133"/>
        <v>.</v>
      </c>
      <c r="Y243" s="1044" t="str">
        <f t="shared" si="134"/>
        <v>.</v>
      </c>
      <c r="Z243" s="1044" t="str">
        <f t="shared" si="135"/>
        <v>.</v>
      </c>
      <c r="AA243" s="1044" t="str">
        <f t="shared" si="136"/>
        <v>.</v>
      </c>
      <c r="AB243" s="1044" t="str">
        <f t="shared" si="137"/>
        <v>.</v>
      </c>
      <c r="AC243" s="1044" t="str">
        <f t="shared" si="138"/>
        <v>.</v>
      </c>
      <c r="AD243" s="1045" t="str">
        <f t="shared" si="139"/>
        <v>.</v>
      </c>
      <c r="AE243" s="3"/>
      <c r="AF243" s="1145" t="str">
        <f t="shared" si="154"/>
        <v>.</v>
      </c>
      <c r="AG243" s="1146" t="str">
        <f t="shared" si="141"/>
        <v>.</v>
      </c>
      <c r="AH243" s="1146" t="str">
        <f t="shared" si="142"/>
        <v>.</v>
      </c>
      <c r="AI243" s="1146" t="str">
        <f t="shared" si="143"/>
        <v>.</v>
      </c>
      <c r="AJ243" s="1146" t="str">
        <f t="shared" si="144"/>
        <v>.</v>
      </c>
      <c r="AK243" s="1146" t="str">
        <f t="shared" si="145"/>
        <v>.</v>
      </c>
      <c r="AL243" s="1147" t="str">
        <f t="shared" si="146"/>
        <v>.</v>
      </c>
      <c r="AM243" s="3"/>
      <c r="AN243" s="1043" t="str">
        <f>IF(X243=".",".",SUM($X243:X243))</f>
        <v>.</v>
      </c>
      <c r="AO243" s="1044" t="str">
        <f>IF(Y243=".",".",SUM($X243:Y243))</f>
        <v>.</v>
      </c>
      <c r="AP243" s="1044" t="str">
        <f>IF(Z243=".",".",SUM($X243:Z243))</f>
        <v>.</v>
      </c>
      <c r="AQ243" s="1044" t="str">
        <f>IF(AA243=".",".",SUM($X243:AA243))</f>
        <v>.</v>
      </c>
      <c r="AR243" s="1044" t="str">
        <f>IF(AB243=".",".",SUM($X243:AB243))</f>
        <v>.</v>
      </c>
      <c r="AS243" s="1044" t="str">
        <f>IF(AC243=".",".",SUM($X243:AC243))</f>
        <v>.</v>
      </c>
      <c r="AT243" s="1045" t="str">
        <f>IF(AD243=".",".",SUM($X243:AD243))</f>
        <v>.</v>
      </c>
      <c r="AU243" s="3"/>
      <c r="AV243" s="1145" t="str">
        <f t="shared" si="153"/>
        <v>.</v>
      </c>
      <c r="AW243" s="1146" t="str">
        <f t="shared" si="147"/>
        <v>.</v>
      </c>
      <c r="AX243" s="1146" t="str">
        <f t="shared" si="148"/>
        <v>.</v>
      </c>
      <c r="AY243" s="1146" t="str">
        <f t="shared" si="149"/>
        <v>.</v>
      </c>
      <c r="AZ243" s="1146" t="str">
        <f t="shared" si="150"/>
        <v>.</v>
      </c>
      <c r="BA243" s="1146" t="str">
        <f t="shared" si="151"/>
        <v>.</v>
      </c>
      <c r="BB243" s="1147" t="str">
        <f t="shared" si="152"/>
        <v>.</v>
      </c>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row>
    <row r="244" spans="1:92" x14ac:dyDescent="0.2">
      <c r="A244" s="620"/>
      <c r="B244" s="1077" t="str">
        <f t="shared" si="131"/>
        <v>Residential</v>
      </c>
      <c r="C244" s="1022" t="str">
        <f t="shared" si="131"/>
        <v/>
      </c>
      <c r="D244" s="1022" t="s">
        <v>687</v>
      </c>
      <c r="E244" s="1022"/>
      <c r="F244" s="1022"/>
      <c r="G244" s="1022"/>
      <c r="H244" s="1022"/>
      <c r="I244" s="1022"/>
      <c r="J244" s="1023" t="str">
        <f t="shared" si="132"/>
        <v>.</v>
      </c>
      <c r="K244" s="1012"/>
      <c r="L244" s="1024"/>
      <c r="M244" s="1024"/>
      <c r="N244" s="1024"/>
      <c r="O244" s="1024"/>
      <c r="P244" s="1024"/>
      <c r="Q244" s="1010"/>
      <c r="R244" s="76"/>
      <c r="S244" s="3"/>
      <c r="T244" s="1028">
        <f t="shared" ref="T244:U263" si="155">T120</f>
        <v>0</v>
      </c>
      <c r="U244" s="1029">
        <f t="shared" si="155"/>
        <v>0</v>
      </c>
      <c r="V244" s="1035"/>
      <c r="W244" s="3"/>
      <c r="X244" s="1043" t="str">
        <f t="shared" si="133"/>
        <v>.</v>
      </c>
      <c r="Y244" s="1044" t="str">
        <f t="shared" si="134"/>
        <v>.</v>
      </c>
      <c r="Z244" s="1044" t="str">
        <f t="shared" si="135"/>
        <v>.</v>
      </c>
      <c r="AA244" s="1044" t="str">
        <f t="shared" si="136"/>
        <v>.</v>
      </c>
      <c r="AB244" s="1044" t="str">
        <f t="shared" si="137"/>
        <v>.</v>
      </c>
      <c r="AC244" s="1044" t="str">
        <f t="shared" si="138"/>
        <v>.</v>
      </c>
      <c r="AD244" s="1045" t="str">
        <f t="shared" si="139"/>
        <v>.</v>
      </c>
      <c r="AE244" s="3"/>
      <c r="AF244" s="1145" t="str">
        <f t="shared" si="154"/>
        <v>.</v>
      </c>
      <c r="AG244" s="1146" t="str">
        <f t="shared" si="141"/>
        <v>.</v>
      </c>
      <c r="AH244" s="1146" t="str">
        <f t="shared" si="142"/>
        <v>.</v>
      </c>
      <c r="AI244" s="1146" t="str">
        <f t="shared" si="143"/>
        <v>.</v>
      </c>
      <c r="AJ244" s="1146" t="str">
        <f t="shared" si="144"/>
        <v>.</v>
      </c>
      <c r="AK244" s="1146" t="str">
        <f t="shared" si="145"/>
        <v>.</v>
      </c>
      <c r="AL244" s="1147" t="str">
        <f t="shared" si="146"/>
        <v>.</v>
      </c>
      <c r="AM244" s="3"/>
      <c r="AN244" s="1043" t="str">
        <f>IF(X244=".",".",SUM($X244:X244))</f>
        <v>.</v>
      </c>
      <c r="AO244" s="1044" t="str">
        <f>IF(Y244=".",".",SUM($X244:Y244))</f>
        <v>.</v>
      </c>
      <c r="AP244" s="1044" t="str">
        <f>IF(Z244=".",".",SUM($X244:Z244))</f>
        <v>.</v>
      </c>
      <c r="AQ244" s="1044" t="str">
        <f>IF(AA244=".",".",SUM($X244:AA244))</f>
        <v>.</v>
      </c>
      <c r="AR244" s="1044" t="str">
        <f>IF(AB244=".",".",SUM($X244:AB244))</f>
        <v>.</v>
      </c>
      <c r="AS244" s="1044" t="str">
        <f>IF(AC244=".",".",SUM($X244:AC244))</f>
        <v>.</v>
      </c>
      <c r="AT244" s="1045" t="str">
        <f>IF(AD244=".",".",SUM($X244:AD244))</f>
        <v>.</v>
      </c>
      <c r="AU244" s="3"/>
      <c r="AV244" s="1145" t="str">
        <f t="shared" si="153"/>
        <v>.</v>
      </c>
      <c r="AW244" s="1146" t="str">
        <f t="shared" si="147"/>
        <v>.</v>
      </c>
      <c r="AX244" s="1146" t="str">
        <f t="shared" si="148"/>
        <v>.</v>
      </c>
      <c r="AY244" s="1146" t="str">
        <f t="shared" si="149"/>
        <v>.</v>
      </c>
      <c r="AZ244" s="1146" t="str">
        <f t="shared" si="150"/>
        <v>.</v>
      </c>
      <c r="BA244" s="1146" t="str">
        <f t="shared" si="151"/>
        <v>.</v>
      </c>
      <c r="BB244" s="1147" t="str">
        <f t="shared" si="152"/>
        <v>.</v>
      </c>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row>
    <row r="245" spans="1:92" x14ac:dyDescent="0.2">
      <c r="A245" s="620"/>
      <c r="B245" s="1077" t="str">
        <f t="shared" si="131"/>
        <v>Special rate</v>
      </c>
      <c r="C245" s="1022" t="str">
        <f t="shared" si="131"/>
        <v/>
      </c>
      <c r="D245" s="1022" t="s">
        <v>687</v>
      </c>
      <c r="E245" s="1022"/>
      <c r="F245" s="1022"/>
      <c r="G245" s="1022"/>
      <c r="H245" s="1022"/>
      <c r="I245" s="1022"/>
      <c r="J245" s="1023" t="str">
        <f t="shared" si="132"/>
        <v>.</v>
      </c>
      <c r="K245" s="1012"/>
      <c r="L245" s="1012"/>
      <c r="M245" s="1012"/>
      <c r="N245" s="1012"/>
      <c r="O245" s="1012"/>
      <c r="P245" s="1012"/>
      <c r="Q245" s="1010"/>
      <c r="R245" s="76"/>
      <c r="S245" s="3"/>
      <c r="T245" s="1028">
        <f t="shared" si="155"/>
        <v>0</v>
      </c>
      <c r="U245" s="1029">
        <f t="shared" si="155"/>
        <v>0</v>
      </c>
      <c r="V245" s="1035"/>
      <c r="W245" s="3"/>
      <c r="X245" s="1043" t="str">
        <f t="shared" si="133"/>
        <v>.</v>
      </c>
      <c r="Y245" s="1044" t="str">
        <f t="shared" si="134"/>
        <v>.</v>
      </c>
      <c r="Z245" s="1044" t="str">
        <f t="shared" si="135"/>
        <v>.</v>
      </c>
      <c r="AA245" s="1044" t="str">
        <f t="shared" si="136"/>
        <v>.</v>
      </c>
      <c r="AB245" s="1044" t="str">
        <f t="shared" si="137"/>
        <v>.</v>
      </c>
      <c r="AC245" s="1044" t="str">
        <f t="shared" si="138"/>
        <v>.</v>
      </c>
      <c r="AD245" s="1045" t="str">
        <f t="shared" si="139"/>
        <v>.</v>
      </c>
      <c r="AE245" s="3"/>
      <c r="AF245" s="1145" t="str">
        <f t="shared" si="154"/>
        <v>.</v>
      </c>
      <c r="AG245" s="1146" t="str">
        <f t="shared" si="141"/>
        <v>.</v>
      </c>
      <c r="AH245" s="1146" t="str">
        <f t="shared" si="142"/>
        <v>.</v>
      </c>
      <c r="AI245" s="1146" t="str">
        <f t="shared" si="143"/>
        <v>.</v>
      </c>
      <c r="AJ245" s="1146" t="str">
        <f t="shared" si="144"/>
        <v>.</v>
      </c>
      <c r="AK245" s="1146" t="str">
        <f t="shared" si="145"/>
        <v>.</v>
      </c>
      <c r="AL245" s="1147" t="str">
        <f t="shared" si="146"/>
        <v>.</v>
      </c>
      <c r="AM245" s="3"/>
      <c r="AN245" s="1043" t="str">
        <f>IF(X245=".",".",SUM($X245:X245))</f>
        <v>.</v>
      </c>
      <c r="AO245" s="1044" t="str">
        <f>IF(Y245=".",".",SUM($X245:Y245))</f>
        <v>.</v>
      </c>
      <c r="AP245" s="1044" t="str">
        <f>IF(Z245=".",".",SUM($X245:Z245))</f>
        <v>.</v>
      </c>
      <c r="AQ245" s="1044" t="str">
        <f>IF(AA245=".",".",SUM($X245:AA245))</f>
        <v>.</v>
      </c>
      <c r="AR245" s="1044" t="str">
        <f>IF(AB245=".",".",SUM($X245:AB245))</f>
        <v>.</v>
      </c>
      <c r="AS245" s="1044" t="str">
        <f>IF(AC245=".",".",SUM($X245:AC245))</f>
        <v>.</v>
      </c>
      <c r="AT245" s="1045" t="str">
        <f>IF(AD245=".",".",SUM($X245:AD245))</f>
        <v>.</v>
      </c>
      <c r="AU245" s="3"/>
      <c r="AV245" s="1145" t="str">
        <f t="shared" si="153"/>
        <v>.</v>
      </c>
      <c r="AW245" s="1146" t="str">
        <f t="shared" si="147"/>
        <v>.</v>
      </c>
      <c r="AX245" s="1146" t="str">
        <f t="shared" si="148"/>
        <v>.</v>
      </c>
      <c r="AY245" s="1146" t="str">
        <f t="shared" si="149"/>
        <v>.</v>
      </c>
      <c r="AZ245" s="1146" t="str">
        <f t="shared" si="150"/>
        <v>.</v>
      </c>
      <c r="BA245" s="1146" t="str">
        <f t="shared" si="151"/>
        <v>.</v>
      </c>
      <c r="BB245" s="1147" t="str">
        <f t="shared" si="152"/>
        <v>.</v>
      </c>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row>
    <row r="246" spans="1:92" x14ac:dyDescent="0.2">
      <c r="A246" s="620"/>
      <c r="B246" s="1077" t="str">
        <f t="shared" si="131"/>
        <v>Special rate</v>
      </c>
      <c r="C246" s="1022" t="str">
        <f t="shared" si="131"/>
        <v/>
      </c>
      <c r="D246" s="1022" t="s">
        <v>687</v>
      </c>
      <c r="E246" s="1022"/>
      <c r="F246" s="1022"/>
      <c r="G246" s="1022"/>
      <c r="H246" s="1022"/>
      <c r="I246" s="1022"/>
      <c r="J246" s="1023" t="str">
        <f t="shared" si="132"/>
        <v>.</v>
      </c>
      <c r="K246" s="1012"/>
      <c r="L246" s="1012"/>
      <c r="M246" s="1012"/>
      <c r="N246" s="1012"/>
      <c r="O246" s="1012"/>
      <c r="P246" s="1012"/>
      <c r="Q246" s="1010"/>
      <c r="R246" s="76"/>
      <c r="S246" s="3"/>
      <c r="T246" s="1028">
        <f t="shared" si="155"/>
        <v>0</v>
      </c>
      <c r="U246" s="1029">
        <f t="shared" si="155"/>
        <v>0</v>
      </c>
      <c r="V246" s="1035"/>
      <c r="W246" s="3"/>
      <c r="X246" s="1043" t="str">
        <f t="shared" si="133"/>
        <v>.</v>
      </c>
      <c r="Y246" s="1044" t="str">
        <f t="shared" si="134"/>
        <v>.</v>
      </c>
      <c r="Z246" s="1044" t="str">
        <f t="shared" si="135"/>
        <v>.</v>
      </c>
      <c r="AA246" s="1044" t="str">
        <f t="shared" si="136"/>
        <v>.</v>
      </c>
      <c r="AB246" s="1044" t="str">
        <f t="shared" si="137"/>
        <v>.</v>
      </c>
      <c r="AC246" s="1044" t="str">
        <f t="shared" si="138"/>
        <v>.</v>
      </c>
      <c r="AD246" s="1045" t="str">
        <f t="shared" si="139"/>
        <v>.</v>
      </c>
      <c r="AE246" s="3"/>
      <c r="AF246" s="1145" t="str">
        <f t="shared" si="154"/>
        <v>.</v>
      </c>
      <c r="AG246" s="1146" t="str">
        <f t="shared" si="141"/>
        <v>.</v>
      </c>
      <c r="AH246" s="1146" t="str">
        <f t="shared" si="142"/>
        <v>.</v>
      </c>
      <c r="AI246" s="1146" t="str">
        <f t="shared" si="143"/>
        <v>.</v>
      </c>
      <c r="AJ246" s="1146" t="str">
        <f t="shared" si="144"/>
        <v>.</v>
      </c>
      <c r="AK246" s="1146" t="str">
        <f t="shared" si="145"/>
        <v>.</v>
      </c>
      <c r="AL246" s="1147" t="str">
        <f t="shared" si="146"/>
        <v>.</v>
      </c>
      <c r="AM246" s="3"/>
      <c r="AN246" s="1043" t="str">
        <f>IF(X246=".",".",SUM($X246:X246))</f>
        <v>.</v>
      </c>
      <c r="AO246" s="1044" t="str">
        <f>IF(Y246=".",".",SUM($X246:Y246))</f>
        <v>.</v>
      </c>
      <c r="AP246" s="1044" t="str">
        <f>IF(Z246=".",".",SUM($X246:Z246))</f>
        <v>.</v>
      </c>
      <c r="AQ246" s="1044" t="str">
        <f>IF(AA246=".",".",SUM($X246:AA246))</f>
        <v>.</v>
      </c>
      <c r="AR246" s="1044" t="str">
        <f>IF(AB246=".",".",SUM($X246:AB246))</f>
        <v>.</v>
      </c>
      <c r="AS246" s="1044" t="str">
        <f>IF(AC246=".",".",SUM($X246:AC246))</f>
        <v>.</v>
      </c>
      <c r="AT246" s="1045" t="str">
        <f>IF(AD246=".",".",SUM($X246:AD246))</f>
        <v>.</v>
      </c>
      <c r="AU246" s="3"/>
      <c r="AV246" s="1145" t="str">
        <f t="shared" si="153"/>
        <v>.</v>
      </c>
      <c r="AW246" s="1146" t="str">
        <f t="shared" si="147"/>
        <v>.</v>
      </c>
      <c r="AX246" s="1146" t="str">
        <f t="shared" si="148"/>
        <v>.</v>
      </c>
      <c r="AY246" s="1146" t="str">
        <f t="shared" si="149"/>
        <v>.</v>
      </c>
      <c r="AZ246" s="1146" t="str">
        <f t="shared" si="150"/>
        <v>.</v>
      </c>
      <c r="BA246" s="1146" t="str">
        <f t="shared" si="151"/>
        <v>.</v>
      </c>
      <c r="BB246" s="1147" t="str">
        <f t="shared" si="152"/>
        <v>.</v>
      </c>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row>
    <row r="247" spans="1:92" x14ac:dyDescent="0.2">
      <c r="A247" s="620"/>
      <c r="B247" s="1077" t="str">
        <f t="shared" si="131"/>
        <v>Special rate</v>
      </c>
      <c r="C247" s="1022" t="str">
        <f t="shared" si="131"/>
        <v/>
      </c>
      <c r="D247" s="1022" t="s">
        <v>687</v>
      </c>
      <c r="E247" s="1022"/>
      <c r="F247" s="1022"/>
      <c r="G247" s="1022"/>
      <c r="H247" s="1022"/>
      <c r="I247" s="1022"/>
      <c r="J247" s="1023" t="str">
        <f t="shared" si="132"/>
        <v>.</v>
      </c>
      <c r="K247" s="1012"/>
      <c r="L247" s="1024"/>
      <c r="M247" s="1024"/>
      <c r="N247" s="1024"/>
      <c r="O247" s="1024"/>
      <c r="P247" s="1024"/>
      <c r="Q247" s="1078"/>
      <c r="R247" s="76"/>
      <c r="S247" s="3"/>
      <c r="T247" s="1028">
        <f t="shared" si="155"/>
        <v>0</v>
      </c>
      <c r="U247" s="1029">
        <f t="shared" si="155"/>
        <v>0</v>
      </c>
      <c r="V247" s="1035"/>
      <c r="W247" s="3"/>
      <c r="X247" s="1043" t="str">
        <f t="shared" si="133"/>
        <v>.</v>
      </c>
      <c r="Y247" s="1044" t="str">
        <f t="shared" si="134"/>
        <v>.</v>
      </c>
      <c r="Z247" s="1044" t="str">
        <f t="shared" si="135"/>
        <v>.</v>
      </c>
      <c r="AA247" s="1044" t="str">
        <f t="shared" si="136"/>
        <v>.</v>
      </c>
      <c r="AB247" s="1044" t="str">
        <f t="shared" si="137"/>
        <v>.</v>
      </c>
      <c r="AC247" s="1044" t="str">
        <f t="shared" si="138"/>
        <v>.</v>
      </c>
      <c r="AD247" s="1045" t="str">
        <f t="shared" si="139"/>
        <v>.</v>
      </c>
      <c r="AE247" s="3"/>
      <c r="AF247" s="1145" t="str">
        <f t="shared" si="154"/>
        <v>.</v>
      </c>
      <c r="AG247" s="1146" t="str">
        <f t="shared" si="141"/>
        <v>.</v>
      </c>
      <c r="AH247" s="1146" t="str">
        <f t="shared" si="142"/>
        <v>.</v>
      </c>
      <c r="AI247" s="1146" t="str">
        <f t="shared" si="143"/>
        <v>.</v>
      </c>
      <c r="AJ247" s="1146" t="str">
        <f t="shared" si="144"/>
        <v>.</v>
      </c>
      <c r="AK247" s="1146" t="str">
        <f t="shared" si="145"/>
        <v>.</v>
      </c>
      <c r="AL247" s="1147" t="str">
        <f t="shared" si="146"/>
        <v>.</v>
      </c>
      <c r="AM247" s="3"/>
      <c r="AN247" s="1043" t="str">
        <f>IF(X247=".",".",SUM($X247:X247))</f>
        <v>.</v>
      </c>
      <c r="AO247" s="1044" t="str">
        <f>IF(Y247=".",".",SUM($X247:Y247))</f>
        <v>.</v>
      </c>
      <c r="AP247" s="1044" t="str">
        <f>IF(Z247=".",".",SUM($X247:Z247))</f>
        <v>.</v>
      </c>
      <c r="AQ247" s="1044" t="str">
        <f>IF(AA247=".",".",SUM($X247:AA247))</f>
        <v>.</v>
      </c>
      <c r="AR247" s="1044" t="str">
        <f>IF(AB247=".",".",SUM($X247:AB247))</f>
        <v>.</v>
      </c>
      <c r="AS247" s="1044" t="str">
        <f>IF(AC247=".",".",SUM($X247:AC247))</f>
        <v>.</v>
      </c>
      <c r="AT247" s="1045" t="str">
        <f>IF(AD247=".",".",SUM($X247:AD247))</f>
        <v>.</v>
      </c>
      <c r="AU247" s="3"/>
      <c r="AV247" s="1145" t="str">
        <f t="shared" si="153"/>
        <v>.</v>
      </c>
      <c r="AW247" s="1146" t="str">
        <f t="shared" si="147"/>
        <v>.</v>
      </c>
      <c r="AX247" s="1146" t="str">
        <f t="shared" si="148"/>
        <v>.</v>
      </c>
      <c r="AY247" s="1146" t="str">
        <f t="shared" si="149"/>
        <v>.</v>
      </c>
      <c r="AZ247" s="1146" t="str">
        <f t="shared" si="150"/>
        <v>.</v>
      </c>
      <c r="BA247" s="1146" t="str">
        <f t="shared" si="151"/>
        <v>.</v>
      </c>
      <c r="BB247" s="1147" t="str">
        <f t="shared" si="152"/>
        <v>.</v>
      </c>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row>
    <row r="248" spans="1:92" x14ac:dyDescent="0.2">
      <c r="A248" s="620"/>
      <c r="B248" s="1077" t="str">
        <f t="shared" si="131"/>
        <v>Special rate</v>
      </c>
      <c r="C248" s="1022" t="str">
        <f t="shared" si="131"/>
        <v/>
      </c>
      <c r="D248" s="1022" t="s">
        <v>687</v>
      </c>
      <c r="E248" s="1022"/>
      <c r="F248" s="1022"/>
      <c r="G248" s="1022"/>
      <c r="H248" s="1022"/>
      <c r="I248" s="1022"/>
      <c r="J248" s="1023" t="str">
        <f t="shared" si="132"/>
        <v>.</v>
      </c>
      <c r="K248" s="1012"/>
      <c r="L248" s="1024"/>
      <c r="M248" s="1024"/>
      <c r="N248" s="1024"/>
      <c r="O248" s="1024"/>
      <c r="P248" s="1024"/>
      <c r="Q248" s="1078"/>
      <c r="R248" s="76"/>
      <c r="S248" s="3"/>
      <c r="T248" s="1028">
        <f t="shared" si="155"/>
        <v>0</v>
      </c>
      <c r="U248" s="1029">
        <f t="shared" si="155"/>
        <v>0</v>
      </c>
      <c r="V248" s="1035"/>
      <c r="W248" s="3"/>
      <c r="X248" s="1043" t="str">
        <f t="shared" si="133"/>
        <v>.</v>
      </c>
      <c r="Y248" s="1044" t="str">
        <f t="shared" si="134"/>
        <v>.</v>
      </c>
      <c r="Z248" s="1044" t="str">
        <f t="shared" si="135"/>
        <v>.</v>
      </c>
      <c r="AA248" s="1044" t="str">
        <f t="shared" si="136"/>
        <v>.</v>
      </c>
      <c r="AB248" s="1044" t="str">
        <f t="shared" si="137"/>
        <v>.</v>
      </c>
      <c r="AC248" s="1044" t="str">
        <f t="shared" si="138"/>
        <v>.</v>
      </c>
      <c r="AD248" s="1045" t="str">
        <f t="shared" si="139"/>
        <v>.</v>
      </c>
      <c r="AE248" s="3"/>
      <c r="AF248" s="1145" t="str">
        <f t="shared" si="154"/>
        <v>.</v>
      </c>
      <c r="AG248" s="1146" t="str">
        <f t="shared" si="141"/>
        <v>.</v>
      </c>
      <c r="AH248" s="1146" t="str">
        <f t="shared" si="142"/>
        <v>.</v>
      </c>
      <c r="AI248" s="1146" t="str">
        <f t="shared" si="143"/>
        <v>.</v>
      </c>
      <c r="AJ248" s="1146" t="str">
        <f t="shared" si="144"/>
        <v>.</v>
      </c>
      <c r="AK248" s="1146" t="str">
        <f t="shared" si="145"/>
        <v>.</v>
      </c>
      <c r="AL248" s="1147" t="str">
        <f t="shared" si="146"/>
        <v>.</v>
      </c>
      <c r="AM248" s="3"/>
      <c r="AN248" s="1043" t="str">
        <f>IF(X248=".",".",SUM($X248:X248))</f>
        <v>.</v>
      </c>
      <c r="AO248" s="1044" t="str">
        <f>IF(Y248=".",".",SUM($X248:Y248))</f>
        <v>.</v>
      </c>
      <c r="AP248" s="1044" t="str">
        <f>IF(Z248=".",".",SUM($X248:Z248))</f>
        <v>.</v>
      </c>
      <c r="AQ248" s="1044" t="str">
        <f>IF(AA248=".",".",SUM($X248:AA248))</f>
        <v>.</v>
      </c>
      <c r="AR248" s="1044" t="str">
        <f>IF(AB248=".",".",SUM($X248:AB248))</f>
        <v>.</v>
      </c>
      <c r="AS248" s="1044" t="str">
        <f>IF(AC248=".",".",SUM($X248:AC248))</f>
        <v>.</v>
      </c>
      <c r="AT248" s="1045" t="str">
        <f>IF(AD248=".",".",SUM($X248:AD248))</f>
        <v>.</v>
      </c>
      <c r="AU248" s="3"/>
      <c r="AV248" s="1145" t="str">
        <f t="shared" si="153"/>
        <v>.</v>
      </c>
      <c r="AW248" s="1146" t="str">
        <f t="shared" si="147"/>
        <v>.</v>
      </c>
      <c r="AX248" s="1146" t="str">
        <f t="shared" si="148"/>
        <v>.</v>
      </c>
      <c r="AY248" s="1146" t="str">
        <f t="shared" si="149"/>
        <v>.</v>
      </c>
      <c r="AZ248" s="1146" t="str">
        <f t="shared" si="150"/>
        <v>.</v>
      </c>
      <c r="BA248" s="1146" t="str">
        <f t="shared" si="151"/>
        <v>.</v>
      </c>
      <c r="BB248" s="1147" t="str">
        <f t="shared" si="152"/>
        <v>.</v>
      </c>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row>
    <row r="249" spans="1:92" x14ac:dyDescent="0.2">
      <c r="A249" s="620"/>
      <c r="B249" s="1077" t="str">
        <f t="shared" si="131"/>
        <v>Special rate</v>
      </c>
      <c r="C249" s="1022" t="str">
        <f t="shared" si="131"/>
        <v/>
      </c>
      <c r="D249" s="1022" t="s">
        <v>687</v>
      </c>
      <c r="E249" s="1022"/>
      <c r="F249" s="1022"/>
      <c r="G249" s="1022"/>
      <c r="H249" s="1022"/>
      <c r="I249" s="1022"/>
      <c r="J249" s="1023" t="str">
        <f t="shared" si="132"/>
        <v>.</v>
      </c>
      <c r="K249" s="1012"/>
      <c r="L249" s="1024"/>
      <c r="M249" s="1024"/>
      <c r="N249" s="1024"/>
      <c r="O249" s="1024"/>
      <c r="P249" s="1024"/>
      <c r="Q249" s="1078"/>
      <c r="R249" s="76"/>
      <c r="S249" s="3"/>
      <c r="T249" s="1028">
        <f t="shared" si="155"/>
        <v>0</v>
      </c>
      <c r="U249" s="1029">
        <f t="shared" si="155"/>
        <v>0</v>
      </c>
      <c r="V249" s="1035"/>
      <c r="W249" s="3"/>
      <c r="X249" s="1043" t="str">
        <f t="shared" si="133"/>
        <v>.</v>
      </c>
      <c r="Y249" s="1044" t="str">
        <f t="shared" si="134"/>
        <v>.</v>
      </c>
      <c r="Z249" s="1044" t="str">
        <f t="shared" si="135"/>
        <v>.</v>
      </c>
      <c r="AA249" s="1044" t="str">
        <f t="shared" si="136"/>
        <v>.</v>
      </c>
      <c r="AB249" s="1044" t="str">
        <f t="shared" si="137"/>
        <v>.</v>
      </c>
      <c r="AC249" s="1044" t="str">
        <f t="shared" si="138"/>
        <v>.</v>
      </c>
      <c r="AD249" s="1045" t="str">
        <f t="shared" si="139"/>
        <v>.</v>
      </c>
      <c r="AE249" s="3"/>
      <c r="AF249" s="1145" t="str">
        <f t="shared" si="154"/>
        <v>.</v>
      </c>
      <c r="AG249" s="1146" t="str">
        <f t="shared" si="141"/>
        <v>.</v>
      </c>
      <c r="AH249" s="1146" t="str">
        <f t="shared" si="142"/>
        <v>.</v>
      </c>
      <c r="AI249" s="1146" t="str">
        <f t="shared" si="143"/>
        <v>.</v>
      </c>
      <c r="AJ249" s="1146" t="str">
        <f t="shared" si="144"/>
        <v>.</v>
      </c>
      <c r="AK249" s="1146" t="str">
        <f t="shared" si="145"/>
        <v>.</v>
      </c>
      <c r="AL249" s="1147" t="str">
        <f t="shared" si="146"/>
        <v>.</v>
      </c>
      <c r="AM249" s="3"/>
      <c r="AN249" s="1043" t="str">
        <f>IF(X249=".",".",SUM($X249:X249))</f>
        <v>.</v>
      </c>
      <c r="AO249" s="1044" t="str">
        <f>IF(Y249=".",".",SUM($X249:Y249))</f>
        <v>.</v>
      </c>
      <c r="AP249" s="1044" t="str">
        <f>IF(Z249=".",".",SUM($X249:Z249))</f>
        <v>.</v>
      </c>
      <c r="AQ249" s="1044" t="str">
        <f>IF(AA249=".",".",SUM($X249:AA249))</f>
        <v>.</v>
      </c>
      <c r="AR249" s="1044" t="str">
        <f>IF(AB249=".",".",SUM($X249:AB249))</f>
        <v>.</v>
      </c>
      <c r="AS249" s="1044" t="str">
        <f>IF(AC249=".",".",SUM($X249:AC249))</f>
        <v>.</v>
      </c>
      <c r="AT249" s="1045" t="str">
        <f>IF(AD249=".",".",SUM($X249:AD249))</f>
        <v>.</v>
      </c>
      <c r="AU249" s="3"/>
      <c r="AV249" s="1145" t="str">
        <f t="shared" si="153"/>
        <v>.</v>
      </c>
      <c r="AW249" s="1146" t="str">
        <f t="shared" si="147"/>
        <v>.</v>
      </c>
      <c r="AX249" s="1146" t="str">
        <f t="shared" si="148"/>
        <v>.</v>
      </c>
      <c r="AY249" s="1146" t="str">
        <f t="shared" si="149"/>
        <v>.</v>
      </c>
      <c r="AZ249" s="1146" t="str">
        <f t="shared" si="150"/>
        <v>.</v>
      </c>
      <c r="BA249" s="1146" t="str">
        <f t="shared" si="151"/>
        <v>.</v>
      </c>
      <c r="BB249" s="1147" t="str">
        <f t="shared" si="152"/>
        <v>.</v>
      </c>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row>
    <row r="250" spans="1:92" x14ac:dyDescent="0.2">
      <c r="A250" s="620"/>
      <c r="B250" s="1077" t="str">
        <f t="shared" si="131"/>
        <v>Special rate</v>
      </c>
      <c r="C250" s="1022" t="str">
        <f t="shared" si="131"/>
        <v/>
      </c>
      <c r="D250" s="1022" t="s">
        <v>687</v>
      </c>
      <c r="E250" s="1022"/>
      <c r="F250" s="1022"/>
      <c r="G250" s="1022"/>
      <c r="H250" s="1022"/>
      <c r="I250" s="1022"/>
      <c r="J250" s="1023" t="str">
        <f t="shared" si="132"/>
        <v>.</v>
      </c>
      <c r="K250" s="1012"/>
      <c r="L250" s="1024"/>
      <c r="M250" s="1024"/>
      <c r="N250" s="1024"/>
      <c r="O250" s="1024"/>
      <c r="P250" s="1024"/>
      <c r="Q250" s="1078"/>
      <c r="R250" s="76"/>
      <c r="S250" s="3"/>
      <c r="T250" s="1028">
        <f t="shared" si="155"/>
        <v>0</v>
      </c>
      <c r="U250" s="1029">
        <f t="shared" si="155"/>
        <v>0</v>
      </c>
      <c r="V250" s="1035"/>
      <c r="W250" s="3"/>
      <c r="X250" s="1043" t="str">
        <f t="shared" si="133"/>
        <v>.</v>
      </c>
      <c r="Y250" s="1044" t="str">
        <f t="shared" si="134"/>
        <v>.</v>
      </c>
      <c r="Z250" s="1044" t="str">
        <f t="shared" si="135"/>
        <v>.</v>
      </c>
      <c r="AA250" s="1044" t="str">
        <f t="shared" si="136"/>
        <v>.</v>
      </c>
      <c r="AB250" s="1044" t="str">
        <f t="shared" si="137"/>
        <v>.</v>
      </c>
      <c r="AC250" s="1044" t="str">
        <f t="shared" si="138"/>
        <v>.</v>
      </c>
      <c r="AD250" s="1045" t="str">
        <f t="shared" si="139"/>
        <v>.</v>
      </c>
      <c r="AE250" s="3"/>
      <c r="AF250" s="1145" t="str">
        <f t="shared" si="154"/>
        <v>.</v>
      </c>
      <c r="AG250" s="1146" t="str">
        <f t="shared" si="141"/>
        <v>.</v>
      </c>
      <c r="AH250" s="1146" t="str">
        <f t="shared" si="142"/>
        <v>.</v>
      </c>
      <c r="AI250" s="1146" t="str">
        <f t="shared" si="143"/>
        <v>.</v>
      </c>
      <c r="AJ250" s="1146" t="str">
        <f t="shared" si="144"/>
        <v>.</v>
      </c>
      <c r="AK250" s="1146" t="str">
        <f t="shared" si="145"/>
        <v>.</v>
      </c>
      <c r="AL250" s="1147" t="str">
        <f t="shared" si="146"/>
        <v>.</v>
      </c>
      <c r="AM250" s="3"/>
      <c r="AN250" s="1043" t="str">
        <f>IF(X250=".",".",SUM($X250:X250))</f>
        <v>.</v>
      </c>
      <c r="AO250" s="1044" t="str">
        <f>IF(Y250=".",".",SUM($X250:Y250))</f>
        <v>.</v>
      </c>
      <c r="AP250" s="1044" t="str">
        <f>IF(Z250=".",".",SUM($X250:Z250))</f>
        <v>.</v>
      </c>
      <c r="AQ250" s="1044" t="str">
        <f>IF(AA250=".",".",SUM($X250:AA250))</f>
        <v>.</v>
      </c>
      <c r="AR250" s="1044" t="str">
        <f>IF(AB250=".",".",SUM($X250:AB250))</f>
        <v>.</v>
      </c>
      <c r="AS250" s="1044" t="str">
        <f>IF(AC250=".",".",SUM($X250:AC250))</f>
        <v>.</v>
      </c>
      <c r="AT250" s="1045" t="str">
        <f>IF(AD250=".",".",SUM($X250:AD250))</f>
        <v>.</v>
      </c>
      <c r="AU250" s="3"/>
      <c r="AV250" s="1145" t="str">
        <f t="shared" si="153"/>
        <v>.</v>
      </c>
      <c r="AW250" s="1146" t="str">
        <f t="shared" si="147"/>
        <v>.</v>
      </c>
      <c r="AX250" s="1146" t="str">
        <f t="shared" si="148"/>
        <v>.</v>
      </c>
      <c r="AY250" s="1146" t="str">
        <f t="shared" si="149"/>
        <v>.</v>
      </c>
      <c r="AZ250" s="1146" t="str">
        <f t="shared" si="150"/>
        <v>.</v>
      </c>
      <c r="BA250" s="1146" t="str">
        <f t="shared" si="151"/>
        <v>.</v>
      </c>
      <c r="BB250" s="1147" t="str">
        <f t="shared" si="152"/>
        <v>.</v>
      </c>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row>
    <row r="251" spans="1:92" x14ac:dyDescent="0.2">
      <c r="A251" s="620"/>
      <c r="B251" s="1077" t="str">
        <f t="shared" si="131"/>
        <v>Special rate</v>
      </c>
      <c r="C251" s="1022" t="str">
        <f t="shared" si="131"/>
        <v/>
      </c>
      <c r="D251" s="1022" t="s">
        <v>687</v>
      </c>
      <c r="E251" s="1022"/>
      <c r="F251" s="1022"/>
      <c r="G251" s="1022"/>
      <c r="H251" s="1022"/>
      <c r="I251" s="1022"/>
      <c r="J251" s="1023" t="str">
        <f t="shared" si="132"/>
        <v>.</v>
      </c>
      <c r="K251" s="1012"/>
      <c r="L251" s="1024"/>
      <c r="M251" s="1024"/>
      <c r="N251" s="1024"/>
      <c r="O251" s="1024"/>
      <c r="P251" s="1024"/>
      <c r="Q251" s="1078"/>
      <c r="R251" s="76"/>
      <c r="S251" s="3"/>
      <c r="T251" s="1028">
        <f t="shared" si="155"/>
        <v>0</v>
      </c>
      <c r="U251" s="1029">
        <f t="shared" si="155"/>
        <v>0</v>
      </c>
      <c r="V251" s="1035"/>
      <c r="W251" s="3"/>
      <c r="X251" s="1043" t="str">
        <f t="shared" si="133"/>
        <v>.</v>
      </c>
      <c r="Y251" s="1044" t="str">
        <f t="shared" si="134"/>
        <v>.</v>
      </c>
      <c r="Z251" s="1044" t="str">
        <f t="shared" si="135"/>
        <v>.</v>
      </c>
      <c r="AA251" s="1044" t="str">
        <f t="shared" si="136"/>
        <v>.</v>
      </c>
      <c r="AB251" s="1044" t="str">
        <f t="shared" si="137"/>
        <v>.</v>
      </c>
      <c r="AC251" s="1044" t="str">
        <f t="shared" si="138"/>
        <v>.</v>
      </c>
      <c r="AD251" s="1045" t="str">
        <f t="shared" si="139"/>
        <v>.</v>
      </c>
      <c r="AE251" s="3"/>
      <c r="AF251" s="1145" t="str">
        <f t="shared" si="154"/>
        <v>.</v>
      </c>
      <c r="AG251" s="1146" t="str">
        <f t="shared" si="141"/>
        <v>.</v>
      </c>
      <c r="AH251" s="1146" t="str">
        <f t="shared" si="142"/>
        <v>.</v>
      </c>
      <c r="AI251" s="1146" t="str">
        <f t="shared" si="143"/>
        <v>.</v>
      </c>
      <c r="AJ251" s="1146" t="str">
        <f t="shared" si="144"/>
        <v>.</v>
      </c>
      <c r="AK251" s="1146" t="str">
        <f t="shared" si="145"/>
        <v>.</v>
      </c>
      <c r="AL251" s="1147" t="str">
        <f t="shared" si="146"/>
        <v>.</v>
      </c>
      <c r="AM251" s="3"/>
      <c r="AN251" s="1043" t="str">
        <f>IF(X251=".",".",SUM($X251:X251))</f>
        <v>.</v>
      </c>
      <c r="AO251" s="1044" t="str">
        <f>IF(Y251=".",".",SUM($X251:Y251))</f>
        <v>.</v>
      </c>
      <c r="AP251" s="1044" t="str">
        <f>IF(Z251=".",".",SUM($X251:Z251))</f>
        <v>.</v>
      </c>
      <c r="AQ251" s="1044" t="str">
        <f>IF(AA251=".",".",SUM($X251:AA251))</f>
        <v>.</v>
      </c>
      <c r="AR251" s="1044" t="str">
        <f>IF(AB251=".",".",SUM($X251:AB251))</f>
        <v>.</v>
      </c>
      <c r="AS251" s="1044" t="str">
        <f>IF(AC251=".",".",SUM($X251:AC251))</f>
        <v>.</v>
      </c>
      <c r="AT251" s="1045" t="str">
        <f>IF(AD251=".",".",SUM($X251:AD251))</f>
        <v>.</v>
      </c>
      <c r="AU251" s="3"/>
      <c r="AV251" s="1145" t="str">
        <f t="shared" si="153"/>
        <v>.</v>
      </c>
      <c r="AW251" s="1146" t="str">
        <f t="shared" si="147"/>
        <v>.</v>
      </c>
      <c r="AX251" s="1146" t="str">
        <f t="shared" si="148"/>
        <v>.</v>
      </c>
      <c r="AY251" s="1146" t="str">
        <f t="shared" si="149"/>
        <v>.</v>
      </c>
      <c r="AZ251" s="1146" t="str">
        <f t="shared" si="150"/>
        <v>.</v>
      </c>
      <c r="BA251" s="1146" t="str">
        <f t="shared" si="151"/>
        <v>.</v>
      </c>
      <c r="BB251" s="1147" t="str">
        <f t="shared" si="152"/>
        <v>.</v>
      </c>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row>
    <row r="252" spans="1:92" x14ac:dyDescent="0.2">
      <c r="A252" s="620"/>
      <c r="B252" s="1077" t="str">
        <f t="shared" si="131"/>
        <v>Special rate</v>
      </c>
      <c r="C252" s="1022" t="str">
        <f t="shared" si="131"/>
        <v/>
      </c>
      <c r="D252" s="1022" t="s">
        <v>687</v>
      </c>
      <c r="E252" s="1022"/>
      <c r="F252" s="1022"/>
      <c r="G252" s="1022"/>
      <c r="H252" s="1022"/>
      <c r="I252" s="1022"/>
      <c r="J252" s="1023" t="str">
        <f t="shared" si="132"/>
        <v>.</v>
      </c>
      <c r="K252" s="1012"/>
      <c r="L252" s="1024"/>
      <c r="M252" s="1024"/>
      <c r="N252" s="1024"/>
      <c r="O252" s="1024"/>
      <c r="P252" s="1024"/>
      <c r="Q252" s="1010"/>
      <c r="R252" s="76"/>
      <c r="S252" s="3"/>
      <c r="T252" s="1028">
        <f t="shared" si="155"/>
        <v>0</v>
      </c>
      <c r="U252" s="1029">
        <f t="shared" si="155"/>
        <v>0</v>
      </c>
      <c r="V252" s="1035"/>
      <c r="W252" s="3"/>
      <c r="X252" s="1043" t="str">
        <f t="shared" si="133"/>
        <v>.</v>
      </c>
      <c r="Y252" s="1044" t="str">
        <f t="shared" si="134"/>
        <v>.</v>
      </c>
      <c r="Z252" s="1044" t="str">
        <f t="shared" si="135"/>
        <v>.</v>
      </c>
      <c r="AA252" s="1044" t="str">
        <f t="shared" si="136"/>
        <v>.</v>
      </c>
      <c r="AB252" s="1044" t="str">
        <f t="shared" si="137"/>
        <v>.</v>
      </c>
      <c r="AC252" s="1044" t="str">
        <f t="shared" si="138"/>
        <v>.</v>
      </c>
      <c r="AD252" s="1045" t="str">
        <f t="shared" si="139"/>
        <v>.</v>
      </c>
      <c r="AE252" s="3"/>
      <c r="AF252" s="1145" t="str">
        <f t="shared" si="154"/>
        <v>.</v>
      </c>
      <c r="AG252" s="1146" t="str">
        <f t="shared" si="141"/>
        <v>.</v>
      </c>
      <c r="AH252" s="1146" t="str">
        <f t="shared" si="142"/>
        <v>.</v>
      </c>
      <c r="AI252" s="1146" t="str">
        <f t="shared" si="143"/>
        <v>.</v>
      </c>
      <c r="AJ252" s="1146" t="str">
        <f t="shared" si="144"/>
        <v>.</v>
      </c>
      <c r="AK252" s="1146" t="str">
        <f t="shared" si="145"/>
        <v>.</v>
      </c>
      <c r="AL252" s="1147" t="str">
        <f t="shared" si="146"/>
        <v>.</v>
      </c>
      <c r="AM252" s="3"/>
      <c r="AN252" s="1043" t="str">
        <f>IF(X252=".",".",SUM($X252:X252))</f>
        <v>.</v>
      </c>
      <c r="AO252" s="1044" t="str">
        <f>IF(Y252=".",".",SUM($X252:Y252))</f>
        <v>.</v>
      </c>
      <c r="AP252" s="1044" t="str">
        <f>IF(Z252=".",".",SUM($X252:Z252))</f>
        <v>.</v>
      </c>
      <c r="AQ252" s="1044" t="str">
        <f>IF(AA252=".",".",SUM($X252:AA252))</f>
        <v>.</v>
      </c>
      <c r="AR252" s="1044" t="str">
        <f>IF(AB252=".",".",SUM($X252:AB252))</f>
        <v>.</v>
      </c>
      <c r="AS252" s="1044" t="str">
        <f>IF(AC252=".",".",SUM($X252:AC252))</f>
        <v>.</v>
      </c>
      <c r="AT252" s="1045" t="str">
        <f>IF(AD252=".",".",SUM($X252:AD252))</f>
        <v>.</v>
      </c>
      <c r="AU252" s="3"/>
      <c r="AV252" s="1145" t="str">
        <f t="shared" si="153"/>
        <v>.</v>
      </c>
      <c r="AW252" s="1146" t="str">
        <f t="shared" si="147"/>
        <v>.</v>
      </c>
      <c r="AX252" s="1146" t="str">
        <f t="shared" si="148"/>
        <v>.</v>
      </c>
      <c r="AY252" s="1146" t="str">
        <f t="shared" si="149"/>
        <v>.</v>
      </c>
      <c r="AZ252" s="1146" t="str">
        <f t="shared" si="150"/>
        <v>.</v>
      </c>
      <c r="BA252" s="1146" t="str">
        <f t="shared" si="151"/>
        <v>.</v>
      </c>
      <c r="BB252" s="1147" t="str">
        <f t="shared" si="152"/>
        <v>.</v>
      </c>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row>
    <row r="253" spans="1:92" x14ac:dyDescent="0.2">
      <c r="A253" s="620"/>
      <c r="B253" s="1077" t="str">
        <f t="shared" si="131"/>
        <v>Special rate</v>
      </c>
      <c r="C253" s="1022" t="str">
        <f t="shared" si="131"/>
        <v/>
      </c>
      <c r="D253" s="1022" t="s">
        <v>687</v>
      </c>
      <c r="E253" s="1022"/>
      <c r="F253" s="1022"/>
      <c r="G253" s="1022"/>
      <c r="H253" s="1022"/>
      <c r="I253" s="1022"/>
      <c r="J253" s="1023" t="str">
        <f t="shared" si="132"/>
        <v>.</v>
      </c>
      <c r="K253" s="1012"/>
      <c r="L253" s="1024"/>
      <c r="M253" s="1024"/>
      <c r="N253" s="1024"/>
      <c r="O253" s="1024"/>
      <c r="P253" s="1024"/>
      <c r="Q253" s="1010"/>
      <c r="R253" s="76"/>
      <c r="S253" s="3"/>
      <c r="T253" s="1028">
        <f t="shared" si="155"/>
        <v>0</v>
      </c>
      <c r="U253" s="1029">
        <f t="shared" si="155"/>
        <v>0</v>
      </c>
      <c r="V253" s="1035"/>
      <c r="W253" s="3"/>
      <c r="X253" s="1043" t="str">
        <f t="shared" si="133"/>
        <v>.</v>
      </c>
      <c r="Y253" s="1044" t="str">
        <f t="shared" si="134"/>
        <v>.</v>
      </c>
      <c r="Z253" s="1044" t="str">
        <f t="shared" si="135"/>
        <v>.</v>
      </c>
      <c r="AA253" s="1044" t="str">
        <f t="shared" si="136"/>
        <v>.</v>
      </c>
      <c r="AB253" s="1044" t="str">
        <f t="shared" si="137"/>
        <v>.</v>
      </c>
      <c r="AC253" s="1044" t="str">
        <f t="shared" si="138"/>
        <v>.</v>
      </c>
      <c r="AD253" s="1045" t="str">
        <f t="shared" si="139"/>
        <v>.</v>
      </c>
      <c r="AE253" s="3"/>
      <c r="AF253" s="1145" t="str">
        <f t="shared" si="154"/>
        <v>.</v>
      </c>
      <c r="AG253" s="1146" t="str">
        <f t="shared" si="141"/>
        <v>.</v>
      </c>
      <c r="AH253" s="1146" t="str">
        <f t="shared" si="142"/>
        <v>.</v>
      </c>
      <c r="AI253" s="1146" t="str">
        <f t="shared" si="143"/>
        <v>.</v>
      </c>
      <c r="AJ253" s="1146" t="str">
        <f t="shared" si="144"/>
        <v>.</v>
      </c>
      <c r="AK253" s="1146" t="str">
        <f t="shared" si="145"/>
        <v>.</v>
      </c>
      <c r="AL253" s="1147" t="str">
        <f t="shared" si="146"/>
        <v>.</v>
      </c>
      <c r="AM253" s="3"/>
      <c r="AN253" s="1043" t="str">
        <f>IF(X253=".",".",SUM($X253:X253))</f>
        <v>.</v>
      </c>
      <c r="AO253" s="1044" t="str">
        <f>IF(Y253=".",".",SUM($X253:Y253))</f>
        <v>.</v>
      </c>
      <c r="AP253" s="1044" t="str">
        <f>IF(Z253=".",".",SUM($X253:Z253))</f>
        <v>.</v>
      </c>
      <c r="AQ253" s="1044" t="str">
        <f>IF(AA253=".",".",SUM($X253:AA253))</f>
        <v>.</v>
      </c>
      <c r="AR253" s="1044" t="str">
        <f>IF(AB253=".",".",SUM($X253:AB253))</f>
        <v>.</v>
      </c>
      <c r="AS253" s="1044" t="str">
        <f>IF(AC253=".",".",SUM($X253:AC253))</f>
        <v>.</v>
      </c>
      <c r="AT253" s="1045" t="str">
        <f>IF(AD253=".",".",SUM($X253:AD253))</f>
        <v>.</v>
      </c>
      <c r="AU253" s="3"/>
      <c r="AV253" s="1145" t="str">
        <f t="shared" si="153"/>
        <v>.</v>
      </c>
      <c r="AW253" s="1146" t="str">
        <f t="shared" si="147"/>
        <v>.</v>
      </c>
      <c r="AX253" s="1146" t="str">
        <f t="shared" si="148"/>
        <v>.</v>
      </c>
      <c r="AY253" s="1146" t="str">
        <f t="shared" si="149"/>
        <v>.</v>
      </c>
      <c r="AZ253" s="1146" t="str">
        <f t="shared" si="150"/>
        <v>.</v>
      </c>
      <c r="BA253" s="1146" t="str">
        <f t="shared" si="151"/>
        <v>.</v>
      </c>
      <c r="BB253" s="1147" t="str">
        <f t="shared" si="152"/>
        <v>.</v>
      </c>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row>
    <row r="254" spans="1:92" x14ac:dyDescent="0.2">
      <c r="A254" s="620"/>
      <c r="B254" s="1077" t="str">
        <f t="shared" si="131"/>
        <v>Special rate</v>
      </c>
      <c r="C254" s="1022" t="str">
        <f t="shared" si="131"/>
        <v/>
      </c>
      <c r="D254" s="1022" t="s">
        <v>687</v>
      </c>
      <c r="E254" s="1022"/>
      <c r="F254" s="1022"/>
      <c r="G254" s="1022"/>
      <c r="H254" s="1022"/>
      <c r="I254" s="1022"/>
      <c r="J254" s="1023" t="str">
        <f t="shared" si="132"/>
        <v>.</v>
      </c>
      <c r="K254" s="1012"/>
      <c r="L254" s="1024"/>
      <c r="M254" s="1024"/>
      <c r="N254" s="1024"/>
      <c r="O254" s="1024"/>
      <c r="P254" s="1024"/>
      <c r="Q254" s="1010"/>
      <c r="R254" s="76"/>
      <c r="S254" s="3"/>
      <c r="T254" s="1028">
        <f t="shared" si="155"/>
        <v>0</v>
      </c>
      <c r="U254" s="1029">
        <f t="shared" si="155"/>
        <v>0</v>
      </c>
      <c r="V254" s="1035"/>
      <c r="W254" s="3"/>
      <c r="X254" s="1043" t="str">
        <f t="shared" si="133"/>
        <v>.</v>
      </c>
      <c r="Y254" s="1044" t="str">
        <f t="shared" si="134"/>
        <v>.</v>
      </c>
      <c r="Z254" s="1044" t="str">
        <f t="shared" si="135"/>
        <v>.</v>
      </c>
      <c r="AA254" s="1044" t="str">
        <f t="shared" si="136"/>
        <v>.</v>
      </c>
      <c r="AB254" s="1044" t="str">
        <f t="shared" si="137"/>
        <v>.</v>
      </c>
      <c r="AC254" s="1044" t="str">
        <f t="shared" si="138"/>
        <v>.</v>
      </c>
      <c r="AD254" s="1045" t="str">
        <f t="shared" si="139"/>
        <v>.</v>
      </c>
      <c r="AE254" s="3"/>
      <c r="AF254" s="1145" t="str">
        <f t="shared" si="154"/>
        <v>.</v>
      </c>
      <c r="AG254" s="1146" t="str">
        <f t="shared" si="141"/>
        <v>.</v>
      </c>
      <c r="AH254" s="1146" t="str">
        <f t="shared" si="142"/>
        <v>.</v>
      </c>
      <c r="AI254" s="1146" t="str">
        <f t="shared" si="143"/>
        <v>.</v>
      </c>
      <c r="AJ254" s="1146" t="str">
        <f t="shared" si="144"/>
        <v>.</v>
      </c>
      <c r="AK254" s="1146" t="str">
        <f t="shared" si="145"/>
        <v>.</v>
      </c>
      <c r="AL254" s="1147" t="str">
        <f t="shared" si="146"/>
        <v>.</v>
      </c>
      <c r="AM254" s="3"/>
      <c r="AN254" s="1043" t="str">
        <f>IF(X254=".",".",SUM($X254:X254))</f>
        <v>.</v>
      </c>
      <c r="AO254" s="1044" t="str">
        <f>IF(Y254=".",".",SUM($X254:Y254))</f>
        <v>.</v>
      </c>
      <c r="AP254" s="1044" t="str">
        <f>IF(Z254=".",".",SUM($X254:Z254))</f>
        <v>.</v>
      </c>
      <c r="AQ254" s="1044" t="str">
        <f>IF(AA254=".",".",SUM($X254:AA254))</f>
        <v>.</v>
      </c>
      <c r="AR254" s="1044" t="str">
        <f>IF(AB254=".",".",SUM($X254:AB254))</f>
        <v>.</v>
      </c>
      <c r="AS254" s="1044" t="str">
        <f>IF(AC254=".",".",SUM($X254:AC254))</f>
        <v>.</v>
      </c>
      <c r="AT254" s="1045" t="str">
        <f>IF(AD254=".",".",SUM($X254:AD254))</f>
        <v>.</v>
      </c>
      <c r="AU254" s="3"/>
      <c r="AV254" s="1145" t="str">
        <f t="shared" si="153"/>
        <v>.</v>
      </c>
      <c r="AW254" s="1146" t="str">
        <f t="shared" si="147"/>
        <v>.</v>
      </c>
      <c r="AX254" s="1146" t="str">
        <f t="shared" si="148"/>
        <v>.</v>
      </c>
      <c r="AY254" s="1146" t="str">
        <f t="shared" si="149"/>
        <v>.</v>
      </c>
      <c r="AZ254" s="1146" t="str">
        <f t="shared" si="150"/>
        <v>.</v>
      </c>
      <c r="BA254" s="1146" t="str">
        <f t="shared" si="151"/>
        <v>.</v>
      </c>
      <c r="BB254" s="1147" t="str">
        <f t="shared" si="152"/>
        <v>.</v>
      </c>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row>
    <row r="255" spans="1:92" s="6" customFormat="1" ht="11.25" customHeight="1" x14ac:dyDescent="0.2">
      <c r="A255" s="620"/>
      <c r="B255" s="964"/>
      <c r="C255" s="744" t="s">
        <v>698</v>
      </c>
      <c r="D255" s="744"/>
      <c r="E255" s="744"/>
      <c r="F255" s="744"/>
      <c r="G255" s="744"/>
      <c r="H255" s="744"/>
      <c r="I255" s="744"/>
      <c r="J255" s="1026">
        <f t="shared" si="132"/>
        <v>1087.8681447394329</v>
      </c>
      <c r="K255" s="1027">
        <f>IF($U255=0,".",SUMPRODUCT(K225:K254,$U225:$U254)/$U255)</f>
        <v>1142.26</v>
      </c>
      <c r="L255" s="1025">
        <f t="shared" ref="L255:Q255" si="156">IF($U255=0,".",SUMPRODUCT(L225:L254,$U225:$U254)/$U255)</f>
        <v>1176.53</v>
      </c>
      <c r="M255" s="1025">
        <f t="shared" si="156"/>
        <v>1211.83</v>
      </c>
      <c r="N255" s="1025">
        <f t="shared" si="156"/>
        <v>1248.18</v>
      </c>
      <c r="O255" s="1025">
        <f t="shared" si="156"/>
        <v>1285.6300000000001</v>
      </c>
      <c r="P255" s="1025">
        <f t="shared" si="156"/>
        <v>1324.19</v>
      </c>
      <c r="Q255" s="1085">
        <f t="shared" si="156"/>
        <v>1363.92</v>
      </c>
      <c r="R255" s="76"/>
      <c r="S255" s="2"/>
      <c r="T255" s="1032">
        <f t="shared" si="155"/>
        <v>29428</v>
      </c>
      <c r="U255" s="1033">
        <f t="shared" si="155"/>
        <v>29428</v>
      </c>
      <c r="V255" s="1036"/>
      <c r="W255" s="2"/>
      <c r="X255" s="1063">
        <f t="shared" ref="X255:AD255" si="157">IF(K255=".",".",K255-J255)</f>
        <v>54.391855260567127</v>
      </c>
      <c r="Y255" s="1064">
        <f t="shared" si="157"/>
        <v>34.269999999999982</v>
      </c>
      <c r="Z255" s="1064">
        <f t="shared" si="157"/>
        <v>35.299999999999955</v>
      </c>
      <c r="AA255" s="1064">
        <f t="shared" si="157"/>
        <v>36.350000000000136</v>
      </c>
      <c r="AB255" s="1064">
        <f t="shared" si="157"/>
        <v>37.450000000000045</v>
      </c>
      <c r="AC255" s="1064">
        <f t="shared" si="157"/>
        <v>38.559999999999945</v>
      </c>
      <c r="AD255" s="1065">
        <f t="shared" si="157"/>
        <v>39.730000000000018</v>
      </c>
      <c r="AE255" s="2"/>
      <c r="AF255" s="1148">
        <f t="shared" si="154"/>
        <v>4.9998573378205791E-2</v>
      </c>
      <c r="AG255" s="1149">
        <f t="shared" si="141"/>
        <v>3.000192600633822E-2</v>
      </c>
      <c r="AH255" s="1149">
        <f t="shared" si="142"/>
        <v>3.0003484824016269E-2</v>
      </c>
      <c r="AI255" s="1149">
        <f t="shared" si="143"/>
        <v>2.9995956528556134E-2</v>
      </c>
      <c r="AJ255" s="1149">
        <f t="shared" si="144"/>
        <v>3.0003685365892707E-2</v>
      </c>
      <c r="AK255" s="1149">
        <f t="shared" si="145"/>
        <v>2.999307732395784E-2</v>
      </c>
      <c r="AL255" s="1150">
        <f t="shared" si="146"/>
        <v>3.0003247268141298E-2</v>
      </c>
      <c r="AM255" s="2"/>
      <c r="AN255" s="1063">
        <f>IF(X255=".",".",SUM($X255:X255))</f>
        <v>54.391855260567127</v>
      </c>
      <c r="AO255" s="1064">
        <f>IF(Y255=".",".",SUM($X255:Y255))</f>
        <v>88.661855260567108</v>
      </c>
      <c r="AP255" s="1064">
        <f>IF(Z255=".",".",SUM($X255:Z255))</f>
        <v>123.96185526056706</v>
      </c>
      <c r="AQ255" s="1064">
        <f>IF(AA255=".",".",SUM($X255:AA255))</f>
        <v>160.3118552605672</v>
      </c>
      <c r="AR255" s="1064">
        <f>IF(AB255=".",".",SUM($X255:AB255))</f>
        <v>197.76185526056724</v>
      </c>
      <c r="AS255" s="1064">
        <f>IF(AC255=".",".",SUM($X255:AC255))</f>
        <v>236.32185526056719</v>
      </c>
      <c r="AT255" s="1065">
        <f>IF(AD255=".",".",SUM($X255:AD255))</f>
        <v>276.05185526056721</v>
      </c>
      <c r="AU255" s="2"/>
      <c r="AV255" s="1148">
        <f t="shared" si="153"/>
        <v>4.9998573378205791E-2</v>
      </c>
      <c r="AW255" s="1149">
        <f t="shared" si="147"/>
        <v>8.1500552883459587E-2</v>
      </c>
      <c r="AX255" s="1149">
        <f t="shared" si="148"/>
        <v>0.11394933830906373</v>
      </c>
      <c r="AY255" s="1149">
        <f t="shared" si="149"/>
        <v>0.14736331423599625</v>
      </c>
      <c r="AZ255" s="1149">
        <f t="shared" si="150"/>
        <v>0.18178844211670087</v>
      </c>
      <c r="BA255" s="1149">
        <f t="shared" si="151"/>
        <v>0.21723391424166683</v>
      </c>
      <c r="BB255" s="1150">
        <f t="shared" si="152"/>
        <v>0.25375488435382709</v>
      </c>
      <c r="BC255" s="2"/>
      <c r="BD255" s="2"/>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row>
    <row r="256" spans="1:92" x14ac:dyDescent="0.2">
      <c r="A256" s="620"/>
      <c r="B256" s="1077" t="str">
        <f t="shared" ref="B256:C275" si="158">B132</f>
        <v>Business</v>
      </c>
      <c r="C256" s="1022" t="str">
        <f t="shared" si="158"/>
        <v>Business</v>
      </c>
      <c r="D256" s="1022" t="s">
        <v>687</v>
      </c>
      <c r="E256" s="1022"/>
      <c r="F256" s="1022"/>
      <c r="G256" s="1022"/>
      <c r="H256" s="1022"/>
      <c r="I256" s="1022"/>
      <c r="J256" s="1023">
        <f t="shared" si="132"/>
        <v>6485.491834712353</v>
      </c>
      <c r="K256" s="1012">
        <v>6809.77</v>
      </c>
      <c r="L256" s="1012">
        <v>7014.06</v>
      </c>
      <c r="M256" s="1012">
        <v>7224.48</v>
      </c>
      <c r="N256" s="1012">
        <v>7441.22</v>
      </c>
      <c r="O256" s="1012">
        <v>7664.45</v>
      </c>
      <c r="P256" s="1012">
        <v>7894.39</v>
      </c>
      <c r="Q256" s="1010">
        <v>8131.22</v>
      </c>
      <c r="R256" s="76"/>
      <c r="S256" s="3"/>
      <c r="T256" s="1028">
        <f t="shared" si="155"/>
        <v>1951</v>
      </c>
      <c r="U256" s="1029">
        <f t="shared" si="155"/>
        <v>1951</v>
      </c>
      <c r="V256" s="1035"/>
      <c r="W256" s="3"/>
      <c r="X256" s="1043">
        <f t="shared" si="133"/>
        <v>324.27816528764743</v>
      </c>
      <c r="Y256" s="1044">
        <f t="shared" si="134"/>
        <v>204.28999999999996</v>
      </c>
      <c r="Z256" s="1044">
        <f t="shared" si="135"/>
        <v>210.41999999999916</v>
      </c>
      <c r="AA256" s="1044">
        <f t="shared" si="136"/>
        <v>216.74000000000069</v>
      </c>
      <c r="AB256" s="1044">
        <f t="shared" si="137"/>
        <v>223.22999999999956</v>
      </c>
      <c r="AC256" s="1044">
        <f t="shared" si="138"/>
        <v>229.94000000000051</v>
      </c>
      <c r="AD256" s="1045">
        <f t="shared" si="139"/>
        <v>236.82999999999993</v>
      </c>
      <c r="AE256" s="3"/>
      <c r="AF256" s="1145">
        <f t="shared" si="154"/>
        <v>5.0000551007097105E-2</v>
      </c>
      <c r="AG256" s="1146">
        <f t="shared" si="141"/>
        <v>2.9999544771702968E-2</v>
      </c>
      <c r="AH256" s="1146">
        <f t="shared" si="142"/>
        <v>2.9999743372597143E-2</v>
      </c>
      <c r="AI256" s="1146">
        <f t="shared" si="143"/>
        <v>3.0000775142294156E-2</v>
      </c>
      <c r="AJ256" s="1146">
        <f t="shared" si="144"/>
        <v>2.9999113048666759E-2</v>
      </c>
      <c r="AK256" s="1146">
        <f t="shared" si="145"/>
        <v>3.0000848071290331E-2</v>
      </c>
      <c r="AL256" s="1147">
        <f t="shared" si="146"/>
        <v>2.9999784657205986E-2</v>
      </c>
      <c r="AM256" s="3"/>
      <c r="AN256" s="1043">
        <f>IF(X256=".",".",SUM($X256:X256))</f>
        <v>324.27816528764743</v>
      </c>
      <c r="AO256" s="1044">
        <f>IF(Y256=".",".",SUM($X256:Y256))</f>
        <v>528.56816528764739</v>
      </c>
      <c r="AP256" s="1044">
        <f>IF(Z256=".",".",SUM($X256:Z256))</f>
        <v>738.98816528764655</v>
      </c>
      <c r="AQ256" s="1044">
        <f>IF(AA256=".",".",SUM($X256:AA256))</f>
        <v>955.72816528764724</v>
      </c>
      <c r="AR256" s="1044">
        <f>IF(AB256=".",".",SUM($X256:AB256))</f>
        <v>1178.9581652876468</v>
      </c>
      <c r="AS256" s="1044">
        <f>IF(AC256=".",".",SUM($X256:AC256))</f>
        <v>1408.8981652876473</v>
      </c>
      <c r="AT256" s="1045">
        <f>IF(AD256=".",".",SUM($X256:AD256))</f>
        <v>1645.7281652876472</v>
      </c>
      <c r="AU256" s="3"/>
      <c r="AV256" s="1145">
        <f t="shared" si="153"/>
        <v>5.0000551007097105E-2</v>
      </c>
      <c r="AW256" s="1146">
        <f t="shared" si="147"/>
        <v>8.1500089547347443E-2</v>
      </c>
      <c r="AX256" s="1146">
        <f t="shared" si="148"/>
        <v>0.11394481469120876</v>
      </c>
      <c r="AY256" s="1146">
        <f t="shared" si="149"/>
        <v>0.14736402259768422</v>
      </c>
      <c r="AZ256" s="1146">
        <f t="shared" si="150"/>
        <v>0.18178392561956502</v>
      </c>
      <c r="BA256" s="1146">
        <f t="shared" si="151"/>
        <v>0.21723844562517058</v>
      </c>
      <c r="BB256" s="1147">
        <f t="shared" si="152"/>
        <v>0.25375533687039775</v>
      </c>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row>
    <row r="257" spans="1:92" x14ac:dyDescent="0.2">
      <c r="A257" s="620"/>
      <c r="B257" s="1077" t="str">
        <f t="shared" si="158"/>
        <v>Business</v>
      </c>
      <c r="C257" s="1022" t="str">
        <f t="shared" si="158"/>
        <v>Chatswood Town Centre</v>
      </c>
      <c r="D257" s="1022" t="s">
        <v>687</v>
      </c>
      <c r="E257" s="1022"/>
      <c r="F257" s="1022"/>
      <c r="G257" s="1022"/>
      <c r="H257" s="1022"/>
      <c r="I257" s="1022"/>
      <c r="J257" s="1023">
        <f t="shared" ref="J257:J288" si="159">J133</f>
        <v>7802.7999950660378</v>
      </c>
      <c r="K257" s="1012">
        <v>8192.94</v>
      </c>
      <c r="L257" s="1024">
        <v>8438.73</v>
      </c>
      <c r="M257" s="1024">
        <v>8691.89</v>
      </c>
      <c r="N257" s="1024">
        <v>8952.65</v>
      </c>
      <c r="O257" s="1024">
        <v>9221.23</v>
      </c>
      <c r="P257" s="1024">
        <v>9497.86</v>
      </c>
      <c r="Q257" s="1078">
        <v>9782.7999999999993</v>
      </c>
      <c r="R257" s="76"/>
      <c r="S257" s="3"/>
      <c r="T257" s="1028">
        <f t="shared" si="155"/>
        <v>954</v>
      </c>
      <c r="U257" s="1029">
        <f t="shared" si="155"/>
        <v>954</v>
      </c>
      <c r="V257" s="1035"/>
      <c r="W257" s="3"/>
      <c r="X257" s="1043">
        <f t="shared" ref="X257:X288" si="160">IF(K257="",".",K257-J257)</f>
        <v>390.1400049339627</v>
      </c>
      <c r="Y257" s="1044">
        <f t="shared" ref="Y257:Y288" si="161">IF(L257="",".",L257-K257)</f>
        <v>245.78999999999905</v>
      </c>
      <c r="Z257" s="1044">
        <f t="shared" ref="Z257:Z288" si="162">IF(M257="",".",M257-L257)</f>
        <v>253.15999999999985</v>
      </c>
      <c r="AA257" s="1044">
        <f t="shared" ref="AA257:AA288" si="163">IF(N257="",".",N257-M257)</f>
        <v>260.76000000000022</v>
      </c>
      <c r="AB257" s="1044">
        <f t="shared" ref="AB257:AB288" si="164">IF(O257="",".",O257-N257)</f>
        <v>268.57999999999993</v>
      </c>
      <c r="AC257" s="1044">
        <f t="shared" ref="AC257:AC288" si="165">IF(P257="",".",P257-O257)</f>
        <v>276.63000000000102</v>
      </c>
      <c r="AD257" s="1045">
        <f t="shared" ref="AD257:AD288" si="166">IF(Q257="",".",Q257-P257)</f>
        <v>284.93999999999869</v>
      </c>
      <c r="AE257" s="3"/>
      <c r="AF257" s="1145">
        <f t="shared" si="154"/>
        <v>5.000000066394894E-2</v>
      </c>
      <c r="AG257" s="1146">
        <f t="shared" si="141"/>
        <v>3.0000219701352471E-2</v>
      </c>
      <c r="AH257" s="1146">
        <f t="shared" si="142"/>
        <v>2.9999774847637051E-2</v>
      </c>
      <c r="AI257" s="1146">
        <f t="shared" si="143"/>
        <v>3.0000379664261834E-2</v>
      </c>
      <c r="AJ257" s="1146">
        <f t="shared" si="144"/>
        <v>3.0000055849385365E-2</v>
      </c>
      <c r="AK257" s="1146">
        <f t="shared" si="145"/>
        <v>2.999925172672202E-2</v>
      </c>
      <c r="AL257" s="1147">
        <f t="shared" si="146"/>
        <v>3.000044220487541E-2</v>
      </c>
      <c r="AM257" s="3"/>
      <c r="AN257" s="1043">
        <f>IF(X257=".",".",SUM($X257:X257))</f>
        <v>390.1400049339627</v>
      </c>
      <c r="AO257" s="1044">
        <f>IF(Y257=".",".",SUM($X257:Y257))</f>
        <v>635.93000493396175</v>
      </c>
      <c r="AP257" s="1044">
        <f>IF(Z257=".",".",SUM($X257:Z257))</f>
        <v>889.09000493396161</v>
      </c>
      <c r="AQ257" s="1044">
        <f>IF(AA257=".",".",SUM($X257:AA257))</f>
        <v>1149.8500049339618</v>
      </c>
      <c r="AR257" s="1044">
        <f>IF(AB257=".",".",SUM($X257:AB257))</f>
        <v>1418.4300049339618</v>
      </c>
      <c r="AS257" s="1044">
        <f>IF(AC257=".",".",SUM($X257:AC257))</f>
        <v>1695.0600049339628</v>
      </c>
      <c r="AT257" s="1045">
        <f>IF(AD257=".",".",SUM($X257:AD257))</f>
        <v>1980.0000049339615</v>
      </c>
      <c r="AU257" s="3"/>
      <c r="AV257" s="1145">
        <f t="shared" si="153"/>
        <v>5.000000066394894E-2</v>
      </c>
      <c r="AW257" s="1146">
        <f t="shared" si="147"/>
        <v>8.1500231370287723E-2</v>
      </c>
      <c r="AX257" s="1146">
        <f t="shared" si="148"/>
        <v>0.11394499480906362</v>
      </c>
      <c r="AY257" s="1146">
        <f t="shared" si="149"/>
        <v>0.14736376757843961</v>
      </c>
      <c r="AZ257" s="1146">
        <f t="shared" si="150"/>
        <v>0.18178474468535399</v>
      </c>
      <c r="BA257" s="1146">
        <f t="shared" si="151"/>
        <v>0.21723740272796999</v>
      </c>
      <c r="BB257" s="1147">
        <f t="shared" si="152"/>
        <v>0.25375506307812312</v>
      </c>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row>
    <row r="258" spans="1:92" x14ac:dyDescent="0.2">
      <c r="A258" s="620"/>
      <c r="B258" s="1077" t="str">
        <f t="shared" si="158"/>
        <v>Business</v>
      </c>
      <c r="C258" s="1022" t="str">
        <f t="shared" si="158"/>
        <v>Chatswood Major Retail - Chase</v>
      </c>
      <c r="D258" s="1022" t="s">
        <v>687</v>
      </c>
      <c r="E258" s="1022"/>
      <c r="F258" s="1022"/>
      <c r="G258" s="1022"/>
      <c r="H258" s="1022"/>
      <c r="I258" s="1022"/>
      <c r="J258" s="1023">
        <f t="shared" si="159"/>
        <v>940896.80999999994</v>
      </c>
      <c r="K258" s="1012">
        <v>987941.65</v>
      </c>
      <c r="L258" s="1024">
        <v>1017579.9</v>
      </c>
      <c r="M258" s="1024">
        <v>104107.3</v>
      </c>
      <c r="N258" s="1024">
        <v>1079550.52</v>
      </c>
      <c r="O258" s="1024">
        <v>1111937.03</v>
      </c>
      <c r="P258" s="1024">
        <v>1145295.1399999999</v>
      </c>
      <c r="Q258" s="1078">
        <v>1179654</v>
      </c>
      <c r="R258" s="76"/>
      <c r="S258" s="3"/>
      <c r="T258" s="1028">
        <f t="shared" si="155"/>
        <v>1</v>
      </c>
      <c r="U258" s="1029">
        <f t="shared" si="155"/>
        <v>1</v>
      </c>
      <c r="V258" s="1035"/>
      <c r="W258" s="3"/>
      <c r="X258" s="1043">
        <f t="shared" si="160"/>
        <v>47044.840000000084</v>
      </c>
      <c r="Y258" s="1044">
        <f t="shared" si="161"/>
        <v>29638.25</v>
      </c>
      <c r="Z258" s="1044">
        <f t="shared" si="162"/>
        <v>-913472.6</v>
      </c>
      <c r="AA258" s="1044">
        <f t="shared" si="163"/>
        <v>975443.22</v>
      </c>
      <c r="AB258" s="1044">
        <f t="shared" si="164"/>
        <v>32386.510000000009</v>
      </c>
      <c r="AC258" s="1044">
        <f t="shared" si="165"/>
        <v>33358.10999999987</v>
      </c>
      <c r="AD258" s="1045">
        <f t="shared" si="166"/>
        <v>34358.860000000102</v>
      </c>
      <c r="AE258" s="3"/>
      <c r="AF258" s="1145">
        <f t="shared" si="154"/>
        <v>4.9999999468592238E-2</v>
      </c>
      <c r="AG258" s="1146">
        <f t="shared" si="141"/>
        <v>3.0000000506102742E-2</v>
      </c>
      <c r="AH258" s="1146">
        <f t="shared" si="142"/>
        <v>-0.89769127711740371</v>
      </c>
      <c r="AI258" s="1146">
        <f t="shared" si="143"/>
        <v>9.36959483148636</v>
      </c>
      <c r="AJ258" s="1146">
        <f t="shared" si="144"/>
        <v>2.9999994812655917E-2</v>
      </c>
      <c r="AK258" s="1146">
        <f t="shared" si="145"/>
        <v>2.9999999190601478E-2</v>
      </c>
      <c r="AL258" s="1147">
        <f t="shared" si="146"/>
        <v>3.0000005064196866E-2</v>
      </c>
      <c r="AM258" s="3"/>
      <c r="AN258" s="1043">
        <f>IF(X258=".",".",SUM($X258:X258))</f>
        <v>47044.840000000084</v>
      </c>
      <c r="AO258" s="1044">
        <f>IF(Y258=".",".",SUM($X258:Y258))</f>
        <v>76683.090000000084</v>
      </c>
      <c r="AP258" s="1044">
        <f>IF(Z258=".",".",SUM($X258:Z258))</f>
        <v>-836789.50999999989</v>
      </c>
      <c r="AQ258" s="1044">
        <f>IF(AA258=".",".",SUM($X258:AA258))</f>
        <v>138653.71000000008</v>
      </c>
      <c r="AR258" s="1044">
        <f>IF(AB258=".",".",SUM($X258:AB258))</f>
        <v>171040.22000000009</v>
      </c>
      <c r="AS258" s="1044">
        <f>IF(AC258=".",".",SUM($X258:AC258))</f>
        <v>204398.32999999996</v>
      </c>
      <c r="AT258" s="1045">
        <f>IF(AD258=".",".",SUM($X258:AD258))</f>
        <v>238757.19000000006</v>
      </c>
      <c r="AU258" s="3"/>
      <c r="AV258" s="1145">
        <f t="shared" si="153"/>
        <v>4.9999999468592238E-2</v>
      </c>
      <c r="AW258" s="1146">
        <f t="shared" si="147"/>
        <v>8.1499999984057769E-2</v>
      </c>
      <c r="AX258" s="1146">
        <f t="shared" si="148"/>
        <v>-0.88935311620410318</v>
      </c>
      <c r="AY258" s="1146">
        <f t="shared" si="149"/>
        <v>0.14736335433000369</v>
      </c>
      <c r="AZ258" s="1146">
        <f t="shared" si="150"/>
        <v>0.18178424900813517</v>
      </c>
      <c r="BA258" s="1146">
        <f t="shared" si="151"/>
        <v>0.21723777552184487</v>
      </c>
      <c r="BB258" s="1147">
        <f t="shared" si="152"/>
        <v>0.25375491495183211</v>
      </c>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row>
    <row r="259" spans="1:92" x14ac:dyDescent="0.2">
      <c r="A259" s="620"/>
      <c r="B259" s="1077" t="str">
        <f t="shared" si="158"/>
        <v>Business</v>
      </c>
      <c r="C259" s="1022" t="str">
        <f t="shared" si="158"/>
        <v>Chatswood Major Retail - Westfield</v>
      </c>
      <c r="D259" s="1022" t="s">
        <v>687</v>
      </c>
      <c r="E259" s="1022"/>
      <c r="F259" s="1022"/>
      <c r="G259" s="1022"/>
      <c r="H259" s="1022"/>
      <c r="I259" s="1022"/>
      <c r="J259" s="1023">
        <f t="shared" si="159"/>
        <v>120181.5056</v>
      </c>
      <c r="K259" s="1012">
        <v>126190.58</v>
      </c>
      <c r="L259" s="1024">
        <v>129976.3</v>
      </c>
      <c r="M259" s="1024">
        <v>133875.59</v>
      </c>
      <c r="N259" s="1024">
        <v>137891.85</v>
      </c>
      <c r="O259" s="1024">
        <v>142028.60999999999</v>
      </c>
      <c r="P259" s="1024">
        <v>146289.47</v>
      </c>
      <c r="Q259" s="1078">
        <v>150678.15</v>
      </c>
      <c r="R259" s="76"/>
      <c r="S259" s="3"/>
      <c r="T259" s="1028">
        <f t="shared" si="155"/>
        <v>10</v>
      </c>
      <c r="U259" s="1029">
        <f t="shared" si="155"/>
        <v>10</v>
      </c>
      <c r="V259" s="1035"/>
      <c r="W259" s="3"/>
      <c r="X259" s="1043">
        <f t="shared" si="160"/>
        <v>6009.0743999999977</v>
      </c>
      <c r="Y259" s="1044">
        <f t="shared" si="161"/>
        <v>3785.7200000000012</v>
      </c>
      <c r="Z259" s="1044">
        <f t="shared" si="162"/>
        <v>3899.2899999999936</v>
      </c>
      <c r="AA259" s="1044">
        <f t="shared" si="163"/>
        <v>4016.2600000000093</v>
      </c>
      <c r="AB259" s="1044">
        <f t="shared" si="164"/>
        <v>4136.7599999999802</v>
      </c>
      <c r="AC259" s="1044">
        <f t="shared" si="165"/>
        <v>4260.8600000000151</v>
      </c>
      <c r="AD259" s="1045">
        <f t="shared" si="166"/>
        <v>4388.679999999993</v>
      </c>
      <c r="AE259" s="3"/>
      <c r="AF259" s="1145">
        <f t="shared" si="154"/>
        <v>4.9999992677741911E-2</v>
      </c>
      <c r="AG259" s="1146">
        <f t="shared" si="141"/>
        <v>3.0000020603756727E-2</v>
      </c>
      <c r="AH259" s="1146">
        <f t="shared" si="142"/>
        <v>3.0000007693710362E-2</v>
      </c>
      <c r="AI259" s="1146">
        <f t="shared" si="143"/>
        <v>2.9999942483913689E-2</v>
      </c>
      <c r="AJ259" s="1146">
        <f t="shared" si="144"/>
        <v>3.0000032634270868E-2</v>
      </c>
      <c r="AK259" s="1146">
        <f t="shared" si="145"/>
        <v>3.0000011969419482E-2</v>
      </c>
      <c r="AL259" s="1147">
        <f t="shared" si="146"/>
        <v>2.9999971973375672E-2</v>
      </c>
      <c r="AM259" s="3"/>
      <c r="AN259" s="1043">
        <f>IF(X259=".",".",SUM($X259:X259))</f>
        <v>6009.0743999999977</v>
      </c>
      <c r="AO259" s="1044">
        <f>IF(Y259=".",".",SUM($X259:Y259))</f>
        <v>9794.7943999999989</v>
      </c>
      <c r="AP259" s="1044">
        <f>IF(Z259=".",".",SUM($X259:Z259))</f>
        <v>13694.084399999992</v>
      </c>
      <c r="AQ259" s="1044">
        <f>IF(AA259=".",".",SUM($X259:AA259))</f>
        <v>17710.344400000002</v>
      </c>
      <c r="AR259" s="1044">
        <f>IF(AB259=".",".",SUM($X259:AB259))</f>
        <v>21847.104399999982</v>
      </c>
      <c r="AS259" s="1044">
        <f>IF(AC259=".",".",SUM($X259:AC259))</f>
        <v>26107.964399999997</v>
      </c>
      <c r="AT259" s="1045">
        <f>IF(AD259=".",".",SUM($X259:AD259))</f>
        <v>30496.64439999999</v>
      </c>
      <c r="AU259" s="3"/>
      <c r="AV259" s="1145">
        <f t="shared" si="153"/>
        <v>4.9999992677741911E-2</v>
      </c>
      <c r="AW259" s="1146">
        <f t="shared" si="147"/>
        <v>8.1500014092018569E-2</v>
      </c>
      <c r="AX259" s="1146">
        <f t="shared" si="148"/>
        <v>0.11394502283552677</v>
      </c>
      <c r="AY259" s="1146">
        <f t="shared" si="149"/>
        <v>0.14736330945083442</v>
      </c>
      <c r="AZ259" s="1146">
        <f t="shared" si="150"/>
        <v>0.1817842461777246</v>
      </c>
      <c r="BA259" s="1146">
        <f t="shared" si="151"/>
        <v>0.2172377877083278</v>
      </c>
      <c r="BB259" s="1147">
        <f t="shared" si="152"/>
        <v>0.25375488722451145</v>
      </c>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row>
    <row r="260" spans="1:92" x14ac:dyDescent="0.2">
      <c r="A260" s="620"/>
      <c r="B260" s="1077" t="str">
        <f t="shared" si="158"/>
        <v>Business</v>
      </c>
      <c r="C260" s="1022" t="str">
        <f t="shared" si="158"/>
        <v>Strata Storage</v>
      </c>
      <c r="D260" s="1022" t="s">
        <v>687</v>
      </c>
      <c r="E260" s="1022"/>
      <c r="F260" s="1022"/>
      <c r="G260" s="1022"/>
      <c r="H260" s="1022"/>
      <c r="I260" s="1022"/>
      <c r="J260" s="1023">
        <f t="shared" si="159"/>
        <v>871.17046106194687</v>
      </c>
      <c r="K260" s="1012">
        <v>914.73</v>
      </c>
      <c r="L260" s="1024">
        <v>942.17</v>
      </c>
      <c r="M260" s="1024">
        <v>970.44</v>
      </c>
      <c r="N260" s="1024">
        <v>999.55</v>
      </c>
      <c r="O260" s="1024">
        <v>1029.54</v>
      </c>
      <c r="P260" s="1024">
        <v>1060.42</v>
      </c>
      <c r="Q260" s="1078">
        <v>1092.23</v>
      </c>
      <c r="R260" s="76"/>
      <c r="S260" s="3"/>
      <c r="T260" s="1028">
        <f t="shared" si="155"/>
        <v>113</v>
      </c>
      <c r="U260" s="1029">
        <f t="shared" si="155"/>
        <v>113</v>
      </c>
      <c r="V260" s="1035"/>
      <c r="W260" s="3"/>
      <c r="X260" s="1043">
        <f t="shared" si="160"/>
        <v>43.559538938053151</v>
      </c>
      <c r="Y260" s="1044">
        <f t="shared" si="161"/>
        <v>27.439999999999941</v>
      </c>
      <c r="Z260" s="1044">
        <f t="shared" si="162"/>
        <v>28.270000000000095</v>
      </c>
      <c r="AA260" s="1044">
        <f t="shared" si="163"/>
        <v>29.1099999999999</v>
      </c>
      <c r="AB260" s="1044">
        <f t="shared" si="164"/>
        <v>29.990000000000009</v>
      </c>
      <c r="AC260" s="1044">
        <f t="shared" si="165"/>
        <v>30.880000000000109</v>
      </c>
      <c r="AD260" s="1045">
        <f t="shared" si="166"/>
        <v>31.809999999999945</v>
      </c>
      <c r="AE260" s="3"/>
      <c r="AF260" s="1145">
        <f t="shared" si="154"/>
        <v>5.0001166115015705E-2</v>
      </c>
      <c r="AG260" s="1146">
        <f t="shared" si="141"/>
        <v>2.9997922884348327E-2</v>
      </c>
      <c r="AH260" s="1146">
        <f t="shared" si="142"/>
        <v>3.0005200759947837E-2</v>
      </c>
      <c r="AI260" s="1146">
        <f t="shared" si="143"/>
        <v>2.9996702526688734E-2</v>
      </c>
      <c r="AJ260" s="1146">
        <f t="shared" si="144"/>
        <v>3.0003501575709191E-2</v>
      </c>
      <c r="AK260" s="1146">
        <f t="shared" si="145"/>
        <v>2.9993977893039814E-2</v>
      </c>
      <c r="AL260" s="1147">
        <f t="shared" si="146"/>
        <v>2.9997548141302399E-2</v>
      </c>
      <c r="AM260" s="3"/>
      <c r="AN260" s="1043">
        <f>IF(X260=".",".",SUM($X260:X260))</f>
        <v>43.559538938053151</v>
      </c>
      <c r="AO260" s="1044">
        <f>IF(Y260=".",".",SUM($X260:Y260))</f>
        <v>70.999538938053092</v>
      </c>
      <c r="AP260" s="1044">
        <f>IF(Z260=".",".",SUM($X260:Z260))</f>
        <v>99.269538938053188</v>
      </c>
      <c r="AQ260" s="1044">
        <f>IF(AA260=".",".",SUM($X260:AA260))</f>
        <v>128.37953893805309</v>
      </c>
      <c r="AR260" s="1044">
        <f>IF(AB260=".",".",SUM($X260:AB260))</f>
        <v>158.3695389380531</v>
      </c>
      <c r="AS260" s="1044">
        <f>IF(AC260=".",".",SUM($X260:AC260))</f>
        <v>189.24953893805321</v>
      </c>
      <c r="AT260" s="1045">
        <f>IF(AD260=".",".",SUM($X260:AD260))</f>
        <v>221.05953893805315</v>
      </c>
      <c r="AU260" s="3"/>
      <c r="AV260" s="1145">
        <f t="shared" si="153"/>
        <v>5.0001166115015705E-2</v>
      </c>
      <c r="AW260" s="1146">
        <f t="shared" si="147"/>
        <v>8.1499020124609745E-2</v>
      </c>
      <c r="AX260" s="1146">
        <f t="shared" si="148"/>
        <v>0.11394961534513559</v>
      </c>
      <c r="AY260" s="1146">
        <f t="shared" si="149"/>
        <v>0.14736443058636306</v>
      </c>
      <c r="AZ260" s="1146">
        <f t="shared" si="150"/>
        <v>0.18178938108737341</v>
      </c>
      <c r="BA260" s="1146">
        <f t="shared" si="151"/>
        <v>0.21723594565793714</v>
      </c>
      <c r="BB260" s="1147">
        <f t="shared" si="152"/>
        <v>0.25375003953713504</v>
      </c>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row>
    <row r="261" spans="1:92" x14ac:dyDescent="0.2">
      <c r="A261" s="620"/>
      <c r="B261" s="1077" t="str">
        <f t="shared" si="158"/>
        <v>Business</v>
      </c>
      <c r="C261" s="1022" t="str">
        <f t="shared" si="158"/>
        <v/>
      </c>
      <c r="D261" s="1022" t="s">
        <v>687</v>
      </c>
      <c r="E261" s="1022"/>
      <c r="F261" s="1022"/>
      <c r="G261" s="1022"/>
      <c r="H261" s="1022"/>
      <c r="I261" s="1022"/>
      <c r="J261" s="1023" t="str">
        <f t="shared" si="159"/>
        <v>.</v>
      </c>
      <c r="K261" s="1012"/>
      <c r="L261" s="1024"/>
      <c r="M261" s="1024"/>
      <c r="N261" s="1024"/>
      <c r="O261" s="1024"/>
      <c r="P261" s="1024"/>
      <c r="Q261" s="1078"/>
      <c r="R261" s="76"/>
      <c r="S261" s="3"/>
      <c r="T261" s="1028">
        <f t="shared" si="155"/>
        <v>0</v>
      </c>
      <c r="U261" s="1029">
        <f t="shared" si="155"/>
        <v>0</v>
      </c>
      <c r="V261" s="1035"/>
      <c r="W261" s="3"/>
      <c r="X261" s="1043" t="str">
        <f t="shared" si="160"/>
        <v>.</v>
      </c>
      <c r="Y261" s="1044" t="str">
        <f t="shared" si="161"/>
        <v>.</v>
      </c>
      <c r="Z261" s="1044" t="str">
        <f t="shared" si="162"/>
        <v>.</v>
      </c>
      <c r="AA261" s="1044" t="str">
        <f t="shared" si="163"/>
        <v>.</v>
      </c>
      <c r="AB261" s="1044" t="str">
        <f t="shared" si="164"/>
        <v>.</v>
      </c>
      <c r="AC261" s="1044" t="str">
        <f t="shared" si="165"/>
        <v>.</v>
      </c>
      <c r="AD261" s="1045" t="str">
        <f t="shared" si="166"/>
        <v>.</v>
      </c>
      <c r="AE261" s="3"/>
      <c r="AF261" s="1145" t="str">
        <f t="shared" si="154"/>
        <v>.</v>
      </c>
      <c r="AG261" s="1146" t="str">
        <f t="shared" si="141"/>
        <v>.</v>
      </c>
      <c r="AH261" s="1146" t="str">
        <f t="shared" si="142"/>
        <v>.</v>
      </c>
      <c r="AI261" s="1146" t="str">
        <f t="shared" si="143"/>
        <v>.</v>
      </c>
      <c r="AJ261" s="1146" t="str">
        <f t="shared" si="144"/>
        <v>.</v>
      </c>
      <c r="AK261" s="1146" t="str">
        <f t="shared" si="145"/>
        <v>.</v>
      </c>
      <c r="AL261" s="1147" t="str">
        <f t="shared" si="146"/>
        <v>.</v>
      </c>
      <c r="AM261" s="3"/>
      <c r="AN261" s="1043" t="str">
        <f>IF(X261=".",".",SUM($X261:X261))</f>
        <v>.</v>
      </c>
      <c r="AO261" s="1044" t="str">
        <f>IF(Y261=".",".",SUM($X261:Y261))</f>
        <v>.</v>
      </c>
      <c r="AP261" s="1044" t="str">
        <f>IF(Z261=".",".",SUM($X261:Z261))</f>
        <v>.</v>
      </c>
      <c r="AQ261" s="1044" t="str">
        <f>IF(AA261=".",".",SUM($X261:AA261))</f>
        <v>.</v>
      </c>
      <c r="AR261" s="1044" t="str">
        <f>IF(AB261=".",".",SUM($X261:AB261))</f>
        <v>.</v>
      </c>
      <c r="AS261" s="1044" t="str">
        <f>IF(AC261=".",".",SUM($X261:AC261))</f>
        <v>.</v>
      </c>
      <c r="AT261" s="1045" t="str">
        <f>IF(AD261=".",".",SUM($X261:AD261))</f>
        <v>.</v>
      </c>
      <c r="AU261" s="3"/>
      <c r="AV261" s="1145" t="str">
        <f t="shared" si="153"/>
        <v>.</v>
      </c>
      <c r="AW261" s="1146" t="str">
        <f t="shared" si="147"/>
        <v>.</v>
      </c>
      <c r="AX261" s="1146" t="str">
        <f t="shared" si="148"/>
        <v>.</v>
      </c>
      <c r="AY261" s="1146" t="str">
        <f t="shared" si="149"/>
        <v>.</v>
      </c>
      <c r="AZ261" s="1146" t="str">
        <f t="shared" si="150"/>
        <v>.</v>
      </c>
      <c r="BA261" s="1146" t="str">
        <f t="shared" si="151"/>
        <v>.</v>
      </c>
      <c r="BB261" s="1147" t="str">
        <f t="shared" si="152"/>
        <v>.</v>
      </c>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row>
    <row r="262" spans="1:92" x14ac:dyDescent="0.2">
      <c r="A262" s="620"/>
      <c r="B262" s="1077" t="str">
        <f t="shared" si="158"/>
        <v>Business</v>
      </c>
      <c r="C262" s="1022" t="str">
        <f t="shared" si="158"/>
        <v/>
      </c>
      <c r="D262" s="1022" t="s">
        <v>687</v>
      </c>
      <c r="E262" s="1022"/>
      <c r="F262" s="1022"/>
      <c r="G262" s="1022"/>
      <c r="H262" s="1022"/>
      <c r="I262" s="1022"/>
      <c r="J262" s="1023" t="str">
        <f t="shared" si="159"/>
        <v>.</v>
      </c>
      <c r="K262" s="1012"/>
      <c r="L262" s="1024"/>
      <c r="M262" s="1024"/>
      <c r="N262" s="1024"/>
      <c r="O262" s="1024"/>
      <c r="P262" s="1024"/>
      <c r="Q262" s="1078"/>
      <c r="R262" s="76"/>
      <c r="S262" s="3"/>
      <c r="T262" s="1028">
        <f t="shared" si="155"/>
        <v>0</v>
      </c>
      <c r="U262" s="1029">
        <f t="shared" si="155"/>
        <v>0</v>
      </c>
      <c r="V262" s="1035"/>
      <c r="W262" s="3"/>
      <c r="X262" s="1043" t="str">
        <f t="shared" si="160"/>
        <v>.</v>
      </c>
      <c r="Y262" s="1044" t="str">
        <f t="shared" si="161"/>
        <v>.</v>
      </c>
      <c r="Z262" s="1044" t="str">
        <f t="shared" si="162"/>
        <v>.</v>
      </c>
      <c r="AA262" s="1044" t="str">
        <f t="shared" si="163"/>
        <v>.</v>
      </c>
      <c r="AB262" s="1044" t="str">
        <f t="shared" si="164"/>
        <v>.</v>
      </c>
      <c r="AC262" s="1044" t="str">
        <f t="shared" si="165"/>
        <v>.</v>
      </c>
      <c r="AD262" s="1045" t="str">
        <f t="shared" si="166"/>
        <v>.</v>
      </c>
      <c r="AE262" s="3"/>
      <c r="AF262" s="1145" t="str">
        <f t="shared" si="154"/>
        <v>.</v>
      </c>
      <c r="AG262" s="1146" t="str">
        <f t="shared" si="141"/>
        <v>.</v>
      </c>
      <c r="AH262" s="1146" t="str">
        <f t="shared" si="142"/>
        <v>.</v>
      </c>
      <c r="AI262" s="1146" t="str">
        <f t="shared" si="143"/>
        <v>.</v>
      </c>
      <c r="AJ262" s="1146" t="str">
        <f t="shared" si="144"/>
        <v>.</v>
      </c>
      <c r="AK262" s="1146" t="str">
        <f t="shared" si="145"/>
        <v>.</v>
      </c>
      <c r="AL262" s="1147" t="str">
        <f t="shared" si="146"/>
        <v>.</v>
      </c>
      <c r="AM262" s="3"/>
      <c r="AN262" s="1043" t="str">
        <f>IF(X262=".",".",SUM($X262:X262))</f>
        <v>.</v>
      </c>
      <c r="AO262" s="1044" t="str">
        <f>IF(Y262=".",".",SUM($X262:Y262))</f>
        <v>.</v>
      </c>
      <c r="AP262" s="1044" t="str">
        <f>IF(Z262=".",".",SUM($X262:Z262))</f>
        <v>.</v>
      </c>
      <c r="AQ262" s="1044" t="str">
        <f>IF(AA262=".",".",SUM($X262:AA262))</f>
        <v>.</v>
      </c>
      <c r="AR262" s="1044" t="str">
        <f>IF(AB262=".",".",SUM($X262:AB262))</f>
        <v>.</v>
      </c>
      <c r="AS262" s="1044" t="str">
        <f>IF(AC262=".",".",SUM($X262:AC262))</f>
        <v>.</v>
      </c>
      <c r="AT262" s="1045" t="str">
        <f>IF(AD262=".",".",SUM($X262:AD262))</f>
        <v>.</v>
      </c>
      <c r="AU262" s="3"/>
      <c r="AV262" s="1145" t="str">
        <f t="shared" si="153"/>
        <v>.</v>
      </c>
      <c r="AW262" s="1146" t="str">
        <f t="shared" si="147"/>
        <v>.</v>
      </c>
      <c r="AX262" s="1146" t="str">
        <f t="shared" si="148"/>
        <v>.</v>
      </c>
      <c r="AY262" s="1146" t="str">
        <f t="shared" si="149"/>
        <v>.</v>
      </c>
      <c r="AZ262" s="1146" t="str">
        <f t="shared" si="150"/>
        <v>.</v>
      </c>
      <c r="BA262" s="1146" t="str">
        <f t="shared" si="151"/>
        <v>.</v>
      </c>
      <c r="BB262" s="1147" t="str">
        <f t="shared" si="152"/>
        <v>.</v>
      </c>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row>
    <row r="263" spans="1:92" x14ac:dyDescent="0.2">
      <c r="A263" s="620"/>
      <c r="B263" s="1077" t="str">
        <f t="shared" si="158"/>
        <v>Business</v>
      </c>
      <c r="C263" s="1022" t="str">
        <f t="shared" si="158"/>
        <v/>
      </c>
      <c r="D263" s="1022" t="s">
        <v>687</v>
      </c>
      <c r="E263" s="1022"/>
      <c r="F263" s="1022"/>
      <c r="G263" s="1022"/>
      <c r="H263" s="1022"/>
      <c r="I263" s="1022"/>
      <c r="J263" s="1023" t="str">
        <f t="shared" si="159"/>
        <v>.</v>
      </c>
      <c r="K263" s="1012"/>
      <c r="L263" s="1024"/>
      <c r="M263" s="1024"/>
      <c r="N263" s="1024"/>
      <c r="O263" s="1024"/>
      <c r="P263" s="1024"/>
      <c r="Q263" s="1078"/>
      <c r="R263" s="76"/>
      <c r="S263" s="3"/>
      <c r="T263" s="1028">
        <f t="shared" si="155"/>
        <v>0</v>
      </c>
      <c r="U263" s="1029">
        <f t="shared" si="155"/>
        <v>0</v>
      </c>
      <c r="V263" s="1035"/>
      <c r="W263" s="3"/>
      <c r="X263" s="1043" t="str">
        <f t="shared" si="160"/>
        <v>.</v>
      </c>
      <c r="Y263" s="1044" t="str">
        <f t="shared" si="161"/>
        <v>.</v>
      </c>
      <c r="Z263" s="1044" t="str">
        <f t="shared" si="162"/>
        <v>.</v>
      </c>
      <c r="AA263" s="1044" t="str">
        <f t="shared" si="163"/>
        <v>.</v>
      </c>
      <c r="AB263" s="1044" t="str">
        <f t="shared" si="164"/>
        <v>.</v>
      </c>
      <c r="AC263" s="1044" t="str">
        <f t="shared" si="165"/>
        <v>.</v>
      </c>
      <c r="AD263" s="1045" t="str">
        <f t="shared" si="166"/>
        <v>.</v>
      </c>
      <c r="AE263" s="3"/>
      <c r="AF263" s="1145" t="str">
        <f t="shared" si="154"/>
        <v>.</v>
      </c>
      <c r="AG263" s="1146" t="str">
        <f t="shared" si="141"/>
        <v>.</v>
      </c>
      <c r="AH263" s="1146" t="str">
        <f t="shared" si="142"/>
        <v>.</v>
      </c>
      <c r="AI263" s="1146" t="str">
        <f t="shared" si="143"/>
        <v>.</v>
      </c>
      <c r="AJ263" s="1146" t="str">
        <f t="shared" si="144"/>
        <v>.</v>
      </c>
      <c r="AK263" s="1146" t="str">
        <f t="shared" si="145"/>
        <v>.</v>
      </c>
      <c r="AL263" s="1147" t="str">
        <f t="shared" si="146"/>
        <v>.</v>
      </c>
      <c r="AM263" s="3"/>
      <c r="AN263" s="1043" t="str">
        <f>IF(X263=".",".",SUM($X263:X263))</f>
        <v>.</v>
      </c>
      <c r="AO263" s="1044" t="str">
        <f>IF(Y263=".",".",SUM($X263:Y263))</f>
        <v>.</v>
      </c>
      <c r="AP263" s="1044" t="str">
        <f>IF(Z263=".",".",SUM($X263:Z263))</f>
        <v>.</v>
      </c>
      <c r="AQ263" s="1044" t="str">
        <f>IF(AA263=".",".",SUM($X263:AA263))</f>
        <v>.</v>
      </c>
      <c r="AR263" s="1044" t="str">
        <f>IF(AB263=".",".",SUM($X263:AB263))</f>
        <v>.</v>
      </c>
      <c r="AS263" s="1044" t="str">
        <f>IF(AC263=".",".",SUM($X263:AC263))</f>
        <v>.</v>
      </c>
      <c r="AT263" s="1045" t="str">
        <f>IF(AD263=".",".",SUM($X263:AD263))</f>
        <v>.</v>
      </c>
      <c r="AU263" s="3"/>
      <c r="AV263" s="1145" t="str">
        <f t="shared" si="153"/>
        <v>.</v>
      </c>
      <c r="AW263" s="1146" t="str">
        <f t="shared" si="147"/>
        <v>.</v>
      </c>
      <c r="AX263" s="1146" t="str">
        <f t="shared" si="148"/>
        <v>.</v>
      </c>
      <c r="AY263" s="1146" t="str">
        <f t="shared" si="149"/>
        <v>.</v>
      </c>
      <c r="AZ263" s="1146" t="str">
        <f t="shared" si="150"/>
        <v>.</v>
      </c>
      <c r="BA263" s="1146" t="str">
        <f t="shared" si="151"/>
        <v>.</v>
      </c>
      <c r="BB263" s="1147" t="str">
        <f t="shared" si="152"/>
        <v>.</v>
      </c>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row>
    <row r="264" spans="1:92" x14ac:dyDescent="0.2">
      <c r="A264" s="620"/>
      <c r="B264" s="1077" t="str">
        <f t="shared" si="158"/>
        <v>Business</v>
      </c>
      <c r="C264" s="1022" t="str">
        <f t="shared" si="158"/>
        <v/>
      </c>
      <c r="D264" s="1022" t="s">
        <v>687</v>
      </c>
      <c r="E264" s="1022"/>
      <c r="F264" s="1022"/>
      <c r="G264" s="1022"/>
      <c r="H264" s="1022"/>
      <c r="I264" s="1022"/>
      <c r="J264" s="1023" t="str">
        <f t="shared" si="159"/>
        <v>.</v>
      </c>
      <c r="K264" s="1012"/>
      <c r="L264" s="1024"/>
      <c r="M264" s="1024"/>
      <c r="N264" s="1024"/>
      <c r="O264" s="1024"/>
      <c r="P264" s="1024"/>
      <c r="Q264" s="1078"/>
      <c r="R264" s="76"/>
      <c r="S264" s="3"/>
      <c r="T264" s="1028">
        <f t="shared" ref="T264:U283" si="167">T140</f>
        <v>0</v>
      </c>
      <c r="U264" s="1029">
        <f t="shared" si="167"/>
        <v>0</v>
      </c>
      <c r="V264" s="1035"/>
      <c r="W264" s="3"/>
      <c r="X264" s="1043" t="str">
        <f t="shared" si="160"/>
        <v>.</v>
      </c>
      <c r="Y264" s="1044" t="str">
        <f t="shared" si="161"/>
        <v>.</v>
      </c>
      <c r="Z264" s="1044" t="str">
        <f t="shared" si="162"/>
        <v>.</v>
      </c>
      <c r="AA264" s="1044" t="str">
        <f t="shared" si="163"/>
        <v>.</v>
      </c>
      <c r="AB264" s="1044" t="str">
        <f t="shared" si="164"/>
        <v>.</v>
      </c>
      <c r="AC264" s="1044" t="str">
        <f t="shared" si="165"/>
        <v>.</v>
      </c>
      <c r="AD264" s="1045" t="str">
        <f t="shared" si="166"/>
        <v>.</v>
      </c>
      <c r="AE264" s="3"/>
      <c r="AF264" s="1145" t="str">
        <f t="shared" si="154"/>
        <v>.</v>
      </c>
      <c r="AG264" s="1146" t="str">
        <f t="shared" si="141"/>
        <v>.</v>
      </c>
      <c r="AH264" s="1146" t="str">
        <f t="shared" si="142"/>
        <v>.</v>
      </c>
      <c r="AI264" s="1146" t="str">
        <f t="shared" si="143"/>
        <v>.</v>
      </c>
      <c r="AJ264" s="1146" t="str">
        <f t="shared" si="144"/>
        <v>.</v>
      </c>
      <c r="AK264" s="1146" t="str">
        <f t="shared" si="145"/>
        <v>.</v>
      </c>
      <c r="AL264" s="1147" t="str">
        <f t="shared" si="146"/>
        <v>.</v>
      </c>
      <c r="AM264" s="3"/>
      <c r="AN264" s="1043" t="str">
        <f>IF(X264=".",".",SUM($X264:X264))</f>
        <v>.</v>
      </c>
      <c r="AO264" s="1044" t="str">
        <f>IF(Y264=".",".",SUM($X264:Y264))</f>
        <v>.</v>
      </c>
      <c r="AP264" s="1044" t="str">
        <f>IF(Z264=".",".",SUM($X264:Z264))</f>
        <v>.</v>
      </c>
      <c r="AQ264" s="1044" t="str">
        <f>IF(AA264=".",".",SUM($X264:AA264))</f>
        <v>.</v>
      </c>
      <c r="AR264" s="1044" t="str">
        <f>IF(AB264=".",".",SUM($X264:AB264))</f>
        <v>.</v>
      </c>
      <c r="AS264" s="1044" t="str">
        <f>IF(AC264=".",".",SUM($X264:AC264))</f>
        <v>.</v>
      </c>
      <c r="AT264" s="1045" t="str">
        <f>IF(AD264=".",".",SUM($X264:AD264))</f>
        <v>.</v>
      </c>
      <c r="AU264" s="3"/>
      <c r="AV264" s="1145" t="str">
        <f t="shared" si="153"/>
        <v>.</v>
      </c>
      <c r="AW264" s="1146" t="str">
        <f t="shared" si="147"/>
        <v>.</v>
      </c>
      <c r="AX264" s="1146" t="str">
        <f t="shared" si="148"/>
        <v>.</v>
      </c>
      <c r="AY264" s="1146" t="str">
        <f t="shared" si="149"/>
        <v>.</v>
      </c>
      <c r="AZ264" s="1146" t="str">
        <f t="shared" si="150"/>
        <v>.</v>
      </c>
      <c r="BA264" s="1146" t="str">
        <f t="shared" si="151"/>
        <v>.</v>
      </c>
      <c r="BB264" s="1147" t="str">
        <f t="shared" si="152"/>
        <v>.</v>
      </c>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row>
    <row r="265" spans="1:92" x14ac:dyDescent="0.2">
      <c r="A265" s="620"/>
      <c r="B265" s="1077" t="str">
        <f t="shared" si="158"/>
        <v>Business</v>
      </c>
      <c r="C265" s="1022" t="str">
        <f t="shared" si="158"/>
        <v/>
      </c>
      <c r="D265" s="1022" t="s">
        <v>687</v>
      </c>
      <c r="E265" s="1022"/>
      <c r="F265" s="1022"/>
      <c r="G265" s="1022"/>
      <c r="H265" s="1022"/>
      <c r="I265" s="1022"/>
      <c r="J265" s="1023" t="str">
        <f t="shared" si="159"/>
        <v>.</v>
      </c>
      <c r="K265" s="1012"/>
      <c r="L265" s="1024"/>
      <c r="M265" s="1024"/>
      <c r="N265" s="1024"/>
      <c r="O265" s="1024"/>
      <c r="P265" s="1024"/>
      <c r="Q265" s="1078"/>
      <c r="R265" s="76"/>
      <c r="S265" s="3"/>
      <c r="T265" s="1028">
        <f t="shared" si="167"/>
        <v>0</v>
      </c>
      <c r="U265" s="1029">
        <f t="shared" si="167"/>
        <v>0</v>
      </c>
      <c r="V265" s="1035"/>
      <c r="W265" s="3"/>
      <c r="X265" s="1043" t="str">
        <f t="shared" si="160"/>
        <v>.</v>
      </c>
      <c r="Y265" s="1044" t="str">
        <f t="shared" si="161"/>
        <v>.</v>
      </c>
      <c r="Z265" s="1044" t="str">
        <f t="shared" si="162"/>
        <v>.</v>
      </c>
      <c r="AA265" s="1044" t="str">
        <f t="shared" si="163"/>
        <v>.</v>
      </c>
      <c r="AB265" s="1044" t="str">
        <f t="shared" si="164"/>
        <v>.</v>
      </c>
      <c r="AC265" s="1044" t="str">
        <f t="shared" si="165"/>
        <v>.</v>
      </c>
      <c r="AD265" s="1045" t="str">
        <f t="shared" si="166"/>
        <v>.</v>
      </c>
      <c r="AE265" s="3"/>
      <c r="AF265" s="1145" t="str">
        <f t="shared" si="154"/>
        <v>.</v>
      </c>
      <c r="AG265" s="1146" t="str">
        <f t="shared" si="141"/>
        <v>.</v>
      </c>
      <c r="AH265" s="1146" t="str">
        <f t="shared" si="142"/>
        <v>.</v>
      </c>
      <c r="AI265" s="1146" t="str">
        <f t="shared" si="143"/>
        <v>.</v>
      </c>
      <c r="AJ265" s="1146" t="str">
        <f t="shared" si="144"/>
        <v>.</v>
      </c>
      <c r="AK265" s="1146" t="str">
        <f t="shared" si="145"/>
        <v>.</v>
      </c>
      <c r="AL265" s="1147" t="str">
        <f t="shared" si="146"/>
        <v>.</v>
      </c>
      <c r="AM265" s="3"/>
      <c r="AN265" s="1043" t="str">
        <f>IF(X265=".",".",SUM($X265:X265))</f>
        <v>.</v>
      </c>
      <c r="AO265" s="1044" t="str">
        <f>IF(Y265=".",".",SUM($X265:Y265))</f>
        <v>.</v>
      </c>
      <c r="AP265" s="1044" t="str">
        <f>IF(Z265=".",".",SUM($X265:Z265))</f>
        <v>.</v>
      </c>
      <c r="AQ265" s="1044" t="str">
        <f>IF(AA265=".",".",SUM($X265:AA265))</f>
        <v>.</v>
      </c>
      <c r="AR265" s="1044" t="str">
        <f>IF(AB265=".",".",SUM($X265:AB265))</f>
        <v>.</v>
      </c>
      <c r="AS265" s="1044" t="str">
        <f>IF(AC265=".",".",SUM($X265:AC265))</f>
        <v>.</v>
      </c>
      <c r="AT265" s="1045" t="str">
        <f>IF(AD265=".",".",SUM($X265:AD265))</f>
        <v>.</v>
      </c>
      <c r="AU265" s="3"/>
      <c r="AV265" s="1145" t="str">
        <f t="shared" si="153"/>
        <v>.</v>
      </c>
      <c r="AW265" s="1146" t="str">
        <f t="shared" si="147"/>
        <v>.</v>
      </c>
      <c r="AX265" s="1146" t="str">
        <f t="shared" si="148"/>
        <v>.</v>
      </c>
      <c r="AY265" s="1146" t="str">
        <f t="shared" si="149"/>
        <v>.</v>
      </c>
      <c r="AZ265" s="1146" t="str">
        <f t="shared" si="150"/>
        <v>.</v>
      </c>
      <c r="BA265" s="1146" t="str">
        <f t="shared" si="151"/>
        <v>.</v>
      </c>
      <c r="BB265" s="1147" t="str">
        <f t="shared" si="152"/>
        <v>.</v>
      </c>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row>
    <row r="266" spans="1:92" x14ac:dyDescent="0.2">
      <c r="A266" s="620"/>
      <c r="B266" s="1077" t="str">
        <f t="shared" si="158"/>
        <v>Business</v>
      </c>
      <c r="C266" s="1022" t="str">
        <f t="shared" si="158"/>
        <v/>
      </c>
      <c r="D266" s="1022" t="s">
        <v>687</v>
      </c>
      <c r="E266" s="1022"/>
      <c r="F266" s="1022"/>
      <c r="G266" s="1022"/>
      <c r="H266" s="1022"/>
      <c r="I266" s="1022"/>
      <c r="J266" s="1023" t="str">
        <f t="shared" si="159"/>
        <v>.</v>
      </c>
      <c r="K266" s="1012"/>
      <c r="L266" s="1024"/>
      <c r="M266" s="1024"/>
      <c r="N266" s="1024"/>
      <c r="O266" s="1024"/>
      <c r="P266" s="1024"/>
      <c r="Q266" s="1078"/>
      <c r="R266" s="76"/>
      <c r="S266" s="3"/>
      <c r="T266" s="1028">
        <f t="shared" si="167"/>
        <v>0</v>
      </c>
      <c r="U266" s="1029">
        <f t="shared" si="167"/>
        <v>0</v>
      </c>
      <c r="V266" s="1035"/>
      <c r="W266" s="3"/>
      <c r="X266" s="1043" t="str">
        <f t="shared" si="160"/>
        <v>.</v>
      </c>
      <c r="Y266" s="1044" t="str">
        <f t="shared" si="161"/>
        <v>.</v>
      </c>
      <c r="Z266" s="1044" t="str">
        <f t="shared" si="162"/>
        <v>.</v>
      </c>
      <c r="AA266" s="1044" t="str">
        <f t="shared" si="163"/>
        <v>.</v>
      </c>
      <c r="AB266" s="1044" t="str">
        <f t="shared" si="164"/>
        <v>.</v>
      </c>
      <c r="AC266" s="1044" t="str">
        <f t="shared" si="165"/>
        <v>.</v>
      </c>
      <c r="AD266" s="1045" t="str">
        <f t="shared" si="166"/>
        <v>.</v>
      </c>
      <c r="AE266" s="3"/>
      <c r="AF266" s="1145" t="str">
        <f t="shared" si="154"/>
        <v>.</v>
      </c>
      <c r="AG266" s="1146" t="str">
        <f t="shared" si="141"/>
        <v>.</v>
      </c>
      <c r="AH266" s="1146" t="str">
        <f t="shared" si="142"/>
        <v>.</v>
      </c>
      <c r="AI266" s="1146" t="str">
        <f t="shared" si="143"/>
        <v>.</v>
      </c>
      <c r="AJ266" s="1146" t="str">
        <f t="shared" si="144"/>
        <v>.</v>
      </c>
      <c r="AK266" s="1146" t="str">
        <f t="shared" si="145"/>
        <v>.</v>
      </c>
      <c r="AL266" s="1147" t="str">
        <f t="shared" si="146"/>
        <v>.</v>
      </c>
      <c r="AM266" s="3"/>
      <c r="AN266" s="1043" t="str">
        <f>IF(X266=".",".",SUM($X266:X266))</f>
        <v>.</v>
      </c>
      <c r="AO266" s="1044" t="str">
        <f>IF(Y266=".",".",SUM($X266:Y266))</f>
        <v>.</v>
      </c>
      <c r="AP266" s="1044" t="str">
        <f>IF(Z266=".",".",SUM($X266:Z266))</f>
        <v>.</v>
      </c>
      <c r="AQ266" s="1044" t="str">
        <f>IF(AA266=".",".",SUM($X266:AA266))</f>
        <v>.</v>
      </c>
      <c r="AR266" s="1044" t="str">
        <f>IF(AB266=".",".",SUM($X266:AB266))</f>
        <v>.</v>
      </c>
      <c r="AS266" s="1044" t="str">
        <f>IF(AC266=".",".",SUM($X266:AC266))</f>
        <v>.</v>
      </c>
      <c r="AT266" s="1045" t="str">
        <f>IF(AD266=".",".",SUM($X266:AD266))</f>
        <v>.</v>
      </c>
      <c r="AU266" s="3"/>
      <c r="AV266" s="1145" t="str">
        <f t="shared" si="153"/>
        <v>.</v>
      </c>
      <c r="AW266" s="1146" t="str">
        <f t="shared" si="147"/>
        <v>.</v>
      </c>
      <c r="AX266" s="1146" t="str">
        <f t="shared" si="148"/>
        <v>.</v>
      </c>
      <c r="AY266" s="1146" t="str">
        <f t="shared" si="149"/>
        <v>.</v>
      </c>
      <c r="AZ266" s="1146" t="str">
        <f t="shared" si="150"/>
        <v>.</v>
      </c>
      <c r="BA266" s="1146" t="str">
        <f t="shared" si="151"/>
        <v>.</v>
      </c>
      <c r="BB266" s="1147" t="str">
        <f t="shared" si="152"/>
        <v>.</v>
      </c>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row>
    <row r="267" spans="1:92" x14ac:dyDescent="0.2">
      <c r="A267" s="620"/>
      <c r="B267" s="1077" t="str">
        <f t="shared" si="158"/>
        <v>Business</v>
      </c>
      <c r="C267" s="1022" t="str">
        <f t="shared" si="158"/>
        <v/>
      </c>
      <c r="D267" s="1022" t="s">
        <v>687</v>
      </c>
      <c r="E267" s="1022"/>
      <c r="F267" s="1022"/>
      <c r="G267" s="1022"/>
      <c r="H267" s="1022"/>
      <c r="I267" s="1022"/>
      <c r="J267" s="1023" t="str">
        <f t="shared" si="159"/>
        <v>.</v>
      </c>
      <c r="K267" s="1012"/>
      <c r="L267" s="1024"/>
      <c r="M267" s="1024"/>
      <c r="N267" s="1024"/>
      <c r="O267" s="1024"/>
      <c r="P267" s="1024"/>
      <c r="Q267" s="1078"/>
      <c r="R267" s="76"/>
      <c r="S267" s="3"/>
      <c r="T267" s="1028">
        <f t="shared" si="167"/>
        <v>0</v>
      </c>
      <c r="U267" s="1029">
        <f t="shared" si="167"/>
        <v>0</v>
      </c>
      <c r="V267" s="1035"/>
      <c r="W267" s="3"/>
      <c r="X267" s="1043" t="str">
        <f t="shared" si="160"/>
        <v>.</v>
      </c>
      <c r="Y267" s="1044" t="str">
        <f t="shared" si="161"/>
        <v>.</v>
      </c>
      <c r="Z267" s="1044" t="str">
        <f t="shared" si="162"/>
        <v>.</v>
      </c>
      <c r="AA267" s="1044" t="str">
        <f t="shared" si="163"/>
        <v>.</v>
      </c>
      <c r="AB267" s="1044" t="str">
        <f t="shared" si="164"/>
        <v>.</v>
      </c>
      <c r="AC267" s="1044" t="str">
        <f t="shared" si="165"/>
        <v>.</v>
      </c>
      <c r="AD267" s="1045" t="str">
        <f t="shared" si="166"/>
        <v>.</v>
      </c>
      <c r="AE267" s="3"/>
      <c r="AF267" s="1145" t="str">
        <f t="shared" si="154"/>
        <v>.</v>
      </c>
      <c r="AG267" s="1146" t="str">
        <f t="shared" si="141"/>
        <v>.</v>
      </c>
      <c r="AH267" s="1146" t="str">
        <f t="shared" si="142"/>
        <v>.</v>
      </c>
      <c r="AI267" s="1146" t="str">
        <f t="shared" si="143"/>
        <v>.</v>
      </c>
      <c r="AJ267" s="1146" t="str">
        <f t="shared" si="144"/>
        <v>.</v>
      </c>
      <c r="AK267" s="1146" t="str">
        <f t="shared" si="145"/>
        <v>.</v>
      </c>
      <c r="AL267" s="1147" t="str">
        <f t="shared" si="146"/>
        <v>.</v>
      </c>
      <c r="AM267" s="3"/>
      <c r="AN267" s="1043" t="str">
        <f>IF(X267=".",".",SUM($X267:X267))</f>
        <v>.</v>
      </c>
      <c r="AO267" s="1044" t="str">
        <f>IF(Y267=".",".",SUM($X267:Y267))</f>
        <v>.</v>
      </c>
      <c r="AP267" s="1044" t="str">
        <f>IF(Z267=".",".",SUM($X267:Z267))</f>
        <v>.</v>
      </c>
      <c r="AQ267" s="1044" t="str">
        <f>IF(AA267=".",".",SUM($X267:AA267))</f>
        <v>.</v>
      </c>
      <c r="AR267" s="1044" t="str">
        <f>IF(AB267=".",".",SUM($X267:AB267))</f>
        <v>.</v>
      </c>
      <c r="AS267" s="1044" t="str">
        <f>IF(AC267=".",".",SUM($X267:AC267))</f>
        <v>.</v>
      </c>
      <c r="AT267" s="1045" t="str">
        <f>IF(AD267=".",".",SUM($X267:AD267))</f>
        <v>.</v>
      </c>
      <c r="AU267" s="3"/>
      <c r="AV267" s="1145" t="str">
        <f t="shared" si="153"/>
        <v>.</v>
      </c>
      <c r="AW267" s="1146" t="str">
        <f t="shared" si="147"/>
        <v>.</v>
      </c>
      <c r="AX267" s="1146" t="str">
        <f t="shared" si="148"/>
        <v>.</v>
      </c>
      <c r="AY267" s="1146" t="str">
        <f t="shared" si="149"/>
        <v>.</v>
      </c>
      <c r="AZ267" s="1146" t="str">
        <f t="shared" si="150"/>
        <v>.</v>
      </c>
      <c r="BA267" s="1146" t="str">
        <f t="shared" si="151"/>
        <v>.</v>
      </c>
      <c r="BB267" s="1147" t="str">
        <f t="shared" si="152"/>
        <v>.</v>
      </c>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row>
    <row r="268" spans="1:92" x14ac:dyDescent="0.2">
      <c r="A268" s="620"/>
      <c r="B268" s="1077" t="str">
        <f t="shared" si="158"/>
        <v>Business</v>
      </c>
      <c r="C268" s="1022" t="str">
        <f t="shared" si="158"/>
        <v/>
      </c>
      <c r="D268" s="1022" t="s">
        <v>687</v>
      </c>
      <c r="E268" s="1022"/>
      <c r="F268" s="1022"/>
      <c r="G268" s="1022"/>
      <c r="H268" s="1022"/>
      <c r="I268" s="1022"/>
      <c r="J268" s="1023" t="str">
        <f t="shared" si="159"/>
        <v>.</v>
      </c>
      <c r="K268" s="1012"/>
      <c r="L268" s="1024"/>
      <c r="M268" s="1024"/>
      <c r="N268" s="1024"/>
      <c r="O268" s="1024"/>
      <c r="P268" s="1024"/>
      <c r="Q268" s="1078"/>
      <c r="R268" s="76"/>
      <c r="S268" s="3"/>
      <c r="T268" s="1028">
        <f t="shared" si="167"/>
        <v>0</v>
      </c>
      <c r="U268" s="1029">
        <f t="shared" si="167"/>
        <v>0</v>
      </c>
      <c r="V268" s="1035"/>
      <c r="W268" s="3"/>
      <c r="X268" s="1043" t="str">
        <f t="shared" si="160"/>
        <v>.</v>
      </c>
      <c r="Y268" s="1044" t="str">
        <f t="shared" si="161"/>
        <v>.</v>
      </c>
      <c r="Z268" s="1044" t="str">
        <f t="shared" si="162"/>
        <v>.</v>
      </c>
      <c r="AA268" s="1044" t="str">
        <f t="shared" si="163"/>
        <v>.</v>
      </c>
      <c r="AB268" s="1044" t="str">
        <f t="shared" si="164"/>
        <v>.</v>
      </c>
      <c r="AC268" s="1044" t="str">
        <f t="shared" si="165"/>
        <v>.</v>
      </c>
      <c r="AD268" s="1045" t="str">
        <f t="shared" si="166"/>
        <v>.</v>
      </c>
      <c r="AE268" s="3"/>
      <c r="AF268" s="1145" t="str">
        <f t="shared" si="154"/>
        <v>.</v>
      </c>
      <c r="AG268" s="1146" t="str">
        <f t="shared" si="141"/>
        <v>.</v>
      </c>
      <c r="AH268" s="1146" t="str">
        <f t="shared" si="142"/>
        <v>.</v>
      </c>
      <c r="AI268" s="1146" t="str">
        <f t="shared" si="143"/>
        <v>.</v>
      </c>
      <c r="AJ268" s="1146" t="str">
        <f t="shared" si="144"/>
        <v>.</v>
      </c>
      <c r="AK268" s="1146" t="str">
        <f t="shared" si="145"/>
        <v>.</v>
      </c>
      <c r="AL268" s="1147" t="str">
        <f t="shared" si="146"/>
        <v>.</v>
      </c>
      <c r="AM268" s="3"/>
      <c r="AN268" s="1043" t="str">
        <f>IF(X268=".",".",SUM($X268:X268))</f>
        <v>.</v>
      </c>
      <c r="AO268" s="1044" t="str">
        <f>IF(Y268=".",".",SUM($X268:Y268))</f>
        <v>.</v>
      </c>
      <c r="AP268" s="1044" t="str">
        <f>IF(Z268=".",".",SUM($X268:Z268))</f>
        <v>.</v>
      </c>
      <c r="AQ268" s="1044" t="str">
        <f>IF(AA268=".",".",SUM($X268:AA268))</f>
        <v>.</v>
      </c>
      <c r="AR268" s="1044" t="str">
        <f>IF(AB268=".",".",SUM($X268:AB268))</f>
        <v>.</v>
      </c>
      <c r="AS268" s="1044" t="str">
        <f>IF(AC268=".",".",SUM($X268:AC268))</f>
        <v>.</v>
      </c>
      <c r="AT268" s="1045" t="str">
        <f>IF(AD268=".",".",SUM($X268:AD268))</f>
        <v>.</v>
      </c>
      <c r="AU268" s="3"/>
      <c r="AV268" s="1145" t="str">
        <f t="shared" si="153"/>
        <v>.</v>
      </c>
      <c r="AW268" s="1146" t="str">
        <f t="shared" si="147"/>
        <v>.</v>
      </c>
      <c r="AX268" s="1146" t="str">
        <f t="shared" si="148"/>
        <v>.</v>
      </c>
      <c r="AY268" s="1146" t="str">
        <f t="shared" si="149"/>
        <v>.</v>
      </c>
      <c r="AZ268" s="1146" t="str">
        <f t="shared" si="150"/>
        <v>.</v>
      </c>
      <c r="BA268" s="1146" t="str">
        <f t="shared" si="151"/>
        <v>.</v>
      </c>
      <c r="BB268" s="1147" t="str">
        <f t="shared" si="152"/>
        <v>.</v>
      </c>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row>
    <row r="269" spans="1:92" x14ac:dyDescent="0.2">
      <c r="A269" s="620"/>
      <c r="B269" s="1077" t="str">
        <f t="shared" si="158"/>
        <v>Business</v>
      </c>
      <c r="C269" s="1022" t="str">
        <f t="shared" si="158"/>
        <v/>
      </c>
      <c r="D269" s="1022" t="s">
        <v>687</v>
      </c>
      <c r="E269" s="1022"/>
      <c r="F269" s="1022"/>
      <c r="G269" s="1022"/>
      <c r="H269" s="1022"/>
      <c r="I269" s="1022"/>
      <c r="J269" s="1023" t="str">
        <f t="shared" si="159"/>
        <v>.</v>
      </c>
      <c r="K269" s="1012"/>
      <c r="L269" s="1024"/>
      <c r="M269" s="1024"/>
      <c r="N269" s="1024"/>
      <c r="O269" s="1024"/>
      <c r="P269" s="1024"/>
      <c r="Q269" s="1078"/>
      <c r="R269" s="76"/>
      <c r="S269" s="3"/>
      <c r="T269" s="1028">
        <f t="shared" si="167"/>
        <v>0</v>
      </c>
      <c r="U269" s="1029">
        <f t="shared" si="167"/>
        <v>0</v>
      </c>
      <c r="V269" s="1035"/>
      <c r="W269" s="3"/>
      <c r="X269" s="1043" t="str">
        <f t="shared" si="160"/>
        <v>.</v>
      </c>
      <c r="Y269" s="1044" t="str">
        <f t="shared" si="161"/>
        <v>.</v>
      </c>
      <c r="Z269" s="1044" t="str">
        <f t="shared" si="162"/>
        <v>.</v>
      </c>
      <c r="AA269" s="1044" t="str">
        <f t="shared" si="163"/>
        <v>.</v>
      </c>
      <c r="AB269" s="1044" t="str">
        <f t="shared" si="164"/>
        <v>.</v>
      </c>
      <c r="AC269" s="1044" t="str">
        <f t="shared" si="165"/>
        <v>.</v>
      </c>
      <c r="AD269" s="1045" t="str">
        <f t="shared" si="166"/>
        <v>.</v>
      </c>
      <c r="AE269" s="3"/>
      <c r="AF269" s="1145" t="str">
        <f t="shared" si="154"/>
        <v>.</v>
      </c>
      <c r="AG269" s="1146" t="str">
        <f t="shared" si="141"/>
        <v>.</v>
      </c>
      <c r="AH269" s="1146" t="str">
        <f t="shared" si="142"/>
        <v>.</v>
      </c>
      <c r="AI269" s="1146" t="str">
        <f t="shared" si="143"/>
        <v>.</v>
      </c>
      <c r="AJ269" s="1146" t="str">
        <f t="shared" si="144"/>
        <v>.</v>
      </c>
      <c r="AK269" s="1146" t="str">
        <f t="shared" si="145"/>
        <v>.</v>
      </c>
      <c r="AL269" s="1147" t="str">
        <f t="shared" si="146"/>
        <v>.</v>
      </c>
      <c r="AM269" s="3"/>
      <c r="AN269" s="1043" t="str">
        <f>IF(X269=".",".",SUM($X269:X269))</f>
        <v>.</v>
      </c>
      <c r="AO269" s="1044" t="str">
        <f>IF(Y269=".",".",SUM($X269:Y269))</f>
        <v>.</v>
      </c>
      <c r="AP269" s="1044" t="str">
        <f>IF(Z269=".",".",SUM($X269:Z269))</f>
        <v>.</v>
      </c>
      <c r="AQ269" s="1044" t="str">
        <f>IF(AA269=".",".",SUM($X269:AA269))</f>
        <v>.</v>
      </c>
      <c r="AR269" s="1044" t="str">
        <f>IF(AB269=".",".",SUM($X269:AB269))</f>
        <v>.</v>
      </c>
      <c r="AS269" s="1044" t="str">
        <f>IF(AC269=".",".",SUM($X269:AC269))</f>
        <v>.</v>
      </c>
      <c r="AT269" s="1045" t="str">
        <f>IF(AD269=".",".",SUM($X269:AD269))</f>
        <v>.</v>
      </c>
      <c r="AU269" s="3"/>
      <c r="AV269" s="1145" t="str">
        <f t="shared" si="153"/>
        <v>.</v>
      </c>
      <c r="AW269" s="1146" t="str">
        <f t="shared" si="147"/>
        <v>.</v>
      </c>
      <c r="AX269" s="1146" t="str">
        <f t="shared" si="148"/>
        <v>.</v>
      </c>
      <c r="AY269" s="1146" t="str">
        <f t="shared" si="149"/>
        <v>.</v>
      </c>
      <c r="AZ269" s="1146" t="str">
        <f t="shared" si="150"/>
        <v>.</v>
      </c>
      <c r="BA269" s="1146" t="str">
        <f t="shared" si="151"/>
        <v>.</v>
      </c>
      <c r="BB269" s="1147" t="str">
        <f t="shared" si="152"/>
        <v>.</v>
      </c>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row>
    <row r="270" spans="1:92" x14ac:dyDescent="0.2">
      <c r="A270" s="620"/>
      <c r="B270" s="1077" t="str">
        <f t="shared" si="158"/>
        <v>Business</v>
      </c>
      <c r="C270" s="1022" t="str">
        <f t="shared" si="158"/>
        <v/>
      </c>
      <c r="D270" s="1022" t="s">
        <v>687</v>
      </c>
      <c r="E270" s="1022"/>
      <c r="F270" s="1022"/>
      <c r="G270" s="1022"/>
      <c r="H270" s="1022"/>
      <c r="I270" s="1022"/>
      <c r="J270" s="1023" t="str">
        <f t="shared" si="159"/>
        <v>.</v>
      </c>
      <c r="K270" s="1012"/>
      <c r="L270" s="1024"/>
      <c r="M270" s="1024"/>
      <c r="N270" s="1024"/>
      <c r="O270" s="1024"/>
      <c r="P270" s="1024"/>
      <c r="Q270" s="1078"/>
      <c r="R270" s="76"/>
      <c r="S270" s="3"/>
      <c r="T270" s="1028">
        <f t="shared" si="167"/>
        <v>0</v>
      </c>
      <c r="U270" s="1029">
        <f t="shared" si="167"/>
        <v>0</v>
      </c>
      <c r="V270" s="1035"/>
      <c r="W270" s="3"/>
      <c r="X270" s="1043" t="str">
        <f t="shared" si="160"/>
        <v>.</v>
      </c>
      <c r="Y270" s="1044" t="str">
        <f t="shared" si="161"/>
        <v>.</v>
      </c>
      <c r="Z270" s="1044" t="str">
        <f t="shared" si="162"/>
        <v>.</v>
      </c>
      <c r="AA270" s="1044" t="str">
        <f t="shared" si="163"/>
        <v>.</v>
      </c>
      <c r="AB270" s="1044" t="str">
        <f t="shared" si="164"/>
        <v>.</v>
      </c>
      <c r="AC270" s="1044" t="str">
        <f t="shared" si="165"/>
        <v>.</v>
      </c>
      <c r="AD270" s="1045" t="str">
        <f t="shared" si="166"/>
        <v>.</v>
      </c>
      <c r="AE270" s="3"/>
      <c r="AF270" s="1145" t="str">
        <f t="shared" si="154"/>
        <v>.</v>
      </c>
      <c r="AG270" s="1146" t="str">
        <f t="shared" si="141"/>
        <v>.</v>
      </c>
      <c r="AH270" s="1146" t="str">
        <f t="shared" si="142"/>
        <v>.</v>
      </c>
      <c r="AI270" s="1146" t="str">
        <f t="shared" si="143"/>
        <v>.</v>
      </c>
      <c r="AJ270" s="1146" t="str">
        <f t="shared" si="144"/>
        <v>.</v>
      </c>
      <c r="AK270" s="1146" t="str">
        <f t="shared" si="145"/>
        <v>.</v>
      </c>
      <c r="AL270" s="1147" t="str">
        <f t="shared" si="146"/>
        <v>.</v>
      </c>
      <c r="AM270" s="3"/>
      <c r="AN270" s="1043" t="str">
        <f>IF(X270=".",".",SUM($X270:X270))</f>
        <v>.</v>
      </c>
      <c r="AO270" s="1044" t="str">
        <f>IF(Y270=".",".",SUM($X270:Y270))</f>
        <v>.</v>
      </c>
      <c r="AP270" s="1044" t="str">
        <f>IF(Z270=".",".",SUM($X270:Z270))</f>
        <v>.</v>
      </c>
      <c r="AQ270" s="1044" t="str">
        <f>IF(AA270=".",".",SUM($X270:AA270))</f>
        <v>.</v>
      </c>
      <c r="AR270" s="1044" t="str">
        <f>IF(AB270=".",".",SUM($X270:AB270))</f>
        <v>.</v>
      </c>
      <c r="AS270" s="1044" t="str">
        <f>IF(AC270=".",".",SUM($X270:AC270))</f>
        <v>.</v>
      </c>
      <c r="AT270" s="1045" t="str">
        <f>IF(AD270=".",".",SUM($X270:AD270))</f>
        <v>.</v>
      </c>
      <c r="AU270" s="3"/>
      <c r="AV270" s="1145" t="str">
        <f t="shared" si="153"/>
        <v>.</v>
      </c>
      <c r="AW270" s="1146" t="str">
        <f t="shared" si="147"/>
        <v>.</v>
      </c>
      <c r="AX270" s="1146" t="str">
        <f t="shared" si="148"/>
        <v>.</v>
      </c>
      <c r="AY270" s="1146" t="str">
        <f t="shared" si="149"/>
        <v>.</v>
      </c>
      <c r="AZ270" s="1146" t="str">
        <f t="shared" si="150"/>
        <v>.</v>
      </c>
      <c r="BA270" s="1146" t="str">
        <f t="shared" si="151"/>
        <v>.</v>
      </c>
      <c r="BB270" s="1147" t="str">
        <f t="shared" si="152"/>
        <v>.</v>
      </c>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row>
    <row r="271" spans="1:92" x14ac:dyDescent="0.2">
      <c r="A271" s="620"/>
      <c r="B271" s="1077" t="str">
        <f t="shared" si="158"/>
        <v>Business</v>
      </c>
      <c r="C271" s="1022" t="str">
        <f t="shared" si="158"/>
        <v/>
      </c>
      <c r="D271" s="1022" t="s">
        <v>687</v>
      </c>
      <c r="E271" s="1022"/>
      <c r="F271" s="1022"/>
      <c r="G271" s="1022"/>
      <c r="H271" s="1022"/>
      <c r="I271" s="1022"/>
      <c r="J271" s="1023" t="str">
        <f t="shared" si="159"/>
        <v>.</v>
      </c>
      <c r="K271" s="1012"/>
      <c r="L271" s="1024"/>
      <c r="M271" s="1024"/>
      <c r="N271" s="1024"/>
      <c r="O271" s="1024"/>
      <c r="P271" s="1024"/>
      <c r="Q271" s="1078"/>
      <c r="R271" s="76"/>
      <c r="S271" s="3"/>
      <c r="T271" s="1028">
        <f t="shared" si="167"/>
        <v>0</v>
      </c>
      <c r="U271" s="1029">
        <f t="shared" si="167"/>
        <v>0</v>
      </c>
      <c r="V271" s="1035"/>
      <c r="W271" s="3"/>
      <c r="X271" s="1043" t="str">
        <f t="shared" si="160"/>
        <v>.</v>
      </c>
      <c r="Y271" s="1044" t="str">
        <f t="shared" si="161"/>
        <v>.</v>
      </c>
      <c r="Z271" s="1044" t="str">
        <f t="shared" si="162"/>
        <v>.</v>
      </c>
      <c r="AA271" s="1044" t="str">
        <f t="shared" si="163"/>
        <v>.</v>
      </c>
      <c r="AB271" s="1044" t="str">
        <f t="shared" si="164"/>
        <v>.</v>
      </c>
      <c r="AC271" s="1044" t="str">
        <f t="shared" si="165"/>
        <v>.</v>
      </c>
      <c r="AD271" s="1045" t="str">
        <f t="shared" si="166"/>
        <v>.</v>
      </c>
      <c r="AE271" s="3"/>
      <c r="AF271" s="1145" t="str">
        <f t="shared" si="154"/>
        <v>.</v>
      </c>
      <c r="AG271" s="1146" t="str">
        <f t="shared" si="141"/>
        <v>.</v>
      </c>
      <c r="AH271" s="1146" t="str">
        <f t="shared" si="142"/>
        <v>.</v>
      </c>
      <c r="AI271" s="1146" t="str">
        <f t="shared" si="143"/>
        <v>.</v>
      </c>
      <c r="AJ271" s="1146" t="str">
        <f t="shared" si="144"/>
        <v>.</v>
      </c>
      <c r="AK271" s="1146" t="str">
        <f t="shared" si="145"/>
        <v>.</v>
      </c>
      <c r="AL271" s="1147" t="str">
        <f t="shared" si="146"/>
        <v>.</v>
      </c>
      <c r="AM271" s="3"/>
      <c r="AN271" s="1043" t="str">
        <f>IF(X271=".",".",SUM($X271:X271))</f>
        <v>.</v>
      </c>
      <c r="AO271" s="1044" t="str">
        <f>IF(Y271=".",".",SUM($X271:Y271))</f>
        <v>.</v>
      </c>
      <c r="AP271" s="1044" t="str">
        <f>IF(Z271=".",".",SUM($X271:Z271))</f>
        <v>.</v>
      </c>
      <c r="AQ271" s="1044" t="str">
        <f>IF(AA271=".",".",SUM($X271:AA271))</f>
        <v>.</v>
      </c>
      <c r="AR271" s="1044" t="str">
        <f>IF(AB271=".",".",SUM($X271:AB271))</f>
        <v>.</v>
      </c>
      <c r="AS271" s="1044" t="str">
        <f>IF(AC271=".",".",SUM($X271:AC271))</f>
        <v>.</v>
      </c>
      <c r="AT271" s="1045" t="str">
        <f>IF(AD271=".",".",SUM($X271:AD271))</f>
        <v>.</v>
      </c>
      <c r="AU271" s="3"/>
      <c r="AV271" s="1145" t="str">
        <f t="shared" si="153"/>
        <v>.</v>
      </c>
      <c r="AW271" s="1146" t="str">
        <f t="shared" si="147"/>
        <v>.</v>
      </c>
      <c r="AX271" s="1146" t="str">
        <f t="shared" si="148"/>
        <v>.</v>
      </c>
      <c r="AY271" s="1146" t="str">
        <f t="shared" si="149"/>
        <v>.</v>
      </c>
      <c r="AZ271" s="1146" t="str">
        <f t="shared" si="150"/>
        <v>.</v>
      </c>
      <c r="BA271" s="1146" t="str">
        <f t="shared" si="151"/>
        <v>.</v>
      </c>
      <c r="BB271" s="1147" t="str">
        <f t="shared" si="152"/>
        <v>.</v>
      </c>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row>
    <row r="272" spans="1:92" x14ac:dyDescent="0.2">
      <c r="A272" s="620"/>
      <c r="B272" s="1077" t="str">
        <f t="shared" si="158"/>
        <v>Business</v>
      </c>
      <c r="C272" s="1022" t="str">
        <f t="shared" si="158"/>
        <v/>
      </c>
      <c r="D272" s="1022" t="s">
        <v>687</v>
      </c>
      <c r="E272" s="1022"/>
      <c r="F272" s="1022"/>
      <c r="G272" s="1022"/>
      <c r="H272" s="1022"/>
      <c r="I272" s="1022"/>
      <c r="J272" s="1023" t="str">
        <f t="shared" si="159"/>
        <v>.</v>
      </c>
      <c r="K272" s="1012"/>
      <c r="L272" s="1024"/>
      <c r="M272" s="1024"/>
      <c r="N272" s="1024"/>
      <c r="O272" s="1024"/>
      <c r="P272" s="1024"/>
      <c r="Q272" s="1078"/>
      <c r="R272" s="76"/>
      <c r="S272" s="3"/>
      <c r="T272" s="1028">
        <f t="shared" si="167"/>
        <v>0</v>
      </c>
      <c r="U272" s="1029">
        <f t="shared" si="167"/>
        <v>0</v>
      </c>
      <c r="V272" s="1035"/>
      <c r="W272" s="3"/>
      <c r="X272" s="1043" t="str">
        <f t="shared" si="160"/>
        <v>.</v>
      </c>
      <c r="Y272" s="1044" t="str">
        <f t="shared" si="161"/>
        <v>.</v>
      </c>
      <c r="Z272" s="1044" t="str">
        <f t="shared" si="162"/>
        <v>.</v>
      </c>
      <c r="AA272" s="1044" t="str">
        <f t="shared" si="163"/>
        <v>.</v>
      </c>
      <c r="AB272" s="1044" t="str">
        <f t="shared" si="164"/>
        <v>.</v>
      </c>
      <c r="AC272" s="1044" t="str">
        <f t="shared" si="165"/>
        <v>.</v>
      </c>
      <c r="AD272" s="1045" t="str">
        <f t="shared" si="166"/>
        <v>.</v>
      </c>
      <c r="AE272" s="3"/>
      <c r="AF272" s="1145" t="str">
        <f t="shared" si="154"/>
        <v>.</v>
      </c>
      <c r="AG272" s="1146" t="str">
        <f t="shared" si="141"/>
        <v>.</v>
      </c>
      <c r="AH272" s="1146" t="str">
        <f t="shared" si="142"/>
        <v>.</v>
      </c>
      <c r="AI272" s="1146" t="str">
        <f t="shared" si="143"/>
        <v>.</v>
      </c>
      <c r="AJ272" s="1146" t="str">
        <f t="shared" si="144"/>
        <v>.</v>
      </c>
      <c r="AK272" s="1146" t="str">
        <f t="shared" si="145"/>
        <v>.</v>
      </c>
      <c r="AL272" s="1147" t="str">
        <f t="shared" si="146"/>
        <v>.</v>
      </c>
      <c r="AM272" s="3"/>
      <c r="AN272" s="1043" t="str">
        <f>IF(X272=".",".",SUM($X272:X272))</f>
        <v>.</v>
      </c>
      <c r="AO272" s="1044" t="str">
        <f>IF(Y272=".",".",SUM($X272:Y272))</f>
        <v>.</v>
      </c>
      <c r="AP272" s="1044" t="str">
        <f>IF(Z272=".",".",SUM($X272:Z272))</f>
        <v>.</v>
      </c>
      <c r="AQ272" s="1044" t="str">
        <f>IF(AA272=".",".",SUM($X272:AA272))</f>
        <v>.</v>
      </c>
      <c r="AR272" s="1044" t="str">
        <f>IF(AB272=".",".",SUM($X272:AB272))</f>
        <v>.</v>
      </c>
      <c r="AS272" s="1044" t="str">
        <f>IF(AC272=".",".",SUM($X272:AC272))</f>
        <v>.</v>
      </c>
      <c r="AT272" s="1045" t="str">
        <f>IF(AD272=".",".",SUM($X272:AD272))</f>
        <v>.</v>
      </c>
      <c r="AU272" s="3"/>
      <c r="AV272" s="1145" t="str">
        <f t="shared" si="153"/>
        <v>.</v>
      </c>
      <c r="AW272" s="1146" t="str">
        <f t="shared" si="147"/>
        <v>.</v>
      </c>
      <c r="AX272" s="1146" t="str">
        <f t="shared" si="148"/>
        <v>.</v>
      </c>
      <c r="AY272" s="1146" t="str">
        <f t="shared" si="149"/>
        <v>.</v>
      </c>
      <c r="AZ272" s="1146" t="str">
        <f t="shared" si="150"/>
        <v>.</v>
      </c>
      <c r="BA272" s="1146" t="str">
        <f t="shared" si="151"/>
        <v>.</v>
      </c>
      <c r="BB272" s="1147" t="str">
        <f t="shared" si="152"/>
        <v>.</v>
      </c>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row>
    <row r="273" spans="1:92" x14ac:dyDescent="0.2">
      <c r="A273" s="620"/>
      <c r="B273" s="1077" t="str">
        <f t="shared" si="158"/>
        <v>Business</v>
      </c>
      <c r="C273" s="1022" t="str">
        <f t="shared" si="158"/>
        <v/>
      </c>
      <c r="D273" s="1022" t="s">
        <v>687</v>
      </c>
      <c r="E273" s="1022"/>
      <c r="F273" s="1022"/>
      <c r="G273" s="1022"/>
      <c r="H273" s="1022"/>
      <c r="I273" s="1022"/>
      <c r="J273" s="1023" t="str">
        <f t="shared" si="159"/>
        <v>.</v>
      </c>
      <c r="K273" s="1012"/>
      <c r="L273" s="1024"/>
      <c r="M273" s="1024"/>
      <c r="N273" s="1024"/>
      <c r="O273" s="1024"/>
      <c r="P273" s="1024"/>
      <c r="Q273" s="1078"/>
      <c r="R273" s="76"/>
      <c r="S273" s="3"/>
      <c r="T273" s="1028">
        <f t="shared" si="167"/>
        <v>0</v>
      </c>
      <c r="U273" s="1029">
        <f t="shared" si="167"/>
        <v>0</v>
      </c>
      <c r="V273" s="1035"/>
      <c r="W273" s="3"/>
      <c r="X273" s="1043" t="str">
        <f t="shared" si="160"/>
        <v>.</v>
      </c>
      <c r="Y273" s="1044" t="str">
        <f t="shared" si="161"/>
        <v>.</v>
      </c>
      <c r="Z273" s="1044" t="str">
        <f t="shared" si="162"/>
        <v>.</v>
      </c>
      <c r="AA273" s="1044" t="str">
        <f t="shared" si="163"/>
        <v>.</v>
      </c>
      <c r="AB273" s="1044" t="str">
        <f t="shared" si="164"/>
        <v>.</v>
      </c>
      <c r="AC273" s="1044" t="str">
        <f t="shared" si="165"/>
        <v>.</v>
      </c>
      <c r="AD273" s="1045" t="str">
        <f t="shared" si="166"/>
        <v>.</v>
      </c>
      <c r="AE273" s="3"/>
      <c r="AF273" s="1145" t="str">
        <f t="shared" si="154"/>
        <v>.</v>
      </c>
      <c r="AG273" s="1146" t="str">
        <f t="shared" si="141"/>
        <v>.</v>
      </c>
      <c r="AH273" s="1146" t="str">
        <f t="shared" si="142"/>
        <v>.</v>
      </c>
      <c r="AI273" s="1146" t="str">
        <f t="shared" si="143"/>
        <v>.</v>
      </c>
      <c r="AJ273" s="1146" t="str">
        <f t="shared" si="144"/>
        <v>.</v>
      </c>
      <c r="AK273" s="1146" t="str">
        <f t="shared" si="145"/>
        <v>.</v>
      </c>
      <c r="AL273" s="1147" t="str">
        <f t="shared" si="146"/>
        <v>.</v>
      </c>
      <c r="AM273" s="3"/>
      <c r="AN273" s="1043" t="str">
        <f>IF(X273=".",".",SUM($X273:X273))</f>
        <v>.</v>
      </c>
      <c r="AO273" s="1044" t="str">
        <f>IF(Y273=".",".",SUM($X273:Y273))</f>
        <v>.</v>
      </c>
      <c r="AP273" s="1044" t="str">
        <f>IF(Z273=".",".",SUM($X273:Z273))</f>
        <v>.</v>
      </c>
      <c r="AQ273" s="1044" t="str">
        <f>IF(AA273=".",".",SUM($X273:AA273))</f>
        <v>.</v>
      </c>
      <c r="AR273" s="1044" t="str">
        <f>IF(AB273=".",".",SUM($X273:AB273))</f>
        <v>.</v>
      </c>
      <c r="AS273" s="1044" t="str">
        <f>IF(AC273=".",".",SUM($X273:AC273))</f>
        <v>.</v>
      </c>
      <c r="AT273" s="1045" t="str">
        <f>IF(AD273=".",".",SUM($X273:AD273))</f>
        <v>.</v>
      </c>
      <c r="AU273" s="3"/>
      <c r="AV273" s="1145" t="str">
        <f t="shared" si="153"/>
        <v>.</v>
      </c>
      <c r="AW273" s="1146" t="str">
        <f t="shared" si="147"/>
        <v>.</v>
      </c>
      <c r="AX273" s="1146" t="str">
        <f t="shared" si="148"/>
        <v>.</v>
      </c>
      <c r="AY273" s="1146" t="str">
        <f t="shared" si="149"/>
        <v>.</v>
      </c>
      <c r="AZ273" s="1146" t="str">
        <f t="shared" si="150"/>
        <v>.</v>
      </c>
      <c r="BA273" s="1146" t="str">
        <f t="shared" si="151"/>
        <v>.</v>
      </c>
      <c r="BB273" s="1147" t="str">
        <f t="shared" si="152"/>
        <v>.</v>
      </c>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row>
    <row r="274" spans="1:92" x14ac:dyDescent="0.2">
      <c r="A274" s="620"/>
      <c r="B274" s="1077" t="str">
        <f t="shared" si="158"/>
        <v>Business</v>
      </c>
      <c r="C274" s="1022" t="str">
        <f t="shared" si="158"/>
        <v/>
      </c>
      <c r="D274" s="1022" t="s">
        <v>687</v>
      </c>
      <c r="E274" s="1022"/>
      <c r="F274" s="1022"/>
      <c r="G274" s="1022"/>
      <c r="H274" s="1022"/>
      <c r="I274" s="1022"/>
      <c r="J274" s="1023" t="str">
        <f t="shared" si="159"/>
        <v>.</v>
      </c>
      <c r="K274" s="1012"/>
      <c r="L274" s="1024"/>
      <c r="M274" s="1024"/>
      <c r="N274" s="1024"/>
      <c r="O274" s="1024"/>
      <c r="P274" s="1024"/>
      <c r="Q274" s="1078"/>
      <c r="R274" s="76"/>
      <c r="S274" s="3"/>
      <c r="T274" s="1028">
        <f t="shared" si="167"/>
        <v>0</v>
      </c>
      <c r="U274" s="1029">
        <f t="shared" si="167"/>
        <v>0</v>
      </c>
      <c r="V274" s="1035"/>
      <c r="W274" s="3"/>
      <c r="X274" s="1043" t="str">
        <f t="shared" si="160"/>
        <v>.</v>
      </c>
      <c r="Y274" s="1044" t="str">
        <f t="shared" si="161"/>
        <v>.</v>
      </c>
      <c r="Z274" s="1044" t="str">
        <f t="shared" si="162"/>
        <v>.</v>
      </c>
      <c r="AA274" s="1044" t="str">
        <f t="shared" si="163"/>
        <v>.</v>
      </c>
      <c r="AB274" s="1044" t="str">
        <f t="shared" si="164"/>
        <v>.</v>
      </c>
      <c r="AC274" s="1044" t="str">
        <f t="shared" si="165"/>
        <v>.</v>
      </c>
      <c r="AD274" s="1045" t="str">
        <f t="shared" si="166"/>
        <v>.</v>
      </c>
      <c r="AE274" s="3"/>
      <c r="AF274" s="1145" t="str">
        <f t="shared" si="154"/>
        <v>.</v>
      </c>
      <c r="AG274" s="1146" t="str">
        <f t="shared" si="141"/>
        <v>.</v>
      </c>
      <c r="AH274" s="1146" t="str">
        <f t="shared" si="142"/>
        <v>.</v>
      </c>
      <c r="AI274" s="1146" t="str">
        <f t="shared" si="143"/>
        <v>.</v>
      </c>
      <c r="AJ274" s="1146" t="str">
        <f t="shared" si="144"/>
        <v>.</v>
      </c>
      <c r="AK274" s="1146" t="str">
        <f t="shared" si="145"/>
        <v>.</v>
      </c>
      <c r="AL274" s="1147" t="str">
        <f t="shared" si="146"/>
        <v>.</v>
      </c>
      <c r="AM274" s="3"/>
      <c r="AN274" s="1043" t="str">
        <f>IF(X274=".",".",SUM($X274:X274))</f>
        <v>.</v>
      </c>
      <c r="AO274" s="1044" t="str">
        <f>IF(Y274=".",".",SUM($X274:Y274))</f>
        <v>.</v>
      </c>
      <c r="AP274" s="1044" t="str">
        <f>IF(Z274=".",".",SUM($X274:Z274))</f>
        <v>.</v>
      </c>
      <c r="AQ274" s="1044" t="str">
        <f>IF(AA274=".",".",SUM($X274:AA274))</f>
        <v>.</v>
      </c>
      <c r="AR274" s="1044" t="str">
        <f>IF(AB274=".",".",SUM($X274:AB274))</f>
        <v>.</v>
      </c>
      <c r="AS274" s="1044" t="str">
        <f>IF(AC274=".",".",SUM($X274:AC274))</f>
        <v>.</v>
      </c>
      <c r="AT274" s="1045" t="str">
        <f>IF(AD274=".",".",SUM($X274:AD274))</f>
        <v>.</v>
      </c>
      <c r="AU274" s="3"/>
      <c r="AV274" s="1145" t="str">
        <f t="shared" si="153"/>
        <v>.</v>
      </c>
      <c r="AW274" s="1146" t="str">
        <f t="shared" si="147"/>
        <v>.</v>
      </c>
      <c r="AX274" s="1146" t="str">
        <f t="shared" si="148"/>
        <v>.</v>
      </c>
      <c r="AY274" s="1146" t="str">
        <f t="shared" si="149"/>
        <v>.</v>
      </c>
      <c r="AZ274" s="1146" t="str">
        <f t="shared" si="150"/>
        <v>.</v>
      </c>
      <c r="BA274" s="1146" t="str">
        <f t="shared" si="151"/>
        <v>.</v>
      </c>
      <c r="BB274" s="1147" t="str">
        <f t="shared" si="152"/>
        <v>.</v>
      </c>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row>
    <row r="275" spans="1:92" x14ac:dyDescent="0.2">
      <c r="A275" s="620"/>
      <c r="B275" s="1077" t="str">
        <f t="shared" si="158"/>
        <v>Business</v>
      </c>
      <c r="C275" s="1022" t="str">
        <f t="shared" si="158"/>
        <v/>
      </c>
      <c r="D275" s="1022" t="s">
        <v>687</v>
      </c>
      <c r="E275" s="1022"/>
      <c r="F275" s="1022"/>
      <c r="G275" s="1022"/>
      <c r="H275" s="1022"/>
      <c r="I275" s="1022"/>
      <c r="J275" s="1023" t="str">
        <f t="shared" si="159"/>
        <v>.</v>
      </c>
      <c r="K275" s="1012"/>
      <c r="L275" s="1024"/>
      <c r="M275" s="1024"/>
      <c r="N275" s="1024"/>
      <c r="O275" s="1024"/>
      <c r="P275" s="1024"/>
      <c r="Q275" s="1078"/>
      <c r="R275" s="76"/>
      <c r="S275" s="3"/>
      <c r="T275" s="1028">
        <f t="shared" si="167"/>
        <v>0</v>
      </c>
      <c r="U275" s="1029">
        <f t="shared" si="167"/>
        <v>0</v>
      </c>
      <c r="V275" s="1035"/>
      <c r="W275" s="3"/>
      <c r="X275" s="1043" t="str">
        <f t="shared" si="160"/>
        <v>.</v>
      </c>
      <c r="Y275" s="1044" t="str">
        <f t="shared" si="161"/>
        <v>.</v>
      </c>
      <c r="Z275" s="1044" t="str">
        <f t="shared" si="162"/>
        <v>.</v>
      </c>
      <c r="AA275" s="1044" t="str">
        <f t="shared" si="163"/>
        <v>.</v>
      </c>
      <c r="AB275" s="1044" t="str">
        <f t="shared" si="164"/>
        <v>.</v>
      </c>
      <c r="AC275" s="1044" t="str">
        <f t="shared" si="165"/>
        <v>.</v>
      </c>
      <c r="AD275" s="1045" t="str">
        <f t="shared" si="166"/>
        <v>.</v>
      </c>
      <c r="AE275" s="3"/>
      <c r="AF275" s="1145" t="str">
        <f t="shared" si="154"/>
        <v>.</v>
      </c>
      <c r="AG275" s="1146" t="str">
        <f t="shared" si="141"/>
        <v>.</v>
      </c>
      <c r="AH275" s="1146" t="str">
        <f t="shared" si="142"/>
        <v>.</v>
      </c>
      <c r="AI275" s="1146" t="str">
        <f t="shared" si="143"/>
        <v>.</v>
      </c>
      <c r="AJ275" s="1146" t="str">
        <f t="shared" si="144"/>
        <v>.</v>
      </c>
      <c r="AK275" s="1146" t="str">
        <f t="shared" si="145"/>
        <v>.</v>
      </c>
      <c r="AL275" s="1147" t="str">
        <f t="shared" si="146"/>
        <v>.</v>
      </c>
      <c r="AM275" s="3"/>
      <c r="AN275" s="1043" t="str">
        <f>IF(X275=".",".",SUM($X275:X275))</f>
        <v>.</v>
      </c>
      <c r="AO275" s="1044" t="str">
        <f>IF(Y275=".",".",SUM($X275:Y275))</f>
        <v>.</v>
      </c>
      <c r="AP275" s="1044" t="str">
        <f>IF(Z275=".",".",SUM($X275:Z275))</f>
        <v>.</v>
      </c>
      <c r="AQ275" s="1044" t="str">
        <f>IF(AA275=".",".",SUM($X275:AA275))</f>
        <v>.</v>
      </c>
      <c r="AR275" s="1044" t="str">
        <f>IF(AB275=".",".",SUM($X275:AB275))</f>
        <v>.</v>
      </c>
      <c r="AS275" s="1044" t="str">
        <f>IF(AC275=".",".",SUM($X275:AC275))</f>
        <v>.</v>
      </c>
      <c r="AT275" s="1045" t="str">
        <f>IF(AD275=".",".",SUM($X275:AD275))</f>
        <v>.</v>
      </c>
      <c r="AU275" s="3"/>
      <c r="AV275" s="1145" t="str">
        <f t="shared" si="153"/>
        <v>.</v>
      </c>
      <c r="AW275" s="1146" t="str">
        <f t="shared" si="147"/>
        <v>.</v>
      </c>
      <c r="AX275" s="1146" t="str">
        <f t="shared" si="148"/>
        <v>.</v>
      </c>
      <c r="AY275" s="1146" t="str">
        <f t="shared" si="149"/>
        <v>.</v>
      </c>
      <c r="AZ275" s="1146" t="str">
        <f t="shared" si="150"/>
        <v>.</v>
      </c>
      <c r="BA275" s="1146" t="str">
        <f t="shared" si="151"/>
        <v>.</v>
      </c>
      <c r="BB275" s="1147" t="str">
        <f t="shared" si="152"/>
        <v>.</v>
      </c>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row>
    <row r="276" spans="1:92" x14ac:dyDescent="0.2">
      <c r="A276" s="620"/>
      <c r="B276" s="1077" t="str">
        <f t="shared" ref="B276:C295" si="168">B152</f>
        <v>Business</v>
      </c>
      <c r="C276" s="1022" t="str">
        <f t="shared" si="168"/>
        <v/>
      </c>
      <c r="D276" s="1022" t="s">
        <v>687</v>
      </c>
      <c r="E276" s="1022"/>
      <c r="F276" s="1022"/>
      <c r="G276" s="1022"/>
      <c r="H276" s="1022"/>
      <c r="I276" s="1022"/>
      <c r="J276" s="1023" t="str">
        <f t="shared" si="159"/>
        <v>.</v>
      </c>
      <c r="K276" s="1012"/>
      <c r="L276" s="1024"/>
      <c r="M276" s="1024"/>
      <c r="N276" s="1024"/>
      <c r="O276" s="1024"/>
      <c r="P276" s="1024"/>
      <c r="Q276" s="1078"/>
      <c r="R276" s="76"/>
      <c r="S276" s="3"/>
      <c r="T276" s="1028">
        <f t="shared" si="167"/>
        <v>0</v>
      </c>
      <c r="U276" s="1029">
        <f t="shared" si="167"/>
        <v>0</v>
      </c>
      <c r="V276" s="1035"/>
      <c r="W276" s="3"/>
      <c r="X276" s="1043" t="str">
        <f t="shared" si="160"/>
        <v>.</v>
      </c>
      <c r="Y276" s="1044" t="str">
        <f t="shared" si="161"/>
        <v>.</v>
      </c>
      <c r="Z276" s="1044" t="str">
        <f t="shared" si="162"/>
        <v>.</v>
      </c>
      <c r="AA276" s="1044" t="str">
        <f t="shared" si="163"/>
        <v>.</v>
      </c>
      <c r="AB276" s="1044" t="str">
        <f t="shared" si="164"/>
        <v>.</v>
      </c>
      <c r="AC276" s="1044" t="str">
        <f t="shared" si="165"/>
        <v>.</v>
      </c>
      <c r="AD276" s="1045" t="str">
        <f t="shared" si="166"/>
        <v>.</v>
      </c>
      <c r="AE276" s="3"/>
      <c r="AF276" s="1145" t="str">
        <f t="shared" si="154"/>
        <v>.</v>
      </c>
      <c r="AG276" s="1146" t="str">
        <f t="shared" si="141"/>
        <v>.</v>
      </c>
      <c r="AH276" s="1146" t="str">
        <f t="shared" si="142"/>
        <v>.</v>
      </c>
      <c r="AI276" s="1146" t="str">
        <f t="shared" si="143"/>
        <v>.</v>
      </c>
      <c r="AJ276" s="1146" t="str">
        <f t="shared" si="144"/>
        <v>.</v>
      </c>
      <c r="AK276" s="1146" t="str">
        <f t="shared" si="145"/>
        <v>.</v>
      </c>
      <c r="AL276" s="1147" t="str">
        <f t="shared" si="146"/>
        <v>.</v>
      </c>
      <c r="AM276" s="3"/>
      <c r="AN276" s="1043" t="str">
        <f>IF(X276=".",".",SUM($X276:X276))</f>
        <v>.</v>
      </c>
      <c r="AO276" s="1044" t="str">
        <f>IF(Y276=".",".",SUM($X276:Y276))</f>
        <v>.</v>
      </c>
      <c r="AP276" s="1044" t="str">
        <f>IF(Z276=".",".",SUM($X276:Z276))</f>
        <v>.</v>
      </c>
      <c r="AQ276" s="1044" t="str">
        <f>IF(AA276=".",".",SUM($X276:AA276))</f>
        <v>.</v>
      </c>
      <c r="AR276" s="1044" t="str">
        <f>IF(AB276=".",".",SUM($X276:AB276))</f>
        <v>.</v>
      </c>
      <c r="AS276" s="1044" t="str">
        <f>IF(AC276=".",".",SUM($X276:AC276))</f>
        <v>.</v>
      </c>
      <c r="AT276" s="1045" t="str">
        <f>IF(AD276=".",".",SUM($X276:AD276))</f>
        <v>.</v>
      </c>
      <c r="AU276" s="3"/>
      <c r="AV276" s="1145" t="str">
        <f t="shared" si="153"/>
        <v>.</v>
      </c>
      <c r="AW276" s="1146" t="str">
        <f t="shared" si="147"/>
        <v>.</v>
      </c>
      <c r="AX276" s="1146" t="str">
        <f t="shared" si="148"/>
        <v>.</v>
      </c>
      <c r="AY276" s="1146" t="str">
        <f t="shared" si="149"/>
        <v>.</v>
      </c>
      <c r="AZ276" s="1146" t="str">
        <f t="shared" si="150"/>
        <v>.</v>
      </c>
      <c r="BA276" s="1146" t="str">
        <f t="shared" si="151"/>
        <v>.</v>
      </c>
      <c r="BB276" s="1147" t="str">
        <f t="shared" si="152"/>
        <v>.</v>
      </c>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row>
    <row r="277" spans="1:92" x14ac:dyDescent="0.2">
      <c r="A277" s="620"/>
      <c r="B277" s="1077" t="str">
        <f t="shared" si="168"/>
        <v>Business</v>
      </c>
      <c r="C277" s="1022" t="str">
        <f t="shared" si="168"/>
        <v/>
      </c>
      <c r="D277" s="1022" t="s">
        <v>687</v>
      </c>
      <c r="E277" s="1022"/>
      <c r="F277" s="1022"/>
      <c r="G277" s="1022"/>
      <c r="H277" s="1022"/>
      <c r="I277" s="1022"/>
      <c r="J277" s="1023" t="str">
        <f t="shared" si="159"/>
        <v>.</v>
      </c>
      <c r="K277" s="1012"/>
      <c r="L277" s="1024"/>
      <c r="M277" s="1024"/>
      <c r="N277" s="1024"/>
      <c r="O277" s="1024"/>
      <c r="P277" s="1024"/>
      <c r="Q277" s="1078"/>
      <c r="R277" s="76"/>
      <c r="S277" s="3"/>
      <c r="T277" s="1028">
        <f t="shared" si="167"/>
        <v>0</v>
      </c>
      <c r="U277" s="1029">
        <f t="shared" si="167"/>
        <v>0</v>
      </c>
      <c r="V277" s="1035"/>
      <c r="W277" s="3"/>
      <c r="X277" s="1043" t="str">
        <f t="shared" si="160"/>
        <v>.</v>
      </c>
      <c r="Y277" s="1044" t="str">
        <f t="shared" si="161"/>
        <v>.</v>
      </c>
      <c r="Z277" s="1044" t="str">
        <f t="shared" si="162"/>
        <v>.</v>
      </c>
      <c r="AA277" s="1044" t="str">
        <f t="shared" si="163"/>
        <v>.</v>
      </c>
      <c r="AB277" s="1044" t="str">
        <f t="shared" si="164"/>
        <v>.</v>
      </c>
      <c r="AC277" s="1044" t="str">
        <f t="shared" si="165"/>
        <v>.</v>
      </c>
      <c r="AD277" s="1045" t="str">
        <f t="shared" si="166"/>
        <v>.</v>
      </c>
      <c r="AE277" s="3"/>
      <c r="AF277" s="1145" t="str">
        <f t="shared" si="154"/>
        <v>.</v>
      </c>
      <c r="AG277" s="1146" t="str">
        <f t="shared" si="141"/>
        <v>.</v>
      </c>
      <c r="AH277" s="1146" t="str">
        <f t="shared" si="142"/>
        <v>.</v>
      </c>
      <c r="AI277" s="1146" t="str">
        <f t="shared" si="143"/>
        <v>.</v>
      </c>
      <c r="AJ277" s="1146" t="str">
        <f t="shared" si="144"/>
        <v>.</v>
      </c>
      <c r="AK277" s="1146" t="str">
        <f t="shared" si="145"/>
        <v>.</v>
      </c>
      <c r="AL277" s="1147" t="str">
        <f t="shared" si="146"/>
        <v>.</v>
      </c>
      <c r="AM277" s="3"/>
      <c r="AN277" s="1043" t="str">
        <f>IF(X277=".",".",SUM($X277:X277))</f>
        <v>.</v>
      </c>
      <c r="AO277" s="1044" t="str">
        <f>IF(Y277=".",".",SUM($X277:Y277))</f>
        <v>.</v>
      </c>
      <c r="AP277" s="1044" t="str">
        <f>IF(Z277=".",".",SUM($X277:Z277))</f>
        <v>.</v>
      </c>
      <c r="AQ277" s="1044" t="str">
        <f>IF(AA277=".",".",SUM($X277:AA277))</f>
        <v>.</v>
      </c>
      <c r="AR277" s="1044" t="str">
        <f>IF(AB277=".",".",SUM($X277:AB277))</f>
        <v>.</v>
      </c>
      <c r="AS277" s="1044" t="str">
        <f>IF(AC277=".",".",SUM($X277:AC277))</f>
        <v>.</v>
      </c>
      <c r="AT277" s="1045" t="str">
        <f>IF(AD277=".",".",SUM($X277:AD277))</f>
        <v>.</v>
      </c>
      <c r="AU277" s="3"/>
      <c r="AV277" s="1145" t="str">
        <f t="shared" si="153"/>
        <v>.</v>
      </c>
      <c r="AW277" s="1146" t="str">
        <f t="shared" si="147"/>
        <v>.</v>
      </c>
      <c r="AX277" s="1146" t="str">
        <f t="shared" si="148"/>
        <v>.</v>
      </c>
      <c r="AY277" s="1146" t="str">
        <f t="shared" si="149"/>
        <v>.</v>
      </c>
      <c r="AZ277" s="1146" t="str">
        <f t="shared" si="150"/>
        <v>.</v>
      </c>
      <c r="BA277" s="1146" t="str">
        <f t="shared" si="151"/>
        <v>.</v>
      </c>
      <c r="BB277" s="1147" t="str">
        <f t="shared" si="152"/>
        <v>.</v>
      </c>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row>
    <row r="278" spans="1:92" x14ac:dyDescent="0.2">
      <c r="A278" s="620"/>
      <c r="B278" s="1077" t="str">
        <f t="shared" si="168"/>
        <v>Business</v>
      </c>
      <c r="C278" s="1022" t="str">
        <f t="shared" si="168"/>
        <v/>
      </c>
      <c r="D278" s="1022" t="s">
        <v>687</v>
      </c>
      <c r="E278" s="1022"/>
      <c r="F278" s="1022"/>
      <c r="G278" s="1022"/>
      <c r="H278" s="1022"/>
      <c r="I278" s="1022"/>
      <c r="J278" s="1023" t="str">
        <f t="shared" si="159"/>
        <v>.</v>
      </c>
      <c r="K278" s="1012"/>
      <c r="L278" s="1024"/>
      <c r="M278" s="1024"/>
      <c r="N278" s="1024"/>
      <c r="O278" s="1024"/>
      <c r="P278" s="1024"/>
      <c r="Q278" s="1078"/>
      <c r="R278" s="76"/>
      <c r="S278" s="3"/>
      <c r="T278" s="1028">
        <f t="shared" si="167"/>
        <v>0</v>
      </c>
      <c r="U278" s="1029">
        <f t="shared" si="167"/>
        <v>0</v>
      </c>
      <c r="V278" s="1035"/>
      <c r="W278" s="3"/>
      <c r="X278" s="1043" t="str">
        <f t="shared" si="160"/>
        <v>.</v>
      </c>
      <c r="Y278" s="1044" t="str">
        <f t="shared" si="161"/>
        <v>.</v>
      </c>
      <c r="Z278" s="1044" t="str">
        <f t="shared" si="162"/>
        <v>.</v>
      </c>
      <c r="AA278" s="1044" t="str">
        <f t="shared" si="163"/>
        <v>.</v>
      </c>
      <c r="AB278" s="1044" t="str">
        <f t="shared" si="164"/>
        <v>.</v>
      </c>
      <c r="AC278" s="1044" t="str">
        <f t="shared" si="165"/>
        <v>.</v>
      </c>
      <c r="AD278" s="1045" t="str">
        <f t="shared" si="166"/>
        <v>.</v>
      </c>
      <c r="AE278" s="3"/>
      <c r="AF278" s="1145" t="str">
        <f t="shared" si="154"/>
        <v>.</v>
      </c>
      <c r="AG278" s="1146" t="str">
        <f t="shared" si="141"/>
        <v>.</v>
      </c>
      <c r="AH278" s="1146" t="str">
        <f t="shared" si="142"/>
        <v>.</v>
      </c>
      <c r="AI278" s="1146" t="str">
        <f t="shared" si="143"/>
        <v>.</v>
      </c>
      <c r="AJ278" s="1146" t="str">
        <f t="shared" si="144"/>
        <v>.</v>
      </c>
      <c r="AK278" s="1146" t="str">
        <f t="shared" si="145"/>
        <v>.</v>
      </c>
      <c r="AL278" s="1147" t="str">
        <f t="shared" si="146"/>
        <v>.</v>
      </c>
      <c r="AM278" s="3"/>
      <c r="AN278" s="1043" t="str">
        <f>IF(X278=".",".",SUM($X278:X278))</f>
        <v>.</v>
      </c>
      <c r="AO278" s="1044" t="str">
        <f>IF(Y278=".",".",SUM($X278:Y278))</f>
        <v>.</v>
      </c>
      <c r="AP278" s="1044" t="str">
        <f>IF(Z278=".",".",SUM($X278:Z278))</f>
        <v>.</v>
      </c>
      <c r="AQ278" s="1044" t="str">
        <f>IF(AA278=".",".",SUM($X278:AA278))</f>
        <v>.</v>
      </c>
      <c r="AR278" s="1044" t="str">
        <f>IF(AB278=".",".",SUM($X278:AB278))</f>
        <v>.</v>
      </c>
      <c r="AS278" s="1044" t="str">
        <f>IF(AC278=".",".",SUM($X278:AC278))</f>
        <v>.</v>
      </c>
      <c r="AT278" s="1045" t="str">
        <f>IF(AD278=".",".",SUM($X278:AD278))</f>
        <v>.</v>
      </c>
      <c r="AU278" s="3"/>
      <c r="AV278" s="1145" t="str">
        <f t="shared" si="153"/>
        <v>.</v>
      </c>
      <c r="AW278" s="1146" t="str">
        <f t="shared" si="147"/>
        <v>.</v>
      </c>
      <c r="AX278" s="1146" t="str">
        <f t="shared" si="148"/>
        <v>.</v>
      </c>
      <c r="AY278" s="1146" t="str">
        <f t="shared" si="149"/>
        <v>.</v>
      </c>
      <c r="AZ278" s="1146" t="str">
        <f t="shared" si="150"/>
        <v>.</v>
      </c>
      <c r="BA278" s="1146" t="str">
        <f t="shared" si="151"/>
        <v>.</v>
      </c>
      <c r="BB278" s="1147" t="str">
        <f t="shared" si="152"/>
        <v>.</v>
      </c>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row>
    <row r="279" spans="1:92" x14ac:dyDescent="0.2">
      <c r="A279" s="620"/>
      <c r="B279" s="1077" t="str">
        <f t="shared" si="168"/>
        <v>Business</v>
      </c>
      <c r="C279" s="1022" t="str">
        <f t="shared" si="168"/>
        <v/>
      </c>
      <c r="D279" s="1022" t="s">
        <v>687</v>
      </c>
      <c r="E279" s="1022"/>
      <c r="F279" s="1022"/>
      <c r="G279" s="1022"/>
      <c r="H279" s="1022"/>
      <c r="I279" s="1022"/>
      <c r="J279" s="1023" t="str">
        <f t="shared" si="159"/>
        <v>.</v>
      </c>
      <c r="K279" s="1012"/>
      <c r="L279" s="1024"/>
      <c r="M279" s="1024"/>
      <c r="N279" s="1024"/>
      <c r="O279" s="1024"/>
      <c r="P279" s="1024"/>
      <c r="Q279" s="1078"/>
      <c r="R279" s="76"/>
      <c r="S279" s="3"/>
      <c r="T279" s="1028">
        <f t="shared" si="167"/>
        <v>0</v>
      </c>
      <c r="U279" s="1029">
        <f t="shared" si="167"/>
        <v>0</v>
      </c>
      <c r="V279" s="1035"/>
      <c r="W279" s="3"/>
      <c r="X279" s="1043" t="str">
        <f t="shared" si="160"/>
        <v>.</v>
      </c>
      <c r="Y279" s="1044" t="str">
        <f t="shared" si="161"/>
        <v>.</v>
      </c>
      <c r="Z279" s="1044" t="str">
        <f t="shared" si="162"/>
        <v>.</v>
      </c>
      <c r="AA279" s="1044" t="str">
        <f t="shared" si="163"/>
        <v>.</v>
      </c>
      <c r="AB279" s="1044" t="str">
        <f t="shared" si="164"/>
        <v>.</v>
      </c>
      <c r="AC279" s="1044" t="str">
        <f t="shared" si="165"/>
        <v>.</v>
      </c>
      <c r="AD279" s="1045" t="str">
        <f t="shared" si="166"/>
        <v>.</v>
      </c>
      <c r="AE279" s="3"/>
      <c r="AF279" s="1145" t="str">
        <f t="shared" si="154"/>
        <v>.</v>
      </c>
      <c r="AG279" s="1146" t="str">
        <f t="shared" si="141"/>
        <v>.</v>
      </c>
      <c r="AH279" s="1146" t="str">
        <f t="shared" si="142"/>
        <v>.</v>
      </c>
      <c r="AI279" s="1146" t="str">
        <f t="shared" si="143"/>
        <v>.</v>
      </c>
      <c r="AJ279" s="1146" t="str">
        <f t="shared" si="144"/>
        <v>.</v>
      </c>
      <c r="AK279" s="1146" t="str">
        <f t="shared" si="145"/>
        <v>.</v>
      </c>
      <c r="AL279" s="1147" t="str">
        <f t="shared" si="146"/>
        <v>.</v>
      </c>
      <c r="AM279" s="3"/>
      <c r="AN279" s="1043" t="str">
        <f>IF(X279=".",".",SUM($X279:X279))</f>
        <v>.</v>
      </c>
      <c r="AO279" s="1044" t="str">
        <f>IF(Y279=".",".",SUM($X279:Y279))</f>
        <v>.</v>
      </c>
      <c r="AP279" s="1044" t="str">
        <f>IF(Z279=".",".",SUM($X279:Z279))</f>
        <v>.</v>
      </c>
      <c r="AQ279" s="1044" t="str">
        <f>IF(AA279=".",".",SUM($X279:AA279))</f>
        <v>.</v>
      </c>
      <c r="AR279" s="1044" t="str">
        <f>IF(AB279=".",".",SUM($X279:AB279))</f>
        <v>.</v>
      </c>
      <c r="AS279" s="1044" t="str">
        <f>IF(AC279=".",".",SUM($X279:AC279))</f>
        <v>.</v>
      </c>
      <c r="AT279" s="1045" t="str">
        <f>IF(AD279=".",".",SUM($X279:AD279))</f>
        <v>.</v>
      </c>
      <c r="AU279" s="3"/>
      <c r="AV279" s="1145" t="str">
        <f t="shared" si="153"/>
        <v>.</v>
      </c>
      <c r="AW279" s="1146" t="str">
        <f t="shared" si="147"/>
        <v>.</v>
      </c>
      <c r="AX279" s="1146" t="str">
        <f t="shared" si="148"/>
        <v>.</v>
      </c>
      <c r="AY279" s="1146" t="str">
        <f t="shared" si="149"/>
        <v>.</v>
      </c>
      <c r="AZ279" s="1146" t="str">
        <f t="shared" si="150"/>
        <v>.</v>
      </c>
      <c r="BA279" s="1146" t="str">
        <f t="shared" si="151"/>
        <v>.</v>
      </c>
      <c r="BB279" s="1147" t="str">
        <f t="shared" si="152"/>
        <v>.</v>
      </c>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row>
    <row r="280" spans="1:92" x14ac:dyDescent="0.2">
      <c r="A280" s="620"/>
      <c r="B280" s="1077" t="str">
        <f t="shared" si="168"/>
        <v>Business</v>
      </c>
      <c r="C280" s="1022" t="str">
        <f t="shared" si="168"/>
        <v/>
      </c>
      <c r="D280" s="1022" t="s">
        <v>687</v>
      </c>
      <c r="E280" s="1022"/>
      <c r="F280" s="1022"/>
      <c r="G280" s="1022"/>
      <c r="H280" s="1022"/>
      <c r="I280" s="1022"/>
      <c r="J280" s="1023" t="str">
        <f t="shared" si="159"/>
        <v>.</v>
      </c>
      <c r="K280" s="1012"/>
      <c r="L280" s="1024"/>
      <c r="M280" s="1024"/>
      <c r="N280" s="1024"/>
      <c r="O280" s="1024"/>
      <c r="P280" s="1024"/>
      <c r="Q280" s="1078"/>
      <c r="R280" s="76"/>
      <c r="S280" s="3"/>
      <c r="T280" s="1028">
        <f t="shared" si="167"/>
        <v>0</v>
      </c>
      <c r="U280" s="1029">
        <f t="shared" si="167"/>
        <v>0</v>
      </c>
      <c r="V280" s="1035"/>
      <c r="W280" s="3"/>
      <c r="X280" s="1043" t="str">
        <f t="shared" si="160"/>
        <v>.</v>
      </c>
      <c r="Y280" s="1044" t="str">
        <f t="shared" si="161"/>
        <v>.</v>
      </c>
      <c r="Z280" s="1044" t="str">
        <f t="shared" si="162"/>
        <v>.</v>
      </c>
      <c r="AA280" s="1044" t="str">
        <f t="shared" si="163"/>
        <v>.</v>
      </c>
      <c r="AB280" s="1044" t="str">
        <f t="shared" si="164"/>
        <v>.</v>
      </c>
      <c r="AC280" s="1044" t="str">
        <f t="shared" si="165"/>
        <v>.</v>
      </c>
      <c r="AD280" s="1045" t="str">
        <f t="shared" si="166"/>
        <v>.</v>
      </c>
      <c r="AE280" s="3"/>
      <c r="AF280" s="1145" t="str">
        <f t="shared" si="154"/>
        <v>.</v>
      </c>
      <c r="AG280" s="1146" t="str">
        <f t="shared" si="141"/>
        <v>.</v>
      </c>
      <c r="AH280" s="1146" t="str">
        <f t="shared" si="142"/>
        <v>.</v>
      </c>
      <c r="AI280" s="1146" t="str">
        <f t="shared" si="143"/>
        <v>.</v>
      </c>
      <c r="AJ280" s="1146" t="str">
        <f t="shared" si="144"/>
        <v>.</v>
      </c>
      <c r="AK280" s="1146" t="str">
        <f t="shared" si="145"/>
        <v>.</v>
      </c>
      <c r="AL280" s="1147" t="str">
        <f t="shared" si="146"/>
        <v>.</v>
      </c>
      <c r="AM280" s="3"/>
      <c r="AN280" s="1043" t="str">
        <f>IF(X280=".",".",SUM($X280:X280))</f>
        <v>.</v>
      </c>
      <c r="AO280" s="1044" t="str">
        <f>IF(Y280=".",".",SUM($X280:Y280))</f>
        <v>.</v>
      </c>
      <c r="AP280" s="1044" t="str">
        <f>IF(Z280=".",".",SUM($X280:Z280))</f>
        <v>.</v>
      </c>
      <c r="AQ280" s="1044" t="str">
        <f>IF(AA280=".",".",SUM($X280:AA280))</f>
        <v>.</v>
      </c>
      <c r="AR280" s="1044" t="str">
        <f>IF(AB280=".",".",SUM($X280:AB280))</f>
        <v>.</v>
      </c>
      <c r="AS280" s="1044" t="str">
        <f>IF(AC280=".",".",SUM($X280:AC280))</f>
        <v>.</v>
      </c>
      <c r="AT280" s="1045" t="str">
        <f>IF(AD280=".",".",SUM($X280:AD280))</f>
        <v>.</v>
      </c>
      <c r="AU280" s="3"/>
      <c r="AV280" s="1145" t="str">
        <f t="shared" si="153"/>
        <v>.</v>
      </c>
      <c r="AW280" s="1146" t="str">
        <f t="shared" si="147"/>
        <v>.</v>
      </c>
      <c r="AX280" s="1146" t="str">
        <f t="shared" si="148"/>
        <v>.</v>
      </c>
      <c r="AY280" s="1146" t="str">
        <f t="shared" si="149"/>
        <v>.</v>
      </c>
      <c r="AZ280" s="1146" t="str">
        <f t="shared" si="150"/>
        <v>.</v>
      </c>
      <c r="BA280" s="1146" t="str">
        <f t="shared" si="151"/>
        <v>.</v>
      </c>
      <c r="BB280" s="1147" t="str">
        <f t="shared" si="152"/>
        <v>.</v>
      </c>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row>
    <row r="281" spans="1:92" x14ac:dyDescent="0.2">
      <c r="A281" s="620"/>
      <c r="B281" s="1077" t="str">
        <f t="shared" si="168"/>
        <v>Special rate</v>
      </c>
      <c r="C281" s="1022" t="str">
        <f t="shared" si="168"/>
        <v/>
      </c>
      <c r="D281" s="1022" t="s">
        <v>687</v>
      </c>
      <c r="E281" s="1022"/>
      <c r="F281" s="1022"/>
      <c r="G281" s="1022"/>
      <c r="H281" s="1022"/>
      <c r="I281" s="1022"/>
      <c r="J281" s="1023" t="str">
        <f t="shared" si="159"/>
        <v>.</v>
      </c>
      <c r="K281" s="1012"/>
      <c r="L281" s="1012"/>
      <c r="M281" s="1012"/>
      <c r="N281" s="1012"/>
      <c r="O281" s="1012"/>
      <c r="P281" s="1012"/>
      <c r="Q281" s="1010"/>
      <c r="R281" s="76"/>
      <c r="S281" s="3"/>
      <c r="T281" s="1028">
        <f t="shared" si="167"/>
        <v>0</v>
      </c>
      <c r="U281" s="1029">
        <f t="shared" si="167"/>
        <v>0</v>
      </c>
      <c r="V281" s="1035"/>
      <c r="W281" s="3"/>
      <c r="X281" s="1043" t="str">
        <f t="shared" si="160"/>
        <v>.</v>
      </c>
      <c r="Y281" s="1044" t="str">
        <f t="shared" si="161"/>
        <v>.</v>
      </c>
      <c r="Z281" s="1044" t="str">
        <f t="shared" si="162"/>
        <v>.</v>
      </c>
      <c r="AA281" s="1044" t="str">
        <f t="shared" si="163"/>
        <v>.</v>
      </c>
      <c r="AB281" s="1044" t="str">
        <f t="shared" si="164"/>
        <v>.</v>
      </c>
      <c r="AC281" s="1044" t="str">
        <f t="shared" si="165"/>
        <v>.</v>
      </c>
      <c r="AD281" s="1045" t="str">
        <f t="shared" si="166"/>
        <v>.</v>
      </c>
      <c r="AE281" s="3"/>
      <c r="AF281" s="1145" t="str">
        <f t="shared" si="154"/>
        <v>.</v>
      </c>
      <c r="AG281" s="1146" t="str">
        <f t="shared" si="141"/>
        <v>.</v>
      </c>
      <c r="AH281" s="1146" t="str">
        <f t="shared" si="142"/>
        <v>.</v>
      </c>
      <c r="AI281" s="1146" t="str">
        <f t="shared" si="143"/>
        <v>.</v>
      </c>
      <c r="AJ281" s="1146" t="str">
        <f t="shared" si="144"/>
        <v>.</v>
      </c>
      <c r="AK281" s="1146" t="str">
        <f t="shared" si="145"/>
        <v>.</v>
      </c>
      <c r="AL281" s="1147" t="str">
        <f t="shared" si="146"/>
        <v>.</v>
      </c>
      <c r="AM281" s="3"/>
      <c r="AN281" s="1043" t="str">
        <f>IF(X281=".",".",SUM($X281:X281))</f>
        <v>.</v>
      </c>
      <c r="AO281" s="1044" t="str">
        <f>IF(Y281=".",".",SUM($X281:Y281))</f>
        <v>.</v>
      </c>
      <c r="AP281" s="1044" t="str">
        <f>IF(Z281=".",".",SUM($X281:Z281))</f>
        <v>.</v>
      </c>
      <c r="AQ281" s="1044" t="str">
        <f>IF(AA281=".",".",SUM($X281:AA281))</f>
        <v>.</v>
      </c>
      <c r="AR281" s="1044" t="str">
        <f>IF(AB281=".",".",SUM($X281:AB281))</f>
        <v>.</v>
      </c>
      <c r="AS281" s="1044" t="str">
        <f>IF(AC281=".",".",SUM($X281:AC281))</f>
        <v>.</v>
      </c>
      <c r="AT281" s="1045" t="str">
        <f>IF(AD281=".",".",SUM($X281:AD281))</f>
        <v>.</v>
      </c>
      <c r="AU281" s="3"/>
      <c r="AV281" s="1145" t="str">
        <f t="shared" si="153"/>
        <v>.</v>
      </c>
      <c r="AW281" s="1146" t="str">
        <f t="shared" si="147"/>
        <v>.</v>
      </c>
      <c r="AX281" s="1146" t="str">
        <f t="shared" si="148"/>
        <v>.</v>
      </c>
      <c r="AY281" s="1146" t="str">
        <f t="shared" si="149"/>
        <v>.</v>
      </c>
      <c r="AZ281" s="1146" t="str">
        <f t="shared" si="150"/>
        <v>.</v>
      </c>
      <c r="BA281" s="1146" t="str">
        <f t="shared" si="151"/>
        <v>.</v>
      </c>
      <c r="BB281" s="1147" t="str">
        <f t="shared" si="152"/>
        <v>.</v>
      </c>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row>
    <row r="282" spans="1:92" x14ac:dyDescent="0.2">
      <c r="A282" s="620"/>
      <c r="B282" s="1077" t="str">
        <f t="shared" si="168"/>
        <v>Special rate</v>
      </c>
      <c r="C282" s="1022" t="str">
        <f t="shared" si="168"/>
        <v/>
      </c>
      <c r="D282" s="1022" t="s">
        <v>687</v>
      </c>
      <c r="E282" s="1022"/>
      <c r="F282" s="1022"/>
      <c r="G282" s="1022"/>
      <c r="H282" s="1022"/>
      <c r="I282" s="1022"/>
      <c r="J282" s="1023" t="str">
        <f t="shared" si="159"/>
        <v>.</v>
      </c>
      <c r="K282" s="1012"/>
      <c r="L282" s="1012"/>
      <c r="M282" s="1012"/>
      <c r="N282" s="1012"/>
      <c r="O282" s="1012"/>
      <c r="P282" s="1012"/>
      <c r="Q282" s="1010"/>
      <c r="R282" s="76"/>
      <c r="S282" s="3"/>
      <c r="T282" s="1028">
        <f t="shared" si="167"/>
        <v>0</v>
      </c>
      <c r="U282" s="1029">
        <f t="shared" si="167"/>
        <v>0</v>
      </c>
      <c r="V282" s="1035"/>
      <c r="W282" s="3"/>
      <c r="X282" s="1043" t="str">
        <f t="shared" si="160"/>
        <v>.</v>
      </c>
      <c r="Y282" s="1044" t="str">
        <f t="shared" si="161"/>
        <v>.</v>
      </c>
      <c r="Z282" s="1044" t="str">
        <f t="shared" si="162"/>
        <v>.</v>
      </c>
      <c r="AA282" s="1044" t="str">
        <f t="shared" si="163"/>
        <v>.</v>
      </c>
      <c r="AB282" s="1044" t="str">
        <f t="shared" si="164"/>
        <v>.</v>
      </c>
      <c r="AC282" s="1044" t="str">
        <f t="shared" si="165"/>
        <v>.</v>
      </c>
      <c r="AD282" s="1045" t="str">
        <f t="shared" si="166"/>
        <v>.</v>
      </c>
      <c r="AE282" s="3"/>
      <c r="AF282" s="1145" t="str">
        <f t="shared" si="154"/>
        <v>.</v>
      </c>
      <c r="AG282" s="1146" t="str">
        <f t="shared" si="141"/>
        <v>.</v>
      </c>
      <c r="AH282" s="1146" t="str">
        <f t="shared" si="142"/>
        <v>.</v>
      </c>
      <c r="AI282" s="1146" t="str">
        <f t="shared" si="143"/>
        <v>.</v>
      </c>
      <c r="AJ282" s="1146" t="str">
        <f t="shared" si="144"/>
        <v>.</v>
      </c>
      <c r="AK282" s="1146" t="str">
        <f t="shared" si="145"/>
        <v>.</v>
      </c>
      <c r="AL282" s="1147" t="str">
        <f t="shared" si="146"/>
        <v>.</v>
      </c>
      <c r="AM282" s="3"/>
      <c r="AN282" s="1043" t="str">
        <f>IF(X282=".",".",SUM($X282:X282))</f>
        <v>.</v>
      </c>
      <c r="AO282" s="1044" t="str">
        <f>IF(Y282=".",".",SUM($X282:Y282))</f>
        <v>.</v>
      </c>
      <c r="AP282" s="1044" t="str">
        <f>IF(Z282=".",".",SUM($X282:Z282))</f>
        <v>.</v>
      </c>
      <c r="AQ282" s="1044" t="str">
        <f>IF(AA282=".",".",SUM($X282:AA282))</f>
        <v>.</v>
      </c>
      <c r="AR282" s="1044" t="str">
        <f>IF(AB282=".",".",SUM($X282:AB282))</f>
        <v>.</v>
      </c>
      <c r="AS282" s="1044" t="str">
        <f>IF(AC282=".",".",SUM($X282:AC282))</f>
        <v>.</v>
      </c>
      <c r="AT282" s="1045" t="str">
        <f>IF(AD282=".",".",SUM($X282:AD282))</f>
        <v>.</v>
      </c>
      <c r="AU282" s="3"/>
      <c r="AV282" s="1145" t="str">
        <f t="shared" si="153"/>
        <v>.</v>
      </c>
      <c r="AW282" s="1146" t="str">
        <f t="shared" si="147"/>
        <v>.</v>
      </c>
      <c r="AX282" s="1146" t="str">
        <f t="shared" si="148"/>
        <v>.</v>
      </c>
      <c r="AY282" s="1146" t="str">
        <f t="shared" si="149"/>
        <v>.</v>
      </c>
      <c r="AZ282" s="1146" t="str">
        <f t="shared" si="150"/>
        <v>.</v>
      </c>
      <c r="BA282" s="1146" t="str">
        <f t="shared" si="151"/>
        <v>.</v>
      </c>
      <c r="BB282" s="1147" t="str">
        <f t="shared" si="152"/>
        <v>.</v>
      </c>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row>
    <row r="283" spans="1:92" x14ac:dyDescent="0.2">
      <c r="A283" s="620"/>
      <c r="B283" s="1077" t="str">
        <f t="shared" si="168"/>
        <v>Special rate</v>
      </c>
      <c r="C283" s="1022" t="str">
        <f t="shared" si="168"/>
        <v/>
      </c>
      <c r="D283" s="1022" t="s">
        <v>687</v>
      </c>
      <c r="E283" s="1022"/>
      <c r="F283" s="1022"/>
      <c r="G283" s="1022"/>
      <c r="H283" s="1022"/>
      <c r="I283" s="1022"/>
      <c r="J283" s="1023" t="str">
        <f t="shared" si="159"/>
        <v>.</v>
      </c>
      <c r="K283" s="1012"/>
      <c r="L283" s="1012"/>
      <c r="M283" s="1012"/>
      <c r="N283" s="1012"/>
      <c r="O283" s="1012"/>
      <c r="P283" s="1012"/>
      <c r="Q283" s="1010"/>
      <c r="R283" s="76"/>
      <c r="S283" s="3"/>
      <c r="T283" s="1028">
        <f t="shared" si="167"/>
        <v>0</v>
      </c>
      <c r="U283" s="1029">
        <f t="shared" si="167"/>
        <v>0</v>
      </c>
      <c r="V283" s="1035"/>
      <c r="W283" s="3"/>
      <c r="X283" s="1043" t="str">
        <f t="shared" si="160"/>
        <v>.</v>
      </c>
      <c r="Y283" s="1044" t="str">
        <f t="shared" si="161"/>
        <v>.</v>
      </c>
      <c r="Z283" s="1044" t="str">
        <f t="shared" si="162"/>
        <v>.</v>
      </c>
      <c r="AA283" s="1044" t="str">
        <f t="shared" si="163"/>
        <v>.</v>
      </c>
      <c r="AB283" s="1044" t="str">
        <f t="shared" si="164"/>
        <v>.</v>
      </c>
      <c r="AC283" s="1044" t="str">
        <f t="shared" si="165"/>
        <v>.</v>
      </c>
      <c r="AD283" s="1045" t="str">
        <f t="shared" si="166"/>
        <v>.</v>
      </c>
      <c r="AE283" s="3"/>
      <c r="AF283" s="1145" t="str">
        <f t="shared" si="154"/>
        <v>.</v>
      </c>
      <c r="AG283" s="1146" t="str">
        <f t="shared" si="141"/>
        <v>.</v>
      </c>
      <c r="AH283" s="1146" t="str">
        <f t="shared" si="142"/>
        <v>.</v>
      </c>
      <c r="AI283" s="1146" t="str">
        <f t="shared" si="143"/>
        <v>.</v>
      </c>
      <c r="AJ283" s="1146" t="str">
        <f t="shared" si="144"/>
        <v>.</v>
      </c>
      <c r="AK283" s="1146" t="str">
        <f t="shared" si="145"/>
        <v>.</v>
      </c>
      <c r="AL283" s="1147" t="str">
        <f t="shared" si="146"/>
        <v>.</v>
      </c>
      <c r="AM283" s="3"/>
      <c r="AN283" s="1043" t="str">
        <f>IF(X283=".",".",SUM($X283:X283))</f>
        <v>.</v>
      </c>
      <c r="AO283" s="1044" t="str">
        <f>IF(Y283=".",".",SUM($X283:Y283))</f>
        <v>.</v>
      </c>
      <c r="AP283" s="1044" t="str">
        <f>IF(Z283=".",".",SUM($X283:Z283))</f>
        <v>.</v>
      </c>
      <c r="AQ283" s="1044" t="str">
        <f>IF(AA283=".",".",SUM($X283:AA283))</f>
        <v>.</v>
      </c>
      <c r="AR283" s="1044" t="str">
        <f>IF(AB283=".",".",SUM($X283:AB283))</f>
        <v>.</v>
      </c>
      <c r="AS283" s="1044" t="str">
        <f>IF(AC283=".",".",SUM($X283:AC283))</f>
        <v>.</v>
      </c>
      <c r="AT283" s="1045" t="str">
        <f>IF(AD283=".",".",SUM($X283:AD283))</f>
        <v>.</v>
      </c>
      <c r="AU283" s="3"/>
      <c r="AV283" s="1145" t="str">
        <f t="shared" si="153"/>
        <v>.</v>
      </c>
      <c r="AW283" s="1146" t="str">
        <f t="shared" si="147"/>
        <v>.</v>
      </c>
      <c r="AX283" s="1146" t="str">
        <f t="shared" si="148"/>
        <v>.</v>
      </c>
      <c r="AY283" s="1146" t="str">
        <f t="shared" si="149"/>
        <v>.</v>
      </c>
      <c r="AZ283" s="1146" t="str">
        <f t="shared" si="150"/>
        <v>.</v>
      </c>
      <c r="BA283" s="1146" t="str">
        <f t="shared" si="151"/>
        <v>.</v>
      </c>
      <c r="BB283" s="1147" t="str">
        <f t="shared" si="152"/>
        <v>.</v>
      </c>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row>
    <row r="284" spans="1:92" x14ac:dyDescent="0.2">
      <c r="A284" s="620"/>
      <c r="B284" s="1077" t="str">
        <f t="shared" si="168"/>
        <v>Special rate</v>
      </c>
      <c r="C284" s="1022" t="str">
        <f t="shared" si="168"/>
        <v/>
      </c>
      <c r="D284" s="1022" t="s">
        <v>687</v>
      </c>
      <c r="E284" s="1022"/>
      <c r="F284" s="1022"/>
      <c r="G284" s="1022"/>
      <c r="H284" s="1022"/>
      <c r="I284" s="1022"/>
      <c r="J284" s="1023" t="str">
        <f t="shared" si="159"/>
        <v>.</v>
      </c>
      <c r="K284" s="1012"/>
      <c r="L284" s="1012"/>
      <c r="M284" s="1012"/>
      <c r="N284" s="1012"/>
      <c r="O284" s="1012"/>
      <c r="P284" s="1012"/>
      <c r="Q284" s="1010"/>
      <c r="R284" s="76"/>
      <c r="S284" s="3"/>
      <c r="T284" s="1028">
        <f t="shared" ref="T284:U303" si="169">T160</f>
        <v>0</v>
      </c>
      <c r="U284" s="1029">
        <f t="shared" si="169"/>
        <v>0</v>
      </c>
      <c r="V284" s="1035"/>
      <c r="W284" s="3"/>
      <c r="X284" s="1043" t="str">
        <f t="shared" si="160"/>
        <v>.</v>
      </c>
      <c r="Y284" s="1044" t="str">
        <f t="shared" si="161"/>
        <v>.</v>
      </c>
      <c r="Z284" s="1044" t="str">
        <f t="shared" si="162"/>
        <v>.</v>
      </c>
      <c r="AA284" s="1044" t="str">
        <f t="shared" si="163"/>
        <v>.</v>
      </c>
      <c r="AB284" s="1044" t="str">
        <f t="shared" si="164"/>
        <v>.</v>
      </c>
      <c r="AC284" s="1044" t="str">
        <f t="shared" si="165"/>
        <v>.</v>
      </c>
      <c r="AD284" s="1045" t="str">
        <f t="shared" si="166"/>
        <v>.</v>
      </c>
      <c r="AE284" s="3"/>
      <c r="AF284" s="1145" t="str">
        <f t="shared" si="154"/>
        <v>.</v>
      </c>
      <c r="AG284" s="1146" t="str">
        <f t="shared" si="141"/>
        <v>.</v>
      </c>
      <c r="AH284" s="1146" t="str">
        <f t="shared" si="142"/>
        <v>.</v>
      </c>
      <c r="AI284" s="1146" t="str">
        <f t="shared" si="143"/>
        <v>.</v>
      </c>
      <c r="AJ284" s="1146" t="str">
        <f t="shared" si="144"/>
        <v>.</v>
      </c>
      <c r="AK284" s="1146" t="str">
        <f t="shared" si="145"/>
        <v>.</v>
      </c>
      <c r="AL284" s="1147" t="str">
        <f t="shared" si="146"/>
        <v>.</v>
      </c>
      <c r="AM284" s="3"/>
      <c r="AN284" s="1043" t="str">
        <f>IF(X284=".",".",SUM($X284:X284))</f>
        <v>.</v>
      </c>
      <c r="AO284" s="1044" t="str">
        <f>IF(Y284=".",".",SUM($X284:Y284))</f>
        <v>.</v>
      </c>
      <c r="AP284" s="1044" t="str">
        <f>IF(Z284=".",".",SUM($X284:Z284))</f>
        <v>.</v>
      </c>
      <c r="AQ284" s="1044" t="str">
        <f>IF(AA284=".",".",SUM($X284:AA284))</f>
        <v>.</v>
      </c>
      <c r="AR284" s="1044" t="str">
        <f>IF(AB284=".",".",SUM($X284:AB284))</f>
        <v>.</v>
      </c>
      <c r="AS284" s="1044" t="str">
        <f>IF(AC284=".",".",SUM($X284:AC284))</f>
        <v>.</v>
      </c>
      <c r="AT284" s="1045" t="str">
        <f>IF(AD284=".",".",SUM($X284:AD284))</f>
        <v>.</v>
      </c>
      <c r="AU284" s="3"/>
      <c r="AV284" s="1145" t="str">
        <f t="shared" si="153"/>
        <v>.</v>
      </c>
      <c r="AW284" s="1146" t="str">
        <f t="shared" si="147"/>
        <v>.</v>
      </c>
      <c r="AX284" s="1146" t="str">
        <f t="shared" si="148"/>
        <v>.</v>
      </c>
      <c r="AY284" s="1146" t="str">
        <f t="shared" si="149"/>
        <v>.</v>
      </c>
      <c r="AZ284" s="1146" t="str">
        <f t="shared" si="150"/>
        <v>.</v>
      </c>
      <c r="BA284" s="1146" t="str">
        <f t="shared" si="151"/>
        <v>.</v>
      </c>
      <c r="BB284" s="1147" t="str">
        <f t="shared" si="152"/>
        <v>.</v>
      </c>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row>
    <row r="285" spans="1:92" x14ac:dyDescent="0.2">
      <c r="A285" s="620"/>
      <c r="B285" s="1077" t="str">
        <f t="shared" si="168"/>
        <v>Special rate</v>
      </c>
      <c r="C285" s="1022" t="str">
        <f t="shared" si="168"/>
        <v/>
      </c>
      <c r="D285" s="1022" t="s">
        <v>687</v>
      </c>
      <c r="E285" s="1022"/>
      <c r="F285" s="1022"/>
      <c r="G285" s="1022"/>
      <c r="H285" s="1022"/>
      <c r="I285" s="1022"/>
      <c r="J285" s="1023" t="str">
        <f t="shared" si="159"/>
        <v>.</v>
      </c>
      <c r="K285" s="1012"/>
      <c r="L285" s="1024"/>
      <c r="M285" s="1024"/>
      <c r="N285" s="1024"/>
      <c r="O285" s="1024"/>
      <c r="P285" s="1024"/>
      <c r="Q285" s="1078"/>
      <c r="R285" s="76"/>
      <c r="S285" s="3"/>
      <c r="T285" s="1028">
        <f t="shared" si="169"/>
        <v>0</v>
      </c>
      <c r="U285" s="1029">
        <f t="shared" si="169"/>
        <v>0</v>
      </c>
      <c r="V285" s="1035"/>
      <c r="W285" s="3"/>
      <c r="X285" s="1043" t="str">
        <f t="shared" si="160"/>
        <v>.</v>
      </c>
      <c r="Y285" s="1044" t="str">
        <f t="shared" si="161"/>
        <v>.</v>
      </c>
      <c r="Z285" s="1044" t="str">
        <f t="shared" si="162"/>
        <v>.</v>
      </c>
      <c r="AA285" s="1044" t="str">
        <f t="shared" si="163"/>
        <v>.</v>
      </c>
      <c r="AB285" s="1044" t="str">
        <f t="shared" si="164"/>
        <v>.</v>
      </c>
      <c r="AC285" s="1044" t="str">
        <f t="shared" si="165"/>
        <v>.</v>
      </c>
      <c r="AD285" s="1045" t="str">
        <f t="shared" si="166"/>
        <v>.</v>
      </c>
      <c r="AE285" s="3"/>
      <c r="AF285" s="1145" t="str">
        <f t="shared" si="154"/>
        <v>.</v>
      </c>
      <c r="AG285" s="1146" t="str">
        <f t="shared" si="141"/>
        <v>.</v>
      </c>
      <c r="AH285" s="1146" t="str">
        <f t="shared" si="142"/>
        <v>.</v>
      </c>
      <c r="AI285" s="1146" t="str">
        <f t="shared" si="143"/>
        <v>.</v>
      </c>
      <c r="AJ285" s="1146" t="str">
        <f t="shared" si="144"/>
        <v>.</v>
      </c>
      <c r="AK285" s="1146" t="str">
        <f t="shared" si="145"/>
        <v>.</v>
      </c>
      <c r="AL285" s="1147" t="str">
        <f t="shared" si="146"/>
        <v>.</v>
      </c>
      <c r="AM285" s="3"/>
      <c r="AN285" s="1043" t="str">
        <f>IF(X285=".",".",SUM($X285:X285))</f>
        <v>.</v>
      </c>
      <c r="AO285" s="1044" t="str">
        <f>IF(Y285=".",".",SUM($X285:Y285))</f>
        <v>.</v>
      </c>
      <c r="AP285" s="1044" t="str">
        <f>IF(Z285=".",".",SUM($X285:Z285))</f>
        <v>.</v>
      </c>
      <c r="AQ285" s="1044" t="str">
        <f>IF(AA285=".",".",SUM($X285:AA285))</f>
        <v>.</v>
      </c>
      <c r="AR285" s="1044" t="str">
        <f>IF(AB285=".",".",SUM($X285:AB285))</f>
        <v>.</v>
      </c>
      <c r="AS285" s="1044" t="str">
        <f>IF(AC285=".",".",SUM($X285:AC285))</f>
        <v>.</v>
      </c>
      <c r="AT285" s="1045" t="str">
        <f>IF(AD285=".",".",SUM($X285:AD285))</f>
        <v>.</v>
      </c>
      <c r="AU285" s="3"/>
      <c r="AV285" s="1145" t="str">
        <f t="shared" si="153"/>
        <v>.</v>
      </c>
      <c r="AW285" s="1146" t="str">
        <f t="shared" si="147"/>
        <v>.</v>
      </c>
      <c r="AX285" s="1146" t="str">
        <f t="shared" si="148"/>
        <v>.</v>
      </c>
      <c r="AY285" s="1146" t="str">
        <f t="shared" si="149"/>
        <v>.</v>
      </c>
      <c r="AZ285" s="1146" t="str">
        <f t="shared" si="150"/>
        <v>.</v>
      </c>
      <c r="BA285" s="1146" t="str">
        <f t="shared" si="151"/>
        <v>.</v>
      </c>
      <c r="BB285" s="1147" t="str">
        <f t="shared" si="152"/>
        <v>.</v>
      </c>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row>
    <row r="286" spans="1:92" x14ac:dyDescent="0.2">
      <c r="A286" s="620"/>
      <c r="B286" s="1077" t="str">
        <f t="shared" si="168"/>
        <v>Special rate</v>
      </c>
      <c r="C286" s="1022" t="str">
        <f t="shared" si="168"/>
        <v/>
      </c>
      <c r="D286" s="1022" t="s">
        <v>687</v>
      </c>
      <c r="E286" s="1022"/>
      <c r="F286" s="1022"/>
      <c r="G286" s="1022"/>
      <c r="H286" s="1022"/>
      <c r="I286" s="1022"/>
      <c r="J286" s="1023" t="str">
        <f t="shared" si="159"/>
        <v>.</v>
      </c>
      <c r="K286" s="1012"/>
      <c r="L286" s="1024"/>
      <c r="M286" s="1024"/>
      <c r="N286" s="1024"/>
      <c r="O286" s="1024"/>
      <c r="P286" s="1024"/>
      <c r="Q286" s="1078"/>
      <c r="R286" s="76"/>
      <c r="S286" s="3"/>
      <c r="T286" s="1028">
        <f t="shared" si="169"/>
        <v>0</v>
      </c>
      <c r="U286" s="1029">
        <f t="shared" si="169"/>
        <v>0</v>
      </c>
      <c r="V286" s="1035"/>
      <c r="W286" s="3"/>
      <c r="X286" s="1043" t="str">
        <f t="shared" si="160"/>
        <v>.</v>
      </c>
      <c r="Y286" s="1044" t="str">
        <f t="shared" si="161"/>
        <v>.</v>
      </c>
      <c r="Z286" s="1044" t="str">
        <f t="shared" si="162"/>
        <v>.</v>
      </c>
      <c r="AA286" s="1044" t="str">
        <f t="shared" si="163"/>
        <v>.</v>
      </c>
      <c r="AB286" s="1044" t="str">
        <f t="shared" si="164"/>
        <v>.</v>
      </c>
      <c r="AC286" s="1044" t="str">
        <f t="shared" si="165"/>
        <v>.</v>
      </c>
      <c r="AD286" s="1045" t="str">
        <f t="shared" si="166"/>
        <v>.</v>
      </c>
      <c r="AE286" s="3"/>
      <c r="AF286" s="1145" t="str">
        <f t="shared" si="154"/>
        <v>.</v>
      </c>
      <c r="AG286" s="1146" t="str">
        <f t="shared" si="141"/>
        <v>.</v>
      </c>
      <c r="AH286" s="1146" t="str">
        <f t="shared" si="142"/>
        <v>.</v>
      </c>
      <c r="AI286" s="1146" t="str">
        <f t="shared" si="143"/>
        <v>.</v>
      </c>
      <c r="AJ286" s="1146" t="str">
        <f t="shared" si="144"/>
        <v>.</v>
      </c>
      <c r="AK286" s="1146" t="str">
        <f t="shared" si="145"/>
        <v>.</v>
      </c>
      <c r="AL286" s="1147" t="str">
        <f t="shared" si="146"/>
        <v>.</v>
      </c>
      <c r="AM286" s="3"/>
      <c r="AN286" s="1043" t="str">
        <f>IF(X286=".",".",SUM($X286:X286))</f>
        <v>.</v>
      </c>
      <c r="AO286" s="1044" t="str">
        <f>IF(Y286=".",".",SUM($X286:Y286))</f>
        <v>.</v>
      </c>
      <c r="AP286" s="1044" t="str">
        <f>IF(Z286=".",".",SUM($X286:Z286))</f>
        <v>.</v>
      </c>
      <c r="AQ286" s="1044" t="str">
        <f>IF(AA286=".",".",SUM($X286:AA286))</f>
        <v>.</v>
      </c>
      <c r="AR286" s="1044" t="str">
        <f>IF(AB286=".",".",SUM($X286:AB286))</f>
        <v>.</v>
      </c>
      <c r="AS286" s="1044" t="str">
        <f>IF(AC286=".",".",SUM($X286:AC286))</f>
        <v>.</v>
      </c>
      <c r="AT286" s="1045" t="str">
        <f>IF(AD286=".",".",SUM($X286:AD286))</f>
        <v>.</v>
      </c>
      <c r="AU286" s="3"/>
      <c r="AV286" s="1145" t="str">
        <f t="shared" si="153"/>
        <v>.</v>
      </c>
      <c r="AW286" s="1146" t="str">
        <f t="shared" si="147"/>
        <v>.</v>
      </c>
      <c r="AX286" s="1146" t="str">
        <f t="shared" si="148"/>
        <v>.</v>
      </c>
      <c r="AY286" s="1146" t="str">
        <f t="shared" si="149"/>
        <v>.</v>
      </c>
      <c r="AZ286" s="1146" t="str">
        <f t="shared" si="150"/>
        <v>.</v>
      </c>
      <c r="BA286" s="1146" t="str">
        <f t="shared" si="151"/>
        <v>.</v>
      </c>
      <c r="BB286" s="1147" t="str">
        <f t="shared" si="152"/>
        <v>.</v>
      </c>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row>
    <row r="287" spans="1:92" x14ac:dyDescent="0.2">
      <c r="A287" s="620"/>
      <c r="B287" s="1077" t="str">
        <f t="shared" si="168"/>
        <v>Special rate</v>
      </c>
      <c r="C287" s="1022" t="str">
        <f t="shared" si="168"/>
        <v/>
      </c>
      <c r="D287" s="1022" t="s">
        <v>687</v>
      </c>
      <c r="E287" s="1022"/>
      <c r="F287" s="1022"/>
      <c r="G287" s="1022"/>
      <c r="H287" s="1022"/>
      <c r="I287" s="1022"/>
      <c r="J287" s="1023" t="str">
        <f t="shared" si="159"/>
        <v>.</v>
      </c>
      <c r="K287" s="1012"/>
      <c r="L287" s="1024"/>
      <c r="M287" s="1024"/>
      <c r="N287" s="1024"/>
      <c r="O287" s="1024"/>
      <c r="P287" s="1024"/>
      <c r="Q287" s="1078"/>
      <c r="R287" s="76"/>
      <c r="S287" s="3"/>
      <c r="T287" s="1028">
        <f t="shared" si="169"/>
        <v>0</v>
      </c>
      <c r="U287" s="1029">
        <f t="shared" si="169"/>
        <v>0</v>
      </c>
      <c r="V287" s="1035"/>
      <c r="W287" s="3"/>
      <c r="X287" s="1043" t="str">
        <f t="shared" si="160"/>
        <v>.</v>
      </c>
      <c r="Y287" s="1044" t="str">
        <f t="shared" si="161"/>
        <v>.</v>
      </c>
      <c r="Z287" s="1044" t="str">
        <f t="shared" si="162"/>
        <v>.</v>
      </c>
      <c r="AA287" s="1044" t="str">
        <f t="shared" si="163"/>
        <v>.</v>
      </c>
      <c r="AB287" s="1044" t="str">
        <f t="shared" si="164"/>
        <v>.</v>
      </c>
      <c r="AC287" s="1044" t="str">
        <f t="shared" si="165"/>
        <v>.</v>
      </c>
      <c r="AD287" s="1045" t="str">
        <f t="shared" si="166"/>
        <v>.</v>
      </c>
      <c r="AE287" s="3"/>
      <c r="AF287" s="1145" t="str">
        <f t="shared" si="154"/>
        <v>.</v>
      </c>
      <c r="AG287" s="1146" t="str">
        <f t="shared" si="141"/>
        <v>.</v>
      </c>
      <c r="AH287" s="1146" t="str">
        <f t="shared" si="142"/>
        <v>.</v>
      </c>
      <c r="AI287" s="1146" t="str">
        <f t="shared" si="143"/>
        <v>.</v>
      </c>
      <c r="AJ287" s="1146" t="str">
        <f t="shared" si="144"/>
        <v>.</v>
      </c>
      <c r="AK287" s="1146" t="str">
        <f t="shared" si="145"/>
        <v>.</v>
      </c>
      <c r="AL287" s="1147" t="str">
        <f t="shared" si="146"/>
        <v>.</v>
      </c>
      <c r="AM287" s="3"/>
      <c r="AN287" s="1043" t="str">
        <f>IF(X287=".",".",SUM($X287:X287))</f>
        <v>.</v>
      </c>
      <c r="AO287" s="1044" t="str">
        <f>IF(Y287=".",".",SUM($X287:Y287))</f>
        <v>.</v>
      </c>
      <c r="AP287" s="1044" t="str">
        <f>IF(Z287=".",".",SUM($X287:Z287))</f>
        <v>.</v>
      </c>
      <c r="AQ287" s="1044" t="str">
        <f>IF(AA287=".",".",SUM($X287:AA287))</f>
        <v>.</v>
      </c>
      <c r="AR287" s="1044" t="str">
        <f>IF(AB287=".",".",SUM($X287:AB287))</f>
        <v>.</v>
      </c>
      <c r="AS287" s="1044" t="str">
        <f>IF(AC287=".",".",SUM($X287:AC287))</f>
        <v>.</v>
      </c>
      <c r="AT287" s="1045" t="str">
        <f>IF(AD287=".",".",SUM($X287:AD287))</f>
        <v>.</v>
      </c>
      <c r="AU287" s="3"/>
      <c r="AV287" s="1145" t="str">
        <f t="shared" si="153"/>
        <v>.</v>
      </c>
      <c r="AW287" s="1146" t="str">
        <f t="shared" si="147"/>
        <v>.</v>
      </c>
      <c r="AX287" s="1146" t="str">
        <f t="shared" si="148"/>
        <v>.</v>
      </c>
      <c r="AY287" s="1146" t="str">
        <f t="shared" si="149"/>
        <v>.</v>
      </c>
      <c r="AZ287" s="1146" t="str">
        <f t="shared" si="150"/>
        <v>.</v>
      </c>
      <c r="BA287" s="1146" t="str">
        <f t="shared" si="151"/>
        <v>.</v>
      </c>
      <c r="BB287" s="1147" t="str">
        <f t="shared" si="152"/>
        <v>.</v>
      </c>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row>
    <row r="288" spans="1:92" x14ac:dyDescent="0.2">
      <c r="A288" s="620"/>
      <c r="B288" s="1077" t="str">
        <f t="shared" si="168"/>
        <v>Special rate</v>
      </c>
      <c r="C288" s="1022" t="str">
        <f t="shared" si="168"/>
        <v/>
      </c>
      <c r="D288" s="1022" t="s">
        <v>687</v>
      </c>
      <c r="E288" s="1022"/>
      <c r="F288" s="1022"/>
      <c r="G288" s="1022"/>
      <c r="H288" s="1022"/>
      <c r="I288" s="1022"/>
      <c r="J288" s="1023" t="str">
        <f t="shared" si="159"/>
        <v>.</v>
      </c>
      <c r="K288" s="1012"/>
      <c r="L288" s="1024"/>
      <c r="M288" s="1024"/>
      <c r="N288" s="1024"/>
      <c r="O288" s="1024"/>
      <c r="P288" s="1024"/>
      <c r="Q288" s="1078"/>
      <c r="R288" s="76"/>
      <c r="S288" s="3"/>
      <c r="T288" s="1028">
        <f t="shared" si="169"/>
        <v>0</v>
      </c>
      <c r="U288" s="1029">
        <f t="shared" si="169"/>
        <v>0</v>
      </c>
      <c r="V288" s="1035"/>
      <c r="W288" s="3"/>
      <c r="X288" s="1043" t="str">
        <f t="shared" si="160"/>
        <v>.</v>
      </c>
      <c r="Y288" s="1044" t="str">
        <f t="shared" si="161"/>
        <v>.</v>
      </c>
      <c r="Z288" s="1044" t="str">
        <f t="shared" si="162"/>
        <v>.</v>
      </c>
      <c r="AA288" s="1044" t="str">
        <f t="shared" si="163"/>
        <v>.</v>
      </c>
      <c r="AB288" s="1044" t="str">
        <f t="shared" si="164"/>
        <v>.</v>
      </c>
      <c r="AC288" s="1044" t="str">
        <f t="shared" si="165"/>
        <v>.</v>
      </c>
      <c r="AD288" s="1045" t="str">
        <f t="shared" si="166"/>
        <v>.</v>
      </c>
      <c r="AE288" s="3"/>
      <c r="AF288" s="1145" t="str">
        <f t="shared" si="154"/>
        <v>.</v>
      </c>
      <c r="AG288" s="1146" t="str">
        <f t="shared" si="141"/>
        <v>.</v>
      </c>
      <c r="AH288" s="1146" t="str">
        <f t="shared" si="142"/>
        <v>.</v>
      </c>
      <c r="AI288" s="1146" t="str">
        <f t="shared" si="143"/>
        <v>.</v>
      </c>
      <c r="AJ288" s="1146" t="str">
        <f t="shared" si="144"/>
        <v>.</v>
      </c>
      <c r="AK288" s="1146" t="str">
        <f t="shared" si="145"/>
        <v>.</v>
      </c>
      <c r="AL288" s="1147" t="str">
        <f t="shared" si="146"/>
        <v>.</v>
      </c>
      <c r="AM288" s="3"/>
      <c r="AN288" s="1043" t="str">
        <f>IF(X288=".",".",SUM($X288:X288))</f>
        <v>.</v>
      </c>
      <c r="AO288" s="1044" t="str">
        <f>IF(Y288=".",".",SUM($X288:Y288))</f>
        <v>.</v>
      </c>
      <c r="AP288" s="1044" t="str">
        <f>IF(Z288=".",".",SUM($X288:Z288))</f>
        <v>.</v>
      </c>
      <c r="AQ288" s="1044" t="str">
        <f>IF(AA288=".",".",SUM($X288:AA288))</f>
        <v>.</v>
      </c>
      <c r="AR288" s="1044" t="str">
        <f>IF(AB288=".",".",SUM($X288:AB288))</f>
        <v>.</v>
      </c>
      <c r="AS288" s="1044" t="str">
        <f>IF(AC288=".",".",SUM($X288:AC288))</f>
        <v>.</v>
      </c>
      <c r="AT288" s="1045" t="str">
        <f>IF(AD288=".",".",SUM($X288:AD288))</f>
        <v>.</v>
      </c>
      <c r="AU288" s="3"/>
      <c r="AV288" s="1145" t="str">
        <f t="shared" si="153"/>
        <v>.</v>
      </c>
      <c r="AW288" s="1146" t="str">
        <f t="shared" si="147"/>
        <v>.</v>
      </c>
      <c r="AX288" s="1146" t="str">
        <f t="shared" si="148"/>
        <v>.</v>
      </c>
      <c r="AY288" s="1146" t="str">
        <f t="shared" si="149"/>
        <v>.</v>
      </c>
      <c r="AZ288" s="1146" t="str">
        <f t="shared" si="150"/>
        <v>.</v>
      </c>
      <c r="BA288" s="1146" t="str">
        <f t="shared" si="151"/>
        <v>.</v>
      </c>
      <c r="BB288" s="1147" t="str">
        <f t="shared" si="152"/>
        <v>.</v>
      </c>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row>
    <row r="289" spans="1:92" x14ac:dyDescent="0.2">
      <c r="A289" s="620"/>
      <c r="B289" s="1077" t="str">
        <f t="shared" si="168"/>
        <v>Special rate</v>
      </c>
      <c r="C289" s="1022" t="str">
        <f t="shared" si="168"/>
        <v/>
      </c>
      <c r="D289" s="1022" t="s">
        <v>687</v>
      </c>
      <c r="E289" s="1022"/>
      <c r="F289" s="1022"/>
      <c r="G289" s="1022"/>
      <c r="H289" s="1022"/>
      <c r="I289" s="1022"/>
      <c r="J289" s="1023" t="str">
        <f t="shared" ref="J289:J320" si="170">J165</f>
        <v>.</v>
      </c>
      <c r="K289" s="1012"/>
      <c r="L289" s="1024"/>
      <c r="M289" s="1024"/>
      <c r="N289" s="1024"/>
      <c r="O289" s="1024"/>
      <c r="P289" s="1024"/>
      <c r="Q289" s="1078"/>
      <c r="R289" s="76"/>
      <c r="S289" s="3"/>
      <c r="T289" s="1028">
        <f t="shared" si="169"/>
        <v>0</v>
      </c>
      <c r="U289" s="1029">
        <f t="shared" si="169"/>
        <v>0</v>
      </c>
      <c r="V289" s="1035"/>
      <c r="W289" s="3"/>
      <c r="X289" s="1043" t="str">
        <f t="shared" ref="X289:X320" si="171">IF(K289="",".",K289-J289)</f>
        <v>.</v>
      </c>
      <c r="Y289" s="1044" t="str">
        <f t="shared" ref="Y289:Y320" si="172">IF(L289="",".",L289-K289)</f>
        <v>.</v>
      </c>
      <c r="Z289" s="1044" t="str">
        <f t="shared" ref="Z289:Z320" si="173">IF(M289="",".",M289-L289)</f>
        <v>.</v>
      </c>
      <c r="AA289" s="1044" t="str">
        <f t="shared" ref="AA289:AA320" si="174">IF(N289="",".",N289-M289)</f>
        <v>.</v>
      </c>
      <c r="AB289" s="1044" t="str">
        <f t="shared" ref="AB289:AB320" si="175">IF(O289="",".",O289-N289)</f>
        <v>.</v>
      </c>
      <c r="AC289" s="1044" t="str">
        <f t="shared" ref="AC289:AC320" si="176">IF(P289="",".",P289-O289)</f>
        <v>.</v>
      </c>
      <c r="AD289" s="1045" t="str">
        <f t="shared" ref="AD289:AD320" si="177">IF(Q289="",".",Q289-P289)</f>
        <v>.</v>
      </c>
      <c r="AE289" s="3"/>
      <c r="AF289" s="1145" t="str">
        <f t="shared" si="154"/>
        <v>.</v>
      </c>
      <c r="AG289" s="1146" t="str">
        <f t="shared" ref="AG289:AG343" si="178">IFERROR(L289/K289-1,".")</f>
        <v>.</v>
      </c>
      <c r="AH289" s="1146" t="str">
        <f t="shared" ref="AH289:AH343" si="179">IFERROR(M289/L289-1,".")</f>
        <v>.</v>
      </c>
      <c r="AI289" s="1146" t="str">
        <f t="shared" ref="AI289:AI343" si="180">IFERROR(N289/M289-1,".")</f>
        <v>.</v>
      </c>
      <c r="AJ289" s="1146" t="str">
        <f t="shared" ref="AJ289:AJ343" si="181">IFERROR(O289/N289-1,".")</f>
        <v>.</v>
      </c>
      <c r="AK289" s="1146" t="str">
        <f t="shared" ref="AK289:AK343" si="182">IFERROR(P289/O289-1,".")</f>
        <v>.</v>
      </c>
      <c r="AL289" s="1147" t="str">
        <f t="shared" ref="AL289:AL343" si="183">IFERROR(Q289/P289-1,".")</f>
        <v>.</v>
      </c>
      <c r="AM289" s="3"/>
      <c r="AN289" s="1043" t="str">
        <f>IF(X289=".",".",SUM($X289:X289))</f>
        <v>.</v>
      </c>
      <c r="AO289" s="1044" t="str">
        <f>IF(Y289=".",".",SUM($X289:Y289))</f>
        <v>.</v>
      </c>
      <c r="AP289" s="1044" t="str">
        <f>IF(Z289=".",".",SUM($X289:Z289))</f>
        <v>.</v>
      </c>
      <c r="AQ289" s="1044" t="str">
        <f>IF(AA289=".",".",SUM($X289:AA289))</f>
        <v>.</v>
      </c>
      <c r="AR289" s="1044" t="str">
        <f>IF(AB289=".",".",SUM($X289:AB289))</f>
        <v>.</v>
      </c>
      <c r="AS289" s="1044" t="str">
        <f>IF(AC289=".",".",SUM($X289:AC289))</f>
        <v>.</v>
      </c>
      <c r="AT289" s="1045" t="str">
        <f>IF(AD289=".",".",SUM($X289:AD289))</f>
        <v>.</v>
      </c>
      <c r="AU289" s="3"/>
      <c r="AV289" s="1145" t="str">
        <f t="shared" si="153"/>
        <v>.</v>
      </c>
      <c r="AW289" s="1146" t="str">
        <f t="shared" ref="AW289:AW343" si="184">IFERROR(L289/$J289-1,".")</f>
        <v>.</v>
      </c>
      <c r="AX289" s="1146" t="str">
        <f t="shared" ref="AX289:AX343" si="185">IFERROR(M289/$J289-1,".")</f>
        <v>.</v>
      </c>
      <c r="AY289" s="1146" t="str">
        <f t="shared" ref="AY289:AY343" si="186">IFERROR(N289/$J289-1,".")</f>
        <v>.</v>
      </c>
      <c r="AZ289" s="1146" t="str">
        <f t="shared" ref="AZ289:AZ343" si="187">IFERROR(O289/$J289-1,".")</f>
        <v>.</v>
      </c>
      <c r="BA289" s="1146" t="str">
        <f t="shared" ref="BA289:BA343" si="188">IFERROR(P289/$J289-1,".")</f>
        <v>.</v>
      </c>
      <c r="BB289" s="1147" t="str">
        <f t="shared" ref="BB289:BB343" si="189">IFERROR(Q289/$J289-1,".")</f>
        <v>.</v>
      </c>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row>
    <row r="290" spans="1:92" x14ac:dyDescent="0.2">
      <c r="A290" s="620"/>
      <c r="B290" s="1077" t="str">
        <f t="shared" si="168"/>
        <v>Special rate</v>
      </c>
      <c r="C290" s="1022" t="str">
        <f t="shared" si="168"/>
        <v/>
      </c>
      <c r="D290" s="1022" t="s">
        <v>687</v>
      </c>
      <c r="E290" s="1022"/>
      <c r="F290" s="1022"/>
      <c r="G290" s="1022"/>
      <c r="H290" s="1022"/>
      <c r="I290" s="1022"/>
      <c r="J290" s="1023" t="str">
        <f t="shared" si="170"/>
        <v>.</v>
      </c>
      <c r="K290" s="1012"/>
      <c r="L290" s="1024"/>
      <c r="M290" s="1024"/>
      <c r="N290" s="1024"/>
      <c r="O290" s="1024"/>
      <c r="P290" s="1024"/>
      <c r="Q290" s="1078"/>
      <c r="R290" s="76"/>
      <c r="S290" s="3"/>
      <c r="T290" s="1028">
        <f t="shared" si="169"/>
        <v>0</v>
      </c>
      <c r="U290" s="1029">
        <f t="shared" si="169"/>
        <v>0</v>
      </c>
      <c r="V290" s="1035"/>
      <c r="W290" s="3"/>
      <c r="X290" s="1043" t="str">
        <f t="shared" si="171"/>
        <v>.</v>
      </c>
      <c r="Y290" s="1044" t="str">
        <f t="shared" si="172"/>
        <v>.</v>
      </c>
      <c r="Z290" s="1044" t="str">
        <f t="shared" si="173"/>
        <v>.</v>
      </c>
      <c r="AA290" s="1044" t="str">
        <f t="shared" si="174"/>
        <v>.</v>
      </c>
      <c r="AB290" s="1044" t="str">
        <f t="shared" si="175"/>
        <v>.</v>
      </c>
      <c r="AC290" s="1044" t="str">
        <f t="shared" si="176"/>
        <v>.</v>
      </c>
      <c r="AD290" s="1045" t="str">
        <f t="shared" si="177"/>
        <v>.</v>
      </c>
      <c r="AE290" s="3"/>
      <c r="AF290" s="1145" t="str">
        <f t="shared" si="154"/>
        <v>.</v>
      </c>
      <c r="AG290" s="1146" t="str">
        <f t="shared" si="178"/>
        <v>.</v>
      </c>
      <c r="AH290" s="1146" t="str">
        <f t="shared" si="179"/>
        <v>.</v>
      </c>
      <c r="AI290" s="1146" t="str">
        <f t="shared" si="180"/>
        <v>.</v>
      </c>
      <c r="AJ290" s="1146" t="str">
        <f t="shared" si="181"/>
        <v>.</v>
      </c>
      <c r="AK290" s="1146" t="str">
        <f t="shared" si="182"/>
        <v>.</v>
      </c>
      <c r="AL290" s="1147" t="str">
        <f t="shared" si="183"/>
        <v>.</v>
      </c>
      <c r="AM290" s="3"/>
      <c r="AN290" s="1043" t="str">
        <f>IF(X290=".",".",SUM($X290:X290))</f>
        <v>.</v>
      </c>
      <c r="AO290" s="1044" t="str">
        <f>IF(Y290=".",".",SUM($X290:Y290))</f>
        <v>.</v>
      </c>
      <c r="AP290" s="1044" t="str">
        <f>IF(Z290=".",".",SUM($X290:Z290))</f>
        <v>.</v>
      </c>
      <c r="AQ290" s="1044" t="str">
        <f>IF(AA290=".",".",SUM($X290:AA290))</f>
        <v>.</v>
      </c>
      <c r="AR290" s="1044" t="str">
        <f>IF(AB290=".",".",SUM($X290:AB290))</f>
        <v>.</v>
      </c>
      <c r="AS290" s="1044" t="str">
        <f>IF(AC290=".",".",SUM($X290:AC290))</f>
        <v>.</v>
      </c>
      <c r="AT290" s="1045" t="str">
        <f>IF(AD290=".",".",SUM($X290:AD290))</f>
        <v>.</v>
      </c>
      <c r="AU290" s="3"/>
      <c r="AV290" s="1145" t="str">
        <f t="shared" ref="AV290:AV343" si="190">IFERROR(K290/$J290-1,".")</f>
        <v>.</v>
      </c>
      <c r="AW290" s="1146" t="str">
        <f t="shared" si="184"/>
        <v>.</v>
      </c>
      <c r="AX290" s="1146" t="str">
        <f t="shared" si="185"/>
        <v>.</v>
      </c>
      <c r="AY290" s="1146" t="str">
        <f t="shared" si="186"/>
        <v>.</v>
      </c>
      <c r="AZ290" s="1146" t="str">
        <f t="shared" si="187"/>
        <v>.</v>
      </c>
      <c r="BA290" s="1146" t="str">
        <f t="shared" si="188"/>
        <v>.</v>
      </c>
      <c r="BB290" s="1147" t="str">
        <f t="shared" si="189"/>
        <v>.</v>
      </c>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row>
    <row r="291" spans="1:92" x14ac:dyDescent="0.2">
      <c r="A291" s="620"/>
      <c r="B291" s="1077" t="str">
        <f t="shared" si="168"/>
        <v>Special rate</v>
      </c>
      <c r="C291" s="1022" t="str">
        <f t="shared" si="168"/>
        <v/>
      </c>
      <c r="D291" s="1022" t="s">
        <v>687</v>
      </c>
      <c r="E291" s="1022"/>
      <c r="F291" s="1022"/>
      <c r="G291" s="1022"/>
      <c r="H291" s="1022"/>
      <c r="I291" s="1022"/>
      <c r="J291" s="1023" t="str">
        <f t="shared" si="170"/>
        <v>.</v>
      </c>
      <c r="K291" s="1012"/>
      <c r="L291" s="1024"/>
      <c r="M291" s="1024"/>
      <c r="N291" s="1024"/>
      <c r="O291" s="1024"/>
      <c r="P291" s="1024"/>
      <c r="Q291" s="1078"/>
      <c r="R291" s="76"/>
      <c r="S291" s="3"/>
      <c r="T291" s="1028">
        <f t="shared" si="169"/>
        <v>0</v>
      </c>
      <c r="U291" s="1029">
        <f t="shared" si="169"/>
        <v>0</v>
      </c>
      <c r="V291" s="1035"/>
      <c r="W291" s="3"/>
      <c r="X291" s="1043" t="str">
        <f t="shared" si="171"/>
        <v>.</v>
      </c>
      <c r="Y291" s="1044" t="str">
        <f t="shared" si="172"/>
        <v>.</v>
      </c>
      <c r="Z291" s="1044" t="str">
        <f t="shared" si="173"/>
        <v>.</v>
      </c>
      <c r="AA291" s="1044" t="str">
        <f t="shared" si="174"/>
        <v>.</v>
      </c>
      <c r="AB291" s="1044" t="str">
        <f t="shared" si="175"/>
        <v>.</v>
      </c>
      <c r="AC291" s="1044" t="str">
        <f t="shared" si="176"/>
        <v>.</v>
      </c>
      <c r="AD291" s="1045" t="str">
        <f t="shared" si="177"/>
        <v>.</v>
      </c>
      <c r="AE291" s="3"/>
      <c r="AF291" s="1145" t="str">
        <f t="shared" si="154"/>
        <v>.</v>
      </c>
      <c r="AG291" s="1146" t="str">
        <f t="shared" si="178"/>
        <v>.</v>
      </c>
      <c r="AH291" s="1146" t="str">
        <f t="shared" si="179"/>
        <v>.</v>
      </c>
      <c r="AI291" s="1146" t="str">
        <f t="shared" si="180"/>
        <v>.</v>
      </c>
      <c r="AJ291" s="1146" t="str">
        <f t="shared" si="181"/>
        <v>.</v>
      </c>
      <c r="AK291" s="1146" t="str">
        <f t="shared" si="182"/>
        <v>.</v>
      </c>
      <c r="AL291" s="1147" t="str">
        <f t="shared" si="183"/>
        <v>.</v>
      </c>
      <c r="AM291" s="3"/>
      <c r="AN291" s="1043" t="str">
        <f>IF(X291=".",".",SUM($X291:X291))</f>
        <v>.</v>
      </c>
      <c r="AO291" s="1044" t="str">
        <f>IF(Y291=".",".",SUM($X291:Y291))</f>
        <v>.</v>
      </c>
      <c r="AP291" s="1044" t="str">
        <f>IF(Z291=".",".",SUM($X291:Z291))</f>
        <v>.</v>
      </c>
      <c r="AQ291" s="1044" t="str">
        <f>IF(AA291=".",".",SUM($X291:AA291))</f>
        <v>.</v>
      </c>
      <c r="AR291" s="1044" t="str">
        <f>IF(AB291=".",".",SUM($X291:AB291))</f>
        <v>.</v>
      </c>
      <c r="AS291" s="1044" t="str">
        <f>IF(AC291=".",".",SUM($X291:AC291))</f>
        <v>.</v>
      </c>
      <c r="AT291" s="1045" t="str">
        <f>IF(AD291=".",".",SUM($X291:AD291))</f>
        <v>.</v>
      </c>
      <c r="AU291" s="3"/>
      <c r="AV291" s="1145" t="str">
        <f t="shared" si="190"/>
        <v>.</v>
      </c>
      <c r="AW291" s="1146" t="str">
        <f t="shared" si="184"/>
        <v>.</v>
      </c>
      <c r="AX291" s="1146" t="str">
        <f t="shared" si="185"/>
        <v>.</v>
      </c>
      <c r="AY291" s="1146" t="str">
        <f t="shared" si="186"/>
        <v>.</v>
      </c>
      <c r="AZ291" s="1146" t="str">
        <f t="shared" si="187"/>
        <v>.</v>
      </c>
      <c r="BA291" s="1146" t="str">
        <f t="shared" si="188"/>
        <v>.</v>
      </c>
      <c r="BB291" s="1147" t="str">
        <f t="shared" si="189"/>
        <v>.</v>
      </c>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row>
    <row r="292" spans="1:92" x14ac:dyDescent="0.2">
      <c r="A292" s="620"/>
      <c r="B292" s="1077" t="str">
        <f t="shared" si="168"/>
        <v>Special rate</v>
      </c>
      <c r="C292" s="1022" t="str">
        <f t="shared" si="168"/>
        <v/>
      </c>
      <c r="D292" s="1022" t="s">
        <v>687</v>
      </c>
      <c r="E292" s="1022"/>
      <c r="F292" s="1022"/>
      <c r="G292" s="1022"/>
      <c r="H292" s="1022"/>
      <c r="I292" s="1022"/>
      <c r="J292" s="1023" t="str">
        <f t="shared" si="170"/>
        <v>.</v>
      </c>
      <c r="K292" s="1012"/>
      <c r="L292" s="1024"/>
      <c r="M292" s="1024"/>
      <c r="N292" s="1024"/>
      <c r="O292" s="1024"/>
      <c r="P292" s="1024"/>
      <c r="Q292" s="1078"/>
      <c r="R292" s="76"/>
      <c r="S292" s="3"/>
      <c r="T292" s="1028">
        <f t="shared" si="169"/>
        <v>0</v>
      </c>
      <c r="U292" s="1029">
        <f t="shared" si="169"/>
        <v>0</v>
      </c>
      <c r="V292" s="1035"/>
      <c r="W292" s="3"/>
      <c r="X292" s="1043" t="str">
        <f t="shared" si="171"/>
        <v>.</v>
      </c>
      <c r="Y292" s="1044" t="str">
        <f t="shared" si="172"/>
        <v>.</v>
      </c>
      <c r="Z292" s="1044" t="str">
        <f t="shared" si="173"/>
        <v>.</v>
      </c>
      <c r="AA292" s="1044" t="str">
        <f t="shared" si="174"/>
        <v>.</v>
      </c>
      <c r="AB292" s="1044" t="str">
        <f t="shared" si="175"/>
        <v>.</v>
      </c>
      <c r="AC292" s="1044" t="str">
        <f t="shared" si="176"/>
        <v>.</v>
      </c>
      <c r="AD292" s="1045" t="str">
        <f t="shared" si="177"/>
        <v>.</v>
      </c>
      <c r="AE292" s="3"/>
      <c r="AF292" s="1145" t="str">
        <f t="shared" si="154"/>
        <v>.</v>
      </c>
      <c r="AG292" s="1146" t="str">
        <f t="shared" si="178"/>
        <v>.</v>
      </c>
      <c r="AH292" s="1146" t="str">
        <f t="shared" si="179"/>
        <v>.</v>
      </c>
      <c r="AI292" s="1146" t="str">
        <f t="shared" si="180"/>
        <v>.</v>
      </c>
      <c r="AJ292" s="1146" t="str">
        <f t="shared" si="181"/>
        <v>.</v>
      </c>
      <c r="AK292" s="1146" t="str">
        <f t="shared" si="182"/>
        <v>.</v>
      </c>
      <c r="AL292" s="1147" t="str">
        <f t="shared" si="183"/>
        <v>.</v>
      </c>
      <c r="AM292" s="3"/>
      <c r="AN292" s="1043" t="str">
        <f>IF(X292=".",".",SUM($X292:X292))</f>
        <v>.</v>
      </c>
      <c r="AO292" s="1044" t="str">
        <f>IF(Y292=".",".",SUM($X292:Y292))</f>
        <v>.</v>
      </c>
      <c r="AP292" s="1044" t="str">
        <f>IF(Z292=".",".",SUM($X292:Z292))</f>
        <v>.</v>
      </c>
      <c r="AQ292" s="1044" t="str">
        <f>IF(AA292=".",".",SUM($X292:AA292))</f>
        <v>.</v>
      </c>
      <c r="AR292" s="1044" t="str">
        <f>IF(AB292=".",".",SUM($X292:AB292))</f>
        <v>.</v>
      </c>
      <c r="AS292" s="1044" t="str">
        <f>IF(AC292=".",".",SUM($X292:AC292))</f>
        <v>.</v>
      </c>
      <c r="AT292" s="1045" t="str">
        <f>IF(AD292=".",".",SUM($X292:AD292))</f>
        <v>.</v>
      </c>
      <c r="AU292" s="3"/>
      <c r="AV292" s="1145" t="str">
        <f t="shared" si="190"/>
        <v>.</v>
      </c>
      <c r="AW292" s="1146" t="str">
        <f t="shared" si="184"/>
        <v>.</v>
      </c>
      <c r="AX292" s="1146" t="str">
        <f t="shared" si="185"/>
        <v>.</v>
      </c>
      <c r="AY292" s="1146" t="str">
        <f t="shared" si="186"/>
        <v>.</v>
      </c>
      <c r="AZ292" s="1146" t="str">
        <f t="shared" si="187"/>
        <v>.</v>
      </c>
      <c r="BA292" s="1146" t="str">
        <f t="shared" si="188"/>
        <v>.</v>
      </c>
      <c r="BB292" s="1147" t="str">
        <f t="shared" si="189"/>
        <v>.</v>
      </c>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row>
    <row r="293" spans="1:92" x14ac:dyDescent="0.2">
      <c r="A293" s="620"/>
      <c r="B293" s="1077" t="str">
        <f t="shared" si="168"/>
        <v>Special rate</v>
      </c>
      <c r="C293" s="1022" t="str">
        <f t="shared" si="168"/>
        <v/>
      </c>
      <c r="D293" s="1022" t="s">
        <v>687</v>
      </c>
      <c r="E293" s="1022"/>
      <c r="F293" s="1022"/>
      <c r="G293" s="1022"/>
      <c r="H293" s="1022"/>
      <c r="I293" s="1022"/>
      <c r="J293" s="1023" t="str">
        <f t="shared" si="170"/>
        <v>.</v>
      </c>
      <c r="K293" s="1012"/>
      <c r="L293" s="1024"/>
      <c r="M293" s="1024"/>
      <c r="N293" s="1024"/>
      <c r="O293" s="1024"/>
      <c r="P293" s="1024"/>
      <c r="Q293" s="1078"/>
      <c r="R293" s="76"/>
      <c r="S293" s="3"/>
      <c r="T293" s="1028">
        <f t="shared" si="169"/>
        <v>0</v>
      </c>
      <c r="U293" s="1029">
        <f t="shared" si="169"/>
        <v>0</v>
      </c>
      <c r="V293" s="1035"/>
      <c r="W293" s="3"/>
      <c r="X293" s="1043" t="str">
        <f t="shared" si="171"/>
        <v>.</v>
      </c>
      <c r="Y293" s="1044" t="str">
        <f t="shared" si="172"/>
        <v>.</v>
      </c>
      <c r="Z293" s="1044" t="str">
        <f t="shared" si="173"/>
        <v>.</v>
      </c>
      <c r="AA293" s="1044" t="str">
        <f t="shared" si="174"/>
        <v>.</v>
      </c>
      <c r="AB293" s="1044" t="str">
        <f t="shared" si="175"/>
        <v>.</v>
      </c>
      <c r="AC293" s="1044" t="str">
        <f t="shared" si="176"/>
        <v>.</v>
      </c>
      <c r="AD293" s="1045" t="str">
        <f t="shared" si="177"/>
        <v>.</v>
      </c>
      <c r="AE293" s="3"/>
      <c r="AF293" s="1145" t="str">
        <f t="shared" si="154"/>
        <v>.</v>
      </c>
      <c r="AG293" s="1146" t="str">
        <f t="shared" si="178"/>
        <v>.</v>
      </c>
      <c r="AH293" s="1146" t="str">
        <f t="shared" si="179"/>
        <v>.</v>
      </c>
      <c r="AI293" s="1146" t="str">
        <f t="shared" si="180"/>
        <v>.</v>
      </c>
      <c r="AJ293" s="1146" t="str">
        <f t="shared" si="181"/>
        <v>.</v>
      </c>
      <c r="AK293" s="1146" t="str">
        <f t="shared" si="182"/>
        <v>.</v>
      </c>
      <c r="AL293" s="1147" t="str">
        <f t="shared" si="183"/>
        <v>.</v>
      </c>
      <c r="AM293" s="3"/>
      <c r="AN293" s="1043" t="str">
        <f>IF(X293=".",".",SUM($X293:X293))</f>
        <v>.</v>
      </c>
      <c r="AO293" s="1044" t="str">
        <f>IF(Y293=".",".",SUM($X293:Y293))</f>
        <v>.</v>
      </c>
      <c r="AP293" s="1044" t="str">
        <f>IF(Z293=".",".",SUM($X293:Z293))</f>
        <v>.</v>
      </c>
      <c r="AQ293" s="1044" t="str">
        <f>IF(AA293=".",".",SUM($X293:AA293))</f>
        <v>.</v>
      </c>
      <c r="AR293" s="1044" t="str">
        <f>IF(AB293=".",".",SUM($X293:AB293))</f>
        <v>.</v>
      </c>
      <c r="AS293" s="1044" t="str">
        <f>IF(AC293=".",".",SUM($X293:AC293))</f>
        <v>.</v>
      </c>
      <c r="AT293" s="1045" t="str">
        <f>IF(AD293=".",".",SUM($X293:AD293))</f>
        <v>.</v>
      </c>
      <c r="AU293" s="3"/>
      <c r="AV293" s="1145" t="str">
        <f t="shared" si="190"/>
        <v>.</v>
      </c>
      <c r="AW293" s="1146" t="str">
        <f t="shared" si="184"/>
        <v>.</v>
      </c>
      <c r="AX293" s="1146" t="str">
        <f t="shared" si="185"/>
        <v>.</v>
      </c>
      <c r="AY293" s="1146" t="str">
        <f t="shared" si="186"/>
        <v>.</v>
      </c>
      <c r="AZ293" s="1146" t="str">
        <f t="shared" si="187"/>
        <v>.</v>
      </c>
      <c r="BA293" s="1146" t="str">
        <f t="shared" si="188"/>
        <v>.</v>
      </c>
      <c r="BB293" s="1147" t="str">
        <f t="shared" si="189"/>
        <v>.</v>
      </c>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row>
    <row r="294" spans="1:92" x14ac:dyDescent="0.2">
      <c r="A294" s="620"/>
      <c r="B294" s="1077" t="str">
        <f t="shared" si="168"/>
        <v>Special rate</v>
      </c>
      <c r="C294" s="1022" t="str">
        <f t="shared" si="168"/>
        <v/>
      </c>
      <c r="D294" s="1022" t="s">
        <v>687</v>
      </c>
      <c r="E294" s="1022"/>
      <c r="F294" s="1022"/>
      <c r="G294" s="1022"/>
      <c r="H294" s="1022"/>
      <c r="I294" s="1022"/>
      <c r="J294" s="1023" t="str">
        <f t="shared" si="170"/>
        <v>.</v>
      </c>
      <c r="K294" s="1012"/>
      <c r="L294" s="1024"/>
      <c r="M294" s="1024"/>
      <c r="N294" s="1024"/>
      <c r="O294" s="1024"/>
      <c r="P294" s="1024"/>
      <c r="Q294" s="1078"/>
      <c r="R294" s="76"/>
      <c r="S294" s="3"/>
      <c r="T294" s="1028">
        <f t="shared" si="169"/>
        <v>0</v>
      </c>
      <c r="U294" s="1029">
        <f t="shared" si="169"/>
        <v>0</v>
      </c>
      <c r="V294" s="1035"/>
      <c r="W294" s="3"/>
      <c r="X294" s="1043" t="str">
        <f t="shared" si="171"/>
        <v>.</v>
      </c>
      <c r="Y294" s="1044" t="str">
        <f t="shared" si="172"/>
        <v>.</v>
      </c>
      <c r="Z294" s="1044" t="str">
        <f t="shared" si="173"/>
        <v>.</v>
      </c>
      <c r="AA294" s="1044" t="str">
        <f t="shared" si="174"/>
        <v>.</v>
      </c>
      <c r="AB294" s="1044" t="str">
        <f t="shared" si="175"/>
        <v>.</v>
      </c>
      <c r="AC294" s="1044" t="str">
        <f t="shared" si="176"/>
        <v>.</v>
      </c>
      <c r="AD294" s="1045" t="str">
        <f t="shared" si="177"/>
        <v>.</v>
      </c>
      <c r="AE294" s="3"/>
      <c r="AF294" s="1145" t="str">
        <f t="shared" ref="AF294:AF343" si="191">IFERROR(K294/J294-1,".")</f>
        <v>.</v>
      </c>
      <c r="AG294" s="1146" t="str">
        <f t="shared" si="178"/>
        <v>.</v>
      </c>
      <c r="AH294" s="1146" t="str">
        <f t="shared" si="179"/>
        <v>.</v>
      </c>
      <c r="AI294" s="1146" t="str">
        <f t="shared" si="180"/>
        <v>.</v>
      </c>
      <c r="AJ294" s="1146" t="str">
        <f t="shared" si="181"/>
        <v>.</v>
      </c>
      <c r="AK294" s="1146" t="str">
        <f t="shared" si="182"/>
        <v>.</v>
      </c>
      <c r="AL294" s="1147" t="str">
        <f t="shared" si="183"/>
        <v>.</v>
      </c>
      <c r="AM294" s="3"/>
      <c r="AN294" s="1043" t="str">
        <f>IF(X294=".",".",SUM($X294:X294))</f>
        <v>.</v>
      </c>
      <c r="AO294" s="1044" t="str">
        <f>IF(Y294=".",".",SUM($X294:Y294))</f>
        <v>.</v>
      </c>
      <c r="AP294" s="1044" t="str">
        <f>IF(Z294=".",".",SUM($X294:Z294))</f>
        <v>.</v>
      </c>
      <c r="AQ294" s="1044" t="str">
        <f>IF(AA294=".",".",SUM($X294:AA294))</f>
        <v>.</v>
      </c>
      <c r="AR294" s="1044" t="str">
        <f>IF(AB294=".",".",SUM($X294:AB294))</f>
        <v>.</v>
      </c>
      <c r="AS294" s="1044" t="str">
        <f>IF(AC294=".",".",SUM($X294:AC294))</f>
        <v>.</v>
      </c>
      <c r="AT294" s="1045" t="str">
        <f>IF(AD294=".",".",SUM($X294:AD294))</f>
        <v>.</v>
      </c>
      <c r="AU294" s="3"/>
      <c r="AV294" s="1145" t="str">
        <f t="shared" si="190"/>
        <v>.</v>
      </c>
      <c r="AW294" s="1146" t="str">
        <f t="shared" si="184"/>
        <v>.</v>
      </c>
      <c r="AX294" s="1146" t="str">
        <f t="shared" si="185"/>
        <v>.</v>
      </c>
      <c r="AY294" s="1146" t="str">
        <f t="shared" si="186"/>
        <v>.</v>
      </c>
      <c r="AZ294" s="1146" t="str">
        <f t="shared" si="187"/>
        <v>.</v>
      </c>
      <c r="BA294" s="1146" t="str">
        <f t="shared" si="188"/>
        <v>.</v>
      </c>
      <c r="BB294" s="1147" t="str">
        <f t="shared" si="189"/>
        <v>.</v>
      </c>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row>
    <row r="295" spans="1:92" x14ac:dyDescent="0.2">
      <c r="A295" s="620"/>
      <c r="B295" s="1077" t="str">
        <f t="shared" si="168"/>
        <v>Special rate</v>
      </c>
      <c r="C295" s="1022" t="str">
        <f t="shared" si="168"/>
        <v/>
      </c>
      <c r="D295" s="1022" t="s">
        <v>687</v>
      </c>
      <c r="E295" s="1022"/>
      <c r="F295" s="1022"/>
      <c r="G295" s="1022"/>
      <c r="H295" s="1022"/>
      <c r="I295" s="1022"/>
      <c r="J295" s="1023" t="str">
        <f t="shared" si="170"/>
        <v>.</v>
      </c>
      <c r="K295" s="1012"/>
      <c r="L295" s="1024"/>
      <c r="M295" s="1024"/>
      <c r="N295" s="1024"/>
      <c r="O295" s="1024"/>
      <c r="P295" s="1024"/>
      <c r="Q295" s="1078"/>
      <c r="R295" s="76"/>
      <c r="S295" s="3"/>
      <c r="T295" s="1028">
        <f t="shared" si="169"/>
        <v>0</v>
      </c>
      <c r="U295" s="1029">
        <f t="shared" si="169"/>
        <v>0</v>
      </c>
      <c r="V295" s="1035"/>
      <c r="W295" s="3"/>
      <c r="X295" s="1043" t="str">
        <f t="shared" si="171"/>
        <v>.</v>
      </c>
      <c r="Y295" s="1044" t="str">
        <f t="shared" si="172"/>
        <v>.</v>
      </c>
      <c r="Z295" s="1044" t="str">
        <f t="shared" si="173"/>
        <v>.</v>
      </c>
      <c r="AA295" s="1044" t="str">
        <f t="shared" si="174"/>
        <v>.</v>
      </c>
      <c r="AB295" s="1044" t="str">
        <f t="shared" si="175"/>
        <v>.</v>
      </c>
      <c r="AC295" s="1044" t="str">
        <f t="shared" si="176"/>
        <v>.</v>
      </c>
      <c r="AD295" s="1045" t="str">
        <f t="shared" si="177"/>
        <v>.</v>
      </c>
      <c r="AE295" s="3"/>
      <c r="AF295" s="1145" t="str">
        <f t="shared" si="191"/>
        <v>.</v>
      </c>
      <c r="AG295" s="1146" t="str">
        <f t="shared" si="178"/>
        <v>.</v>
      </c>
      <c r="AH295" s="1146" t="str">
        <f t="shared" si="179"/>
        <v>.</v>
      </c>
      <c r="AI295" s="1146" t="str">
        <f t="shared" si="180"/>
        <v>.</v>
      </c>
      <c r="AJ295" s="1146" t="str">
        <f t="shared" si="181"/>
        <v>.</v>
      </c>
      <c r="AK295" s="1146" t="str">
        <f t="shared" si="182"/>
        <v>.</v>
      </c>
      <c r="AL295" s="1147" t="str">
        <f t="shared" si="183"/>
        <v>.</v>
      </c>
      <c r="AM295" s="3"/>
      <c r="AN295" s="1043" t="str">
        <f>IF(X295=".",".",SUM($X295:X295))</f>
        <v>.</v>
      </c>
      <c r="AO295" s="1044" t="str">
        <f>IF(Y295=".",".",SUM($X295:Y295))</f>
        <v>.</v>
      </c>
      <c r="AP295" s="1044" t="str">
        <f>IF(Z295=".",".",SUM($X295:Z295))</f>
        <v>.</v>
      </c>
      <c r="AQ295" s="1044" t="str">
        <f>IF(AA295=".",".",SUM($X295:AA295))</f>
        <v>.</v>
      </c>
      <c r="AR295" s="1044" t="str">
        <f>IF(AB295=".",".",SUM($X295:AB295))</f>
        <v>.</v>
      </c>
      <c r="AS295" s="1044" t="str">
        <f>IF(AC295=".",".",SUM($X295:AC295))</f>
        <v>.</v>
      </c>
      <c r="AT295" s="1045" t="str">
        <f>IF(AD295=".",".",SUM($X295:AD295))</f>
        <v>.</v>
      </c>
      <c r="AU295" s="3"/>
      <c r="AV295" s="1145" t="str">
        <f t="shared" si="190"/>
        <v>.</v>
      </c>
      <c r="AW295" s="1146" t="str">
        <f t="shared" si="184"/>
        <v>.</v>
      </c>
      <c r="AX295" s="1146" t="str">
        <f t="shared" si="185"/>
        <v>.</v>
      </c>
      <c r="AY295" s="1146" t="str">
        <f t="shared" si="186"/>
        <v>.</v>
      </c>
      <c r="AZ295" s="1146" t="str">
        <f t="shared" si="187"/>
        <v>.</v>
      </c>
      <c r="BA295" s="1146" t="str">
        <f t="shared" si="188"/>
        <v>.</v>
      </c>
      <c r="BB295" s="1147" t="str">
        <f t="shared" si="189"/>
        <v>.</v>
      </c>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row>
    <row r="296" spans="1:92" x14ac:dyDescent="0.2">
      <c r="A296" s="620"/>
      <c r="B296" s="1077" t="str">
        <f t="shared" ref="B296:C300" si="192">B172</f>
        <v>Special rate</v>
      </c>
      <c r="C296" s="1022" t="str">
        <f t="shared" si="192"/>
        <v/>
      </c>
      <c r="D296" s="1022" t="s">
        <v>687</v>
      </c>
      <c r="E296" s="1022"/>
      <c r="F296" s="1022"/>
      <c r="G296" s="1022"/>
      <c r="H296" s="1022"/>
      <c r="I296" s="1022"/>
      <c r="J296" s="1023" t="str">
        <f t="shared" si="170"/>
        <v>.</v>
      </c>
      <c r="K296" s="1012"/>
      <c r="L296" s="1024"/>
      <c r="M296" s="1024"/>
      <c r="N296" s="1024"/>
      <c r="O296" s="1024"/>
      <c r="P296" s="1024"/>
      <c r="Q296" s="1078"/>
      <c r="R296" s="76"/>
      <c r="S296" s="3"/>
      <c r="T296" s="1028">
        <f t="shared" si="169"/>
        <v>0</v>
      </c>
      <c r="U296" s="1029">
        <f t="shared" si="169"/>
        <v>0</v>
      </c>
      <c r="V296" s="1035"/>
      <c r="W296" s="3"/>
      <c r="X296" s="1043" t="str">
        <f t="shared" si="171"/>
        <v>.</v>
      </c>
      <c r="Y296" s="1044" t="str">
        <f t="shared" si="172"/>
        <v>.</v>
      </c>
      <c r="Z296" s="1044" t="str">
        <f t="shared" si="173"/>
        <v>.</v>
      </c>
      <c r="AA296" s="1044" t="str">
        <f t="shared" si="174"/>
        <v>.</v>
      </c>
      <c r="AB296" s="1044" t="str">
        <f t="shared" si="175"/>
        <v>.</v>
      </c>
      <c r="AC296" s="1044" t="str">
        <f t="shared" si="176"/>
        <v>.</v>
      </c>
      <c r="AD296" s="1045" t="str">
        <f t="shared" si="177"/>
        <v>.</v>
      </c>
      <c r="AE296" s="3"/>
      <c r="AF296" s="1145" t="str">
        <f t="shared" si="191"/>
        <v>.</v>
      </c>
      <c r="AG296" s="1146" t="str">
        <f t="shared" si="178"/>
        <v>.</v>
      </c>
      <c r="AH296" s="1146" t="str">
        <f t="shared" si="179"/>
        <v>.</v>
      </c>
      <c r="AI296" s="1146" t="str">
        <f t="shared" si="180"/>
        <v>.</v>
      </c>
      <c r="AJ296" s="1146" t="str">
        <f t="shared" si="181"/>
        <v>.</v>
      </c>
      <c r="AK296" s="1146" t="str">
        <f t="shared" si="182"/>
        <v>.</v>
      </c>
      <c r="AL296" s="1147" t="str">
        <f t="shared" si="183"/>
        <v>.</v>
      </c>
      <c r="AM296" s="3"/>
      <c r="AN296" s="1043" t="str">
        <f>IF(X296=".",".",SUM($X296:X296))</f>
        <v>.</v>
      </c>
      <c r="AO296" s="1044" t="str">
        <f>IF(Y296=".",".",SUM($X296:Y296))</f>
        <v>.</v>
      </c>
      <c r="AP296" s="1044" t="str">
        <f>IF(Z296=".",".",SUM($X296:Z296))</f>
        <v>.</v>
      </c>
      <c r="AQ296" s="1044" t="str">
        <f>IF(AA296=".",".",SUM($X296:AA296))</f>
        <v>.</v>
      </c>
      <c r="AR296" s="1044" t="str">
        <f>IF(AB296=".",".",SUM($X296:AB296))</f>
        <v>.</v>
      </c>
      <c r="AS296" s="1044" t="str">
        <f>IF(AC296=".",".",SUM($X296:AC296))</f>
        <v>.</v>
      </c>
      <c r="AT296" s="1045" t="str">
        <f>IF(AD296=".",".",SUM($X296:AD296))</f>
        <v>.</v>
      </c>
      <c r="AU296" s="3"/>
      <c r="AV296" s="1145" t="str">
        <f t="shared" si="190"/>
        <v>.</v>
      </c>
      <c r="AW296" s="1146" t="str">
        <f t="shared" si="184"/>
        <v>.</v>
      </c>
      <c r="AX296" s="1146" t="str">
        <f t="shared" si="185"/>
        <v>.</v>
      </c>
      <c r="AY296" s="1146" t="str">
        <f t="shared" si="186"/>
        <v>.</v>
      </c>
      <c r="AZ296" s="1146" t="str">
        <f t="shared" si="187"/>
        <v>.</v>
      </c>
      <c r="BA296" s="1146" t="str">
        <f t="shared" si="188"/>
        <v>.</v>
      </c>
      <c r="BB296" s="1147" t="str">
        <f t="shared" si="189"/>
        <v>.</v>
      </c>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row>
    <row r="297" spans="1:92" x14ac:dyDescent="0.2">
      <c r="A297" s="620"/>
      <c r="B297" s="1077" t="str">
        <f t="shared" si="192"/>
        <v>Special rate</v>
      </c>
      <c r="C297" s="1022" t="str">
        <f t="shared" si="192"/>
        <v/>
      </c>
      <c r="D297" s="1022" t="s">
        <v>687</v>
      </c>
      <c r="E297" s="1022"/>
      <c r="F297" s="1022"/>
      <c r="G297" s="1022"/>
      <c r="H297" s="1022"/>
      <c r="I297" s="1022"/>
      <c r="J297" s="1023" t="str">
        <f t="shared" si="170"/>
        <v>.</v>
      </c>
      <c r="K297" s="1012"/>
      <c r="L297" s="1024"/>
      <c r="M297" s="1024"/>
      <c r="N297" s="1024"/>
      <c r="O297" s="1024"/>
      <c r="P297" s="1024"/>
      <c r="Q297" s="1078"/>
      <c r="R297" s="76"/>
      <c r="S297" s="3"/>
      <c r="T297" s="1028">
        <f t="shared" si="169"/>
        <v>0</v>
      </c>
      <c r="U297" s="1029">
        <f t="shared" si="169"/>
        <v>0</v>
      </c>
      <c r="V297" s="1035"/>
      <c r="W297" s="3"/>
      <c r="X297" s="1043" t="str">
        <f t="shared" si="171"/>
        <v>.</v>
      </c>
      <c r="Y297" s="1044" t="str">
        <f t="shared" si="172"/>
        <v>.</v>
      </c>
      <c r="Z297" s="1044" t="str">
        <f t="shared" si="173"/>
        <v>.</v>
      </c>
      <c r="AA297" s="1044" t="str">
        <f t="shared" si="174"/>
        <v>.</v>
      </c>
      <c r="AB297" s="1044" t="str">
        <f t="shared" si="175"/>
        <v>.</v>
      </c>
      <c r="AC297" s="1044" t="str">
        <f t="shared" si="176"/>
        <v>.</v>
      </c>
      <c r="AD297" s="1045" t="str">
        <f t="shared" si="177"/>
        <v>.</v>
      </c>
      <c r="AE297" s="3"/>
      <c r="AF297" s="1145" t="str">
        <f t="shared" si="191"/>
        <v>.</v>
      </c>
      <c r="AG297" s="1146" t="str">
        <f t="shared" si="178"/>
        <v>.</v>
      </c>
      <c r="AH297" s="1146" t="str">
        <f t="shared" si="179"/>
        <v>.</v>
      </c>
      <c r="AI297" s="1146" t="str">
        <f t="shared" si="180"/>
        <v>.</v>
      </c>
      <c r="AJ297" s="1146" t="str">
        <f t="shared" si="181"/>
        <v>.</v>
      </c>
      <c r="AK297" s="1146" t="str">
        <f t="shared" si="182"/>
        <v>.</v>
      </c>
      <c r="AL297" s="1147" t="str">
        <f t="shared" si="183"/>
        <v>.</v>
      </c>
      <c r="AM297" s="3"/>
      <c r="AN297" s="1043" t="str">
        <f>IF(X297=".",".",SUM($X297:X297))</f>
        <v>.</v>
      </c>
      <c r="AO297" s="1044" t="str">
        <f>IF(Y297=".",".",SUM($X297:Y297))</f>
        <v>.</v>
      </c>
      <c r="AP297" s="1044" t="str">
        <f>IF(Z297=".",".",SUM($X297:Z297))</f>
        <v>.</v>
      </c>
      <c r="AQ297" s="1044" t="str">
        <f>IF(AA297=".",".",SUM($X297:AA297))</f>
        <v>.</v>
      </c>
      <c r="AR297" s="1044" t="str">
        <f>IF(AB297=".",".",SUM($X297:AB297))</f>
        <v>.</v>
      </c>
      <c r="AS297" s="1044" t="str">
        <f>IF(AC297=".",".",SUM($X297:AC297))</f>
        <v>.</v>
      </c>
      <c r="AT297" s="1045" t="str">
        <f>IF(AD297=".",".",SUM($X297:AD297))</f>
        <v>.</v>
      </c>
      <c r="AU297" s="3"/>
      <c r="AV297" s="1145" t="str">
        <f t="shared" si="190"/>
        <v>.</v>
      </c>
      <c r="AW297" s="1146" t="str">
        <f t="shared" si="184"/>
        <v>.</v>
      </c>
      <c r="AX297" s="1146" t="str">
        <f t="shared" si="185"/>
        <v>.</v>
      </c>
      <c r="AY297" s="1146" t="str">
        <f t="shared" si="186"/>
        <v>.</v>
      </c>
      <c r="AZ297" s="1146" t="str">
        <f t="shared" si="187"/>
        <v>.</v>
      </c>
      <c r="BA297" s="1146" t="str">
        <f t="shared" si="188"/>
        <v>.</v>
      </c>
      <c r="BB297" s="1147" t="str">
        <f t="shared" si="189"/>
        <v>.</v>
      </c>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row>
    <row r="298" spans="1:92" x14ac:dyDescent="0.2">
      <c r="A298" s="620"/>
      <c r="B298" s="1077" t="str">
        <f t="shared" si="192"/>
        <v>Special rate</v>
      </c>
      <c r="C298" s="1022" t="str">
        <f t="shared" si="192"/>
        <v/>
      </c>
      <c r="D298" s="1022" t="s">
        <v>687</v>
      </c>
      <c r="E298" s="1022"/>
      <c r="F298" s="1022"/>
      <c r="G298" s="1022"/>
      <c r="H298" s="1022"/>
      <c r="I298" s="1022"/>
      <c r="J298" s="1023" t="str">
        <f t="shared" si="170"/>
        <v>.</v>
      </c>
      <c r="K298" s="1012"/>
      <c r="L298" s="1024"/>
      <c r="M298" s="1024"/>
      <c r="N298" s="1024"/>
      <c r="O298" s="1024"/>
      <c r="P298" s="1024"/>
      <c r="Q298" s="1078"/>
      <c r="R298" s="76"/>
      <c r="S298" s="3"/>
      <c r="T298" s="1028">
        <f t="shared" si="169"/>
        <v>0</v>
      </c>
      <c r="U298" s="1029">
        <f t="shared" si="169"/>
        <v>0</v>
      </c>
      <c r="V298" s="1035"/>
      <c r="W298" s="3"/>
      <c r="X298" s="1043" t="str">
        <f t="shared" si="171"/>
        <v>.</v>
      </c>
      <c r="Y298" s="1044" t="str">
        <f t="shared" si="172"/>
        <v>.</v>
      </c>
      <c r="Z298" s="1044" t="str">
        <f t="shared" si="173"/>
        <v>.</v>
      </c>
      <c r="AA298" s="1044" t="str">
        <f t="shared" si="174"/>
        <v>.</v>
      </c>
      <c r="AB298" s="1044" t="str">
        <f t="shared" si="175"/>
        <v>.</v>
      </c>
      <c r="AC298" s="1044" t="str">
        <f t="shared" si="176"/>
        <v>.</v>
      </c>
      <c r="AD298" s="1045" t="str">
        <f t="shared" si="177"/>
        <v>.</v>
      </c>
      <c r="AE298" s="3"/>
      <c r="AF298" s="1145" t="str">
        <f t="shared" si="191"/>
        <v>.</v>
      </c>
      <c r="AG298" s="1146" t="str">
        <f t="shared" si="178"/>
        <v>.</v>
      </c>
      <c r="AH298" s="1146" t="str">
        <f t="shared" si="179"/>
        <v>.</v>
      </c>
      <c r="AI298" s="1146" t="str">
        <f t="shared" si="180"/>
        <v>.</v>
      </c>
      <c r="AJ298" s="1146" t="str">
        <f t="shared" si="181"/>
        <v>.</v>
      </c>
      <c r="AK298" s="1146" t="str">
        <f t="shared" si="182"/>
        <v>.</v>
      </c>
      <c r="AL298" s="1147" t="str">
        <f t="shared" si="183"/>
        <v>.</v>
      </c>
      <c r="AM298" s="3"/>
      <c r="AN298" s="1043" t="str">
        <f>IF(X298=".",".",SUM($X298:X298))</f>
        <v>.</v>
      </c>
      <c r="AO298" s="1044" t="str">
        <f>IF(Y298=".",".",SUM($X298:Y298))</f>
        <v>.</v>
      </c>
      <c r="AP298" s="1044" t="str">
        <f>IF(Z298=".",".",SUM($X298:Z298))</f>
        <v>.</v>
      </c>
      <c r="AQ298" s="1044" t="str">
        <f>IF(AA298=".",".",SUM($X298:AA298))</f>
        <v>.</v>
      </c>
      <c r="AR298" s="1044" t="str">
        <f>IF(AB298=".",".",SUM($X298:AB298))</f>
        <v>.</v>
      </c>
      <c r="AS298" s="1044" t="str">
        <f>IF(AC298=".",".",SUM($X298:AC298))</f>
        <v>.</v>
      </c>
      <c r="AT298" s="1045" t="str">
        <f>IF(AD298=".",".",SUM($X298:AD298))</f>
        <v>.</v>
      </c>
      <c r="AU298" s="3"/>
      <c r="AV298" s="1145" t="str">
        <f t="shared" si="190"/>
        <v>.</v>
      </c>
      <c r="AW298" s="1146" t="str">
        <f t="shared" si="184"/>
        <v>.</v>
      </c>
      <c r="AX298" s="1146" t="str">
        <f t="shared" si="185"/>
        <v>.</v>
      </c>
      <c r="AY298" s="1146" t="str">
        <f t="shared" si="186"/>
        <v>.</v>
      </c>
      <c r="AZ298" s="1146" t="str">
        <f t="shared" si="187"/>
        <v>.</v>
      </c>
      <c r="BA298" s="1146" t="str">
        <f t="shared" si="188"/>
        <v>.</v>
      </c>
      <c r="BB298" s="1147" t="str">
        <f t="shared" si="189"/>
        <v>.</v>
      </c>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row>
    <row r="299" spans="1:92" x14ac:dyDescent="0.2">
      <c r="A299" s="620"/>
      <c r="B299" s="1077" t="str">
        <f t="shared" si="192"/>
        <v>Special rate</v>
      </c>
      <c r="C299" s="1022" t="str">
        <f t="shared" si="192"/>
        <v/>
      </c>
      <c r="D299" s="1022" t="s">
        <v>687</v>
      </c>
      <c r="E299" s="1022"/>
      <c r="F299" s="1022"/>
      <c r="G299" s="1022"/>
      <c r="H299" s="1022"/>
      <c r="I299" s="1022"/>
      <c r="J299" s="1023" t="str">
        <f t="shared" si="170"/>
        <v>.</v>
      </c>
      <c r="K299" s="1012"/>
      <c r="L299" s="1024"/>
      <c r="M299" s="1024"/>
      <c r="N299" s="1024"/>
      <c r="O299" s="1024"/>
      <c r="P299" s="1024"/>
      <c r="Q299" s="1078"/>
      <c r="R299" s="76"/>
      <c r="S299" s="3"/>
      <c r="T299" s="1028">
        <f t="shared" si="169"/>
        <v>0</v>
      </c>
      <c r="U299" s="1029">
        <f t="shared" si="169"/>
        <v>0</v>
      </c>
      <c r="V299" s="1035"/>
      <c r="W299" s="3"/>
      <c r="X299" s="1043" t="str">
        <f t="shared" si="171"/>
        <v>.</v>
      </c>
      <c r="Y299" s="1044" t="str">
        <f t="shared" si="172"/>
        <v>.</v>
      </c>
      <c r="Z299" s="1044" t="str">
        <f t="shared" si="173"/>
        <v>.</v>
      </c>
      <c r="AA299" s="1044" t="str">
        <f t="shared" si="174"/>
        <v>.</v>
      </c>
      <c r="AB299" s="1044" t="str">
        <f t="shared" si="175"/>
        <v>.</v>
      </c>
      <c r="AC299" s="1044" t="str">
        <f t="shared" si="176"/>
        <v>.</v>
      </c>
      <c r="AD299" s="1045" t="str">
        <f t="shared" si="177"/>
        <v>.</v>
      </c>
      <c r="AE299" s="3"/>
      <c r="AF299" s="1145" t="str">
        <f t="shared" si="191"/>
        <v>.</v>
      </c>
      <c r="AG299" s="1146" t="str">
        <f t="shared" si="178"/>
        <v>.</v>
      </c>
      <c r="AH299" s="1146" t="str">
        <f t="shared" si="179"/>
        <v>.</v>
      </c>
      <c r="AI299" s="1146" t="str">
        <f t="shared" si="180"/>
        <v>.</v>
      </c>
      <c r="AJ299" s="1146" t="str">
        <f t="shared" si="181"/>
        <v>.</v>
      </c>
      <c r="AK299" s="1146" t="str">
        <f t="shared" si="182"/>
        <v>.</v>
      </c>
      <c r="AL299" s="1147" t="str">
        <f t="shared" si="183"/>
        <v>.</v>
      </c>
      <c r="AM299" s="3"/>
      <c r="AN299" s="1043" t="str">
        <f>IF(X299=".",".",SUM($X299:X299))</f>
        <v>.</v>
      </c>
      <c r="AO299" s="1044" t="str">
        <f>IF(Y299=".",".",SUM($X299:Y299))</f>
        <v>.</v>
      </c>
      <c r="AP299" s="1044" t="str">
        <f>IF(Z299=".",".",SUM($X299:Z299))</f>
        <v>.</v>
      </c>
      <c r="AQ299" s="1044" t="str">
        <f>IF(AA299=".",".",SUM($X299:AA299))</f>
        <v>.</v>
      </c>
      <c r="AR299" s="1044" t="str">
        <f>IF(AB299=".",".",SUM($X299:AB299))</f>
        <v>.</v>
      </c>
      <c r="AS299" s="1044" t="str">
        <f>IF(AC299=".",".",SUM($X299:AC299))</f>
        <v>.</v>
      </c>
      <c r="AT299" s="1045" t="str">
        <f>IF(AD299=".",".",SUM($X299:AD299))</f>
        <v>.</v>
      </c>
      <c r="AU299" s="3"/>
      <c r="AV299" s="1145" t="str">
        <f t="shared" si="190"/>
        <v>.</v>
      </c>
      <c r="AW299" s="1146" t="str">
        <f t="shared" si="184"/>
        <v>.</v>
      </c>
      <c r="AX299" s="1146" t="str">
        <f t="shared" si="185"/>
        <v>.</v>
      </c>
      <c r="AY299" s="1146" t="str">
        <f t="shared" si="186"/>
        <v>.</v>
      </c>
      <c r="AZ299" s="1146" t="str">
        <f t="shared" si="187"/>
        <v>.</v>
      </c>
      <c r="BA299" s="1146" t="str">
        <f t="shared" si="188"/>
        <v>.</v>
      </c>
      <c r="BB299" s="1147" t="str">
        <f t="shared" si="189"/>
        <v>.</v>
      </c>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row>
    <row r="300" spans="1:92" x14ac:dyDescent="0.2">
      <c r="A300" s="620"/>
      <c r="B300" s="1077" t="str">
        <f t="shared" si="192"/>
        <v>Special rate</v>
      </c>
      <c r="C300" s="1022" t="str">
        <f t="shared" si="192"/>
        <v/>
      </c>
      <c r="D300" s="1022" t="s">
        <v>687</v>
      </c>
      <c r="E300" s="1022"/>
      <c r="F300" s="1022"/>
      <c r="G300" s="1022"/>
      <c r="H300" s="1022"/>
      <c r="I300" s="1022"/>
      <c r="J300" s="1023" t="str">
        <f t="shared" si="170"/>
        <v>.</v>
      </c>
      <c r="K300" s="1012"/>
      <c r="L300" s="1024"/>
      <c r="M300" s="1024"/>
      <c r="N300" s="1024"/>
      <c r="O300" s="1024"/>
      <c r="P300" s="1024"/>
      <c r="Q300" s="1078"/>
      <c r="R300" s="76"/>
      <c r="S300" s="3"/>
      <c r="T300" s="1028">
        <f t="shared" si="169"/>
        <v>0</v>
      </c>
      <c r="U300" s="1029">
        <f t="shared" si="169"/>
        <v>0</v>
      </c>
      <c r="V300" s="1035"/>
      <c r="W300" s="3"/>
      <c r="X300" s="1043" t="str">
        <f t="shared" si="171"/>
        <v>.</v>
      </c>
      <c r="Y300" s="1044" t="str">
        <f t="shared" si="172"/>
        <v>.</v>
      </c>
      <c r="Z300" s="1044" t="str">
        <f t="shared" si="173"/>
        <v>.</v>
      </c>
      <c r="AA300" s="1044" t="str">
        <f t="shared" si="174"/>
        <v>.</v>
      </c>
      <c r="AB300" s="1044" t="str">
        <f t="shared" si="175"/>
        <v>.</v>
      </c>
      <c r="AC300" s="1044" t="str">
        <f t="shared" si="176"/>
        <v>.</v>
      </c>
      <c r="AD300" s="1045" t="str">
        <f t="shared" si="177"/>
        <v>.</v>
      </c>
      <c r="AE300" s="3"/>
      <c r="AF300" s="1145" t="str">
        <f t="shared" si="191"/>
        <v>.</v>
      </c>
      <c r="AG300" s="1146" t="str">
        <f t="shared" si="178"/>
        <v>.</v>
      </c>
      <c r="AH300" s="1146" t="str">
        <f t="shared" si="179"/>
        <v>.</v>
      </c>
      <c r="AI300" s="1146" t="str">
        <f t="shared" si="180"/>
        <v>.</v>
      </c>
      <c r="AJ300" s="1146" t="str">
        <f t="shared" si="181"/>
        <v>.</v>
      </c>
      <c r="AK300" s="1146" t="str">
        <f t="shared" si="182"/>
        <v>.</v>
      </c>
      <c r="AL300" s="1147" t="str">
        <f t="shared" si="183"/>
        <v>.</v>
      </c>
      <c r="AM300" s="3"/>
      <c r="AN300" s="1043" t="str">
        <f>IF(X300=".",".",SUM($X300:X300))</f>
        <v>.</v>
      </c>
      <c r="AO300" s="1044" t="str">
        <f>IF(Y300=".",".",SUM($X300:Y300))</f>
        <v>.</v>
      </c>
      <c r="AP300" s="1044" t="str">
        <f>IF(Z300=".",".",SUM($X300:Z300))</f>
        <v>.</v>
      </c>
      <c r="AQ300" s="1044" t="str">
        <f>IF(AA300=".",".",SUM($X300:AA300))</f>
        <v>.</v>
      </c>
      <c r="AR300" s="1044" t="str">
        <f>IF(AB300=".",".",SUM($X300:AB300))</f>
        <v>.</v>
      </c>
      <c r="AS300" s="1044" t="str">
        <f>IF(AC300=".",".",SUM($X300:AC300))</f>
        <v>.</v>
      </c>
      <c r="AT300" s="1045" t="str">
        <f>IF(AD300=".",".",SUM($X300:AD300))</f>
        <v>.</v>
      </c>
      <c r="AU300" s="3"/>
      <c r="AV300" s="1145" t="str">
        <f t="shared" si="190"/>
        <v>.</v>
      </c>
      <c r="AW300" s="1146" t="str">
        <f t="shared" si="184"/>
        <v>.</v>
      </c>
      <c r="AX300" s="1146" t="str">
        <f t="shared" si="185"/>
        <v>.</v>
      </c>
      <c r="AY300" s="1146" t="str">
        <f t="shared" si="186"/>
        <v>.</v>
      </c>
      <c r="AZ300" s="1146" t="str">
        <f t="shared" si="187"/>
        <v>.</v>
      </c>
      <c r="BA300" s="1146" t="str">
        <f t="shared" si="188"/>
        <v>.</v>
      </c>
      <c r="BB300" s="1147" t="str">
        <f t="shared" si="189"/>
        <v>.</v>
      </c>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row>
    <row r="301" spans="1:92" s="6" customFormat="1" x14ac:dyDescent="0.2">
      <c r="A301" s="620"/>
      <c r="B301" s="964"/>
      <c r="C301" s="744" t="s">
        <v>698</v>
      </c>
      <c r="D301" s="744"/>
      <c r="E301" s="744"/>
      <c r="F301" s="744"/>
      <c r="G301" s="744"/>
      <c r="H301" s="744"/>
      <c r="I301" s="744"/>
      <c r="J301" s="1026">
        <f t="shared" si="170"/>
        <v>7374.7837216628586</v>
      </c>
      <c r="K301" s="1027">
        <f t="shared" ref="K301:Q301" si="193">IF($U301=0,".",SUMPRODUCT(K256:K300,$U256:$U300)/$U301)</f>
        <v>7743.5252459557605</v>
      </c>
      <c r="L301" s="1025">
        <f t="shared" si="193"/>
        <v>7975.8295113898976</v>
      </c>
      <c r="M301" s="1025">
        <f t="shared" si="193"/>
        <v>7903.4488147903585</v>
      </c>
      <c r="N301" s="1025">
        <f t="shared" si="193"/>
        <v>8461.5604126774506</v>
      </c>
      <c r="O301" s="1025">
        <f t="shared" si="193"/>
        <v>8715.4032750082533</v>
      </c>
      <c r="P301" s="1025">
        <f t="shared" si="193"/>
        <v>8976.8671607791366</v>
      </c>
      <c r="Q301" s="1085">
        <f t="shared" si="193"/>
        <v>9246.1732948167719</v>
      </c>
      <c r="R301" s="76"/>
      <c r="S301" s="2"/>
      <c r="T301" s="1032">
        <f t="shared" si="169"/>
        <v>3029</v>
      </c>
      <c r="U301" s="1033">
        <f t="shared" si="169"/>
        <v>3029</v>
      </c>
      <c r="V301" s="1036"/>
      <c r="W301" s="2"/>
      <c r="X301" s="1063">
        <f t="shared" ref="X301:AD301" si="194">IF(K301=".",".",K301-J301)</f>
        <v>368.74152429290189</v>
      </c>
      <c r="Y301" s="1064">
        <f t="shared" si="194"/>
        <v>232.30426543413705</v>
      </c>
      <c r="Z301" s="1064">
        <f t="shared" si="194"/>
        <v>-72.380696599539078</v>
      </c>
      <c r="AA301" s="1064">
        <f t="shared" si="194"/>
        <v>558.1115978870921</v>
      </c>
      <c r="AB301" s="1064">
        <f t="shared" si="194"/>
        <v>253.84286233080275</v>
      </c>
      <c r="AC301" s="1064">
        <f t="shared" si="194"/>
        <v>261.46388577088328</v>
      </c>
      <c r="AD301" s="1065">
        <f t="shared" si="194"/>
        <v>269.30613403763527</v>
      </c>
      <c r="AE301" s="2"/>
      <c r="AF301" s="1148">
        <f t="shared" si="191"/>
        <v>5.0000317054688992E-2</v>
      </c>
      <c r="AG301" s="1149">
        <f t="shared" si="178"/>
        <v>2.9999807330061135E-2</v>
      </c>
      <c r="AH301" s="1149">
        <f t="shared" si="179"/>
        <v>-9.075005489545096E-3</v>
      </c>
      <c r="AI301" s="1149">
        <f t="shared" si="180"/>
        <v>7.0616209577096578E-2</v>
      </c>
      <c r="AJ301" s="1149">
        <f t="shared" si="181"/>
        <v>2.999953317717674E-2</v>
      </c>
      <c r="AK301" s="1149">
        <f t="shared" si="182"/>
        <v>3.000020509901602E-2</v>
      </c>
      <c r="AL301" s="1150">
        <f t="shared" si="183"/>
        <v>3.0000013280163218E-2</v>
      </c>
      <c r="AM301" s="2"/>
      <c r="AN301" s="1063">
        <f>IF(X301=".",".",SUM($X301:X301))</f>
        <v>368.74152429290189</v>
      </c>
      <c r="AO301" s="1064">
        <f>IF(Y301=".",".",SUM($X301:Y301))</f>
        <v>601.04578972703894</v>
      </c>
      <c r="AP301" s="1064">
        <f>IF(Z301=".",".",SUM($X301:Z301))</f>
        <v>528.66509312749986</v>
      </c>
      <c r="AQ301" s="1064">
        <f>IF(AA301=".",".",SUM($X301:AA301))</f>
        <v>1086.776691014592</v>
      </c>
      <c r="AR301" s="1064">
        <f>IF(AB301=".",".",SUM($X301:AB301))</f>
        <v>1340.6195533453947</v>
      </c>
      <c r="AS301" s="1064">
        <f>IF(AC301=".",".",SUM($X301:AC301))</f>
        <v>1602.083439116278</v>
      </c>
      <c r="AT301" s="1065">
        <f>IF(AD301=".",".",SUM($X301:AD301))</f>
        <v>1871.3895731539133</v>
      </c>
      <c r="AU301" s="3"/>
      <c r="AV301" s="1148">
        <f t="shared" si="190"/>
        <v>5.0000317054688992E-2</v>
      </c>
      <c r="AW301" s="1149">
        <f t="shared" si="184"/>
        <v>8.1500124262832818E-2</v>
      </c>
      <c r="AX301" s="1149">
        <f t="shared" si="185"/>
        <v>7.1685504698203895E-2</v>
      </c>
      <c r="AY301" s="1149">
        <f t="shared" si="186"/>
        <v>0.14736387289870878</v>
      </c>
      <c r="AZ301" s="1149">
        <f t="shared" si="187"/>
        <v>0.18178425347002758</v>
      </c>
      <c r="BA301" s="1149">
        <f t="shared" si="188"/>
        <v>0.21723802345691601</v>
      </c>
      <c r="BB301" s="1150">
        <f t="shared" si="189"/>
        <v>0.25375518032574296</v>
      </c>
      <c r="BC301" s="2"/>
      <c r="BD301" s="2"/>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row>
    <row r="302" spans="1:92" x14ac:dyDescent="0.2">
      <c r="A302" s="620"/>
      <c r="B302" s="1077" t="str">
        <f t="shared" ref="B302:C321" si="195">B178</f>
        <v>Farmland</v>
      </c>
      <c r="C302" s="1022" t="str">
        <f t="shared" si="195"/>
        <v>Farmland</v>
      </c>
      <c r="D302" s="1022" t="s">
        <v>687</v>
      </c>
      <c r="E302" s="1022"/>
      <c r="F302" s="1022"/>
      <c r="G302" s="1022"/>
      <c r="H302" s="1022"/>
      <c r="I302" s="1022"/>
      <c r="J302" s="1023" t="str">
        <f t="shared" si="170"/>
        <v>.</v>
      </c>
      <c r="K302" s="1012"/>
      <c r="L302" s="1024"/>
      <c r="M302" s="1024"/>
      <c r="N302" s="1024"/>
      <c r="O302" s="1024"/>
      <c r="P302" s="1024"/>
      <c r="Q302" s="1078"/>
      <c r="R302" s="76"/>
      <c r="S302" s="3"/>
      <c r="T302" s="1028">
        <f t="shared" si="169"/>
        <v>0</v>
      </c>
      <c r="U302" s="1029">
        <f t="shared" si="169"/>
        <v>0</v>
      </c>
      <c r="V302" s="1035"/>
      <c r="W302" s="3"/>
      <c r="X302" s="1043" t="str">
        <f t="shared" si="171"/>
        <v>.</v>
      </c>
      <c r="Y302" s="1044" t="str">
        <f t="shared" si="172"/>
        <v>.</v>
      </c>
      <c r="Z302" s="1044" t="str">
        <f t="shared" si="173"/>
        <v>.</v>
      </c>
      <c r="AA302" s="1044" t="str">
        <f t="shared" si="174"/>
        <v>.</v>
      </c>
      <c r="AB302" s="1044" t="str">
        <f t="shared" si="175"/>
        <v>.</v>
      </c>
      <c r="AC302" s="1044" t="str">
        <f t="shared" si="176"/>
        <v>.</v>
      </c>
      <c r="AD302" s="1045" t="str">
        <f t="shared" si="177"/>
        <v>.</v>
      </c>
      <c r="AE302" s="3"/>
      <c r="AF302" s="1145" t="str">
        <f t="shared" si="191"/>
        <v>.</v>
      </c>
      <c r="AG302" s="1146" t="str">
        <f t="shared" si="178"/>
        <v>.</v>
      </c>
      <c r="AH302" s="1146" t="str">
        <f t="shared" si="179"/>
        <v>.</v>
      </c>
      <c r="AI302" s="1146" t="str">
        <f t="shared" si="180"/>
        <v>.</v>
      </c>
      <c r="AJ302" s="1146" t="str">
        <f t="shared" si="181"/>
        <v>.</v>
      </c>
      <c r="AK302" s="1146" t="str">
        <f t="shared" si="182"/>
        <v>.</v>
      </c>
      <c r="AL302" s="1147" t="str">
        <f t="shared" si="183"/>
        <v>.</v>
      </c>
      <c r="AM302" s="3"/>
      <c r="AN302" s="1043" t="str">
        <f>IF(X302=".",".",SUM($X302:X302))</f>
        <v>.</v>
      </c>
      <c r="AO302" s="1044" t="str">
        <f>IF(Y302=".",".",SUM($X302:Y302))</f>
        <v>.</v>
      </c>
      <c r="AP302" s="1044" t="str">
        <f>IF(Z302=".",".",SUM($X302:Z302))</f>
        <v>.</v>
      </c>
      <c r="AQ302" s="1044" t="str">
        <f>IF(AA302=".",".",SUM($X302:AA302))</f>
        <v>.</v>
      </c>
      <c r="AR302" s="1044" t="str">
        <f>IF(AB302=".",".",SUM($X302:AB302))</f>
        <v>.</v>
      </c>
      <c r="AS302" s="1044" t="str">
        <f>IF(AC302=".",".",SUM($X302:AC302))</f>
        <v>.</v>
      </c>
      <c r="AT302" s="1045" t="str">
        <f>IF(AD302=".",".",SUM($X302:AD302))</f>
        <v>.</v>
      </c>
      <c r="AU302" s="3"/>
      <c r="AV302" s="1145" t="str">
        <f t="shared" si="190"/>
        <v>.</v>
      </c>
      <c r="AW302" s="1146" t="str">
        <f t="shared" si="184"/>
        <v>.</v>
      </c>
      <c r="AX302" s="1146" t="str">
        <f t="shared" si="185"/>
        <v>.</v>
      </c>
      <c r="AY302" s="1146" t="str">
        <f t="shared" si="186"/>
        <v>.</v>
      </c>
      <c r="AZ302" s="1146" t="str">
        <f t="shared" si="187"/>
        <v>.</v>
      </c>
      <c r="BA302" s="1146" t="str">
        <f t="shared" si="188"/>
        <v>.</v>
      </c>
      <c r="BB302" s="1147" t="str">
        <f t="shared" si="189"/>
        <v>.</v>
      </c>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row>
    <row r="303" spans="1:92" x14ac:dyDescent="0.2">
      <c r="A303" s="620"/>
      <c r="B303" s="1077" t="str">
        <f t="shared" si="195"/>
        <v>Farmland</v>
      </c>
      <c r="C303" s="1022" t="str">
        <f t="shared" si="195"/>
        <v/>
      </c>
      <c r="D303" s="1022" t="s">
        <v>687</v>
      </c>
      <c r="E303" s="1022"/>
      <c r="F303" s="1022"/>
      <c r="G303" s="1022"/>
      <c r="H303" s="1022"/>
      <c r="I303" s="1022"/>
      <c r="J303" s="1023" t="str">
        <f t="shared" si="170"/>
        <v>.</v>
      </c>
      <c r="K303" s="1012"/>
      <c r="L303" s="1024"/>
      <c r="M303" s="1024"/>
      <c r="N303" s="1024"/>
      <c r="O303" s="1024"/>
      <c r="P303" s="1024"/>
      <c r="Q303" s="1078"/>
      <c r="R303" s="76"/>
      <c r="S303" s="3"/>
      <c r="T303" s="1028">
        <f t="shared" si="169"/>
        <v>0</v>
      </c>
      <c r="U303" s="1029">
        <f t="shared" si="169"/>
        <v>0</v>
      </c>
      <c r="V303" s="1035"/>
      <c r="W303" s="3"/>
      <c r="X303" s="1043" t="str">
        <f t="shared" si="171"/>
        <v>.</v>
      </c>
      <c r="Y303" s="1044" t="str">
        <f t="shared" si="172"/>
        <v>.</v>
      </c>
      <c r="Z303" s="1044" t="str">
        <f t="shared" si="173"/>
        <v>.</v>
      </c>
      <c r="AA303" s="1044" t="str">
        <f t="shared" si="174"/>
        <v>.</v>
      </c>
      <c r="AB303" s="1044" t="str">
        <f t="shared" si="175"/>
        <v>.</v>
      </c>
      <c r="AC303" s="1044" t="str">
        <f t="shared" si="176"/>
        <v>.</v>
      </c>
      <c r="AD303" s="1045" t="str">
        <f t="shared" si="177"/>
        <v>.</v>
      </c>
      <c r="AE303" s="3"/>
      <c r="AF303" s="1145" t="str">
        <f t="shared" si="191"/>
        <v>.</v>
      </c>
      <c r="AG303" s="1146" t="str">
        <f t="shared" si="178"/>
        <v>.</v>
      </c>
      <c r="AH303" s="1146" t="str">
        <f t="shared" si="179"/>
        <v>.</v>
      </c>
      <c r="AI303" s="1146" t="str">
        <f t="shared" si="180"/>
        <v>.</v>
      </c>
      <c r="AJ303" s="1146" t="str">
        <f t="shared" si="181"/>
        <v>.</v>
      </c>
      <c r="AK303" s="1146" t="str">
        <f t="shared" si="182"/>
        <v>.</v>
      </c>
      <c r="AL303" s="1147" t="str">
        <f t="shared" si="183"/>
        <v>.</v>
      </c>
      <c r="AM303" s="3"/>
      <c r="AN303" s="1043" t="str">
        <f>IF(X303=".",".",SUM($X303:X303))</f>
        <v>.</v>
      </c>
      <c r="AO303" s="1044" t="str">
        <f>IF(Y303=".",".",SUM($X303:Y303))</f>
        <v>.</v>
      </c>
      <c r="AP303" s="1044" t="str">
        <f>IF(Z303=".",".",SUM($X303:Z303))</f>
        <v>.</v>
      </c>
      <c r="AQ303" s="1044" t="str">
        <f>IF(AA303=".",".",SUM($X303:AA303))</f>
        <v>.</v>
      </c>
      <c r="AR303" s="1044" t="str">
        <f>IF(AB303=".",".",SUM($X303:AB303))</f>
        <v>.</v>
      </c>
      <c r="AS303" s="1044" t="str">
        <f>IF(AC303=".",".",SUM($X303:AC303))</f>
        <v>.</v>
      </c>
      <c r="AT303" s="1045" t="str">
        <f>IF(AD303=".",".",SUM($X303:AD303))</f>
        <v>.</v>
      </c>
      <c r="AU303" s="3"/>
      <c r="AV303" s="1145" t="str">
        <f t="shared" si="190"/>
        <v>.</v>
      </c>
      <c r="AW303" s="1146" t="str">
        <f t="shared" si="184"/>
        <v>.</v>
      </c>
      <c r="AX303" s="1146" t="str">
        <f t="shared" si="185"/>
        <v>.</v>
      </c>
      <c r="AY303" s="1146" t="str">
        <f t="shared" si="186"/>
        <v>.</v>
      </c>
      <c r="AZ303" s="1146" t="str">
        <f t="shared" si="187"/>
        <v>.</v>
      </c>
      <c r="BA303" s="1146" t="str">
        <f t="shared" si="188"/>
        <v>.</v>
      </c>
      <c r="BB303" s="1147" t="str">
        <f t="shared" si="189"/>
        <v>.</v>
      </c>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row>
    <row r="304" spans="1:92" x14ac:dyDescent="0.2">
      <c r="A304" s="620"/>
      <c r="B304" s="1077" t="str">
        <f t="shared" si="195"/>
        <v>Farmland</v>
      </c>
      <c r="C304" s="1022" t="str">
        <f t="shared" si="195"/>
        <v/>
      </c>
      <c r="D304" s="1022" t="s">
        <v>687</v>
      </c>
      <c r="E304" s="1022"/>
      <c r="F304" s="1022"/>
      <c r="G304" s="1022"/>
      <c r="H304" s="1022"/>
      <c r="I304" s="1022"/>
      <c r="J304" s="1023" t="str">
        <f t="shared" si="170"/>
        <v>.</v>
      </c>
      <c r="K304" s="1012"/>
      <c r="L304" s="1024"/>
      <c r="M304" s="1024"/>
      <c r="N304" s="1024"/>
      <c r="O304" s="1024"/>
      <c r="P304" s="1024"/>
      <c r="Q304" s="1078"/>
      <c r="R304" s="76"/>
      <c r="S304" s="3"/>
      <c r="T304" s="1028">
        <f t="shared" ref="T304:U323" si="196">T180</f>
        <v>0</v>
      </c>
      <c r="U304" s="1029">
        <f t="shared" si="196"/>
        <v>0</v>
      </c>
      <c r="V304" s="1035"/>
      <c r="W304" s="3"/>
      <c r="X304" s="1043" t="str">
        <f t="shared" si="171"/>
        <v>.</v>
      </c>
      <c r="Y304" s="1044" t="str">
        <f t="shared" si="172"/>
        <v>.</v>
      </c>
      <c r="Z304" s="1044" t="str">
        <f t="shared" si="173"/>
        <v>.</v>
      </c>
      <c r="AA304" s="1044" t="str">
        <f t="shared" si="174"/>
        <v>.</v>
      </c>
      <c r="AB304" s="1044" t="str">
        <f t="shared" si="175"/>
        <v>.</v>
      </c>
      <c r="AC304" s="1044" t="str">
        <f t="shared" si="176"/>
        <v>.</v>
      </c>
      <c r="AD304" s="1045" t="str">
        <f t="shared" si="177"/>
        <v>.</v>
      </c>
      <c r="AE304" s="3"/>
      <c r="AF304" s="1145" t="str">
        <f t="shared" si="191"/>
        <v>.</v>
      </c>
      <c r="AG304" s="1146" t="str">
        <f t="shared" si="178"/>
        <v>.</v>
      </c>
      <c r="AH304" s="1146" t="str">
        <f t="shared" si="179"/>
        <v>.</v>
      </c>
      <c r="AI304" s="1146" t="str">
        <f t="shared" si="180"/>
        <v>.</v>
      </c>
      <c r="AJ304" s="1146" t="str">
        <f t="shared" si="181"/>
        <v>.</v>
      </c>
      <c r="AK304" s="1146" t="str">
        <f t="shared" si="182"/>
        <v>.</v>
      </c>
      <c r="AL304" s="1147" t="str">
        <f t="shared" si="183"/>
        <v>.</v>
      </c>
      <c r="AM304" s="3"/>
      <c r="AN304" s="1043" t="str">
        <f>IF(X304=".",".",SUM($X304:X304))</f>
        <v>.</v>
      </c>
      <c r="AO304" s="1044" t="str">
        <f>IF(Y304=".",".",SUM($X304:Y304))</f>
        <v>.</v>
      </c>
      <c r="AP304" s="1044" t="str">
        <f>IF(Z304=".",".",SUM($X304:Z304))</f>
        <v>.</v>
      </c>
      <c r="AQ304" s="1044" t="str">
        <f>IF(AA304=".",".",SUM($X304:AA304))</f>
        <v>.</v>
      </c>
      <c r="AR304" s="1044" t="str">
        <f>IF(AB304=".",".",SUM($X304:AB304))</f>
        <v>.</v>
      </c>
      <c r="AS304" s="1044" t="str">
        <f>IF(AC304=".",".",SUM($X304:AC304))</f>
        <v>.</v>
      </c>
      <c r="AT304" s="1045" t="str">
        <f>IF(AD304=".",".",SUM($X304:AD304))</f>
        <v>.</v>
      </c>
      <c r="AU304" s="3"/>
      <c r="AV304" s="1145" t="str">
        <f t="shared" si="190"/>
        <v>.</v>
      </c>
      <c r="AW304" s="1146" t="str">
        <f t="shared" si="184"/>
        <v>.</v>
      </c>
      <c r="AX304" s="1146" t="str">
        <f t="shared" si="185"/>
        <v>.</v>
      </c>
      <c r="AY304" s="1146" t="str">
        <f t="shared" si="186"/>
        <v>.</v>
      </c>
      <c r="AZ304" s="1146" t="str">
        <f t="shared" si="187"/>
        <v>.</v>
      </c>
      <c r="BA304" s="1146" t="str">
        <f t="shared" si="188"/>
        <v>.</v>
      </c>
      <c r="BB304" s="1147" t="str">
        <f t="shared" si="189"/>
        <v>.</v>
      </c>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row>
    <row r="305" spans="1:92" x14ac:dyDescent="0.2">
      <c r="A305" s="620"/>
      <c r="B305" s="1077" t="str">
        <f t="shared" si="195"/>
        <v>Farmland</v>
      </c>
      <c r="C305" s="1022" t="str">
        <f t="shared" si="195"/>
        <v/>
      </c>
      <c r="D305" s="1022" t="s">
        <v>687</v>
      </c>
      <c r="E305" s="1022"/>
      <c r="F305" s="1022"/>
      <c r="G305" s="1022"/>
      <c r="H305" s="1022"/>
      <c r="I305" s="1022"/>
      <c r="J305" s="1023" t="str">
        <f t="shared" si="170"/>
        <v>.</v>
      </c>
      <c r="K305" s="1012"/>
      <c r="L305" s="1024"/>
      <c r="M305" s="1024"/>
      <c r="N305" s="1024"/>
      <c r="O305" s="1024"/>
      <c r="P305" s="1024"/>
      <c r="Q305" s="1078"/>
      <c r="R305" s="76"/>
      <c r="S305" s="3"/>
      <c r="T305" s="1028">
        <f t="shared" si="196"/>
        <v>0</v>
      </c>
      <c r="U305" s="1029">
        <f t="shared" si="196"/>
        <v>0</v>
      </c>
      <c r="V305" s="1035"/>
      <c r="W305" s="3"/>
      <c r="X305" s="1043" t="str">
        <f t="shared" si="171"/>
        <v>.</v>
      </c>
      <c r="Y305" s="1044" t="str">
        <f t="shared" si="172"/>
        <v>.</v>
      </c>
      <c r="Z305" s="1044" t="str">
        <f t="shared" si="173"/>
        <v>.</v>
      </c>
      <c r="AA305" s="1044" t="str">
        <f t="shared" si="174"/>
        <v>.</v>
      </c>
      <c r="AB305" s="1044" t="str">
        <f t="shared" si="175"/>
        <v>.</v>
      </c>
      <c r="AC305" s="1044" t="str">
        <f t="shared" si="176"/>
        <v>.</v>
      </c>
      <c r="AD305" s="1045" t="str">
        <f t="shared" si="177"/>
        <v>.</v>
      </c>
      <c r="AE305" s="3"/>
      <c r="AF305" s="1145" t="str">
        <f t="shared" si="191"/>
        <v>.</v>
      </c>
      <c r="AG305" s="1146" t="str">
        <f t="shared" si="178"/>
        <v>.</v>
      </c>
      <c r="AH305" s="1146" t="str">
        <f t="shared" si="179"/>
        <v>.</v>
      </c>
      <c r="AI305" s="1146" t="str">
        <f t="shared" si="180"/>
        <v>.</v>
      </c>
      <c r="AJ305" s="1146" t="str">
        <f t="shared" si="181"/>
        <v>.</v>
      </c>
      <c r="AK305" s="1146" t="str">
        <f t="shared" si="182"/>
        <v>.</v>
      </c>
      <c r="AL305" s="1147" t="str">
        <f t="shared" si="183"/>
        <v>.</v>
      </c>
      <c r="AM305" s="3"/>
      <c r="AN305" s="1043" t="str">
        <f>IF(X305=".",".",SUM($X305:X305))</f>
        <v>.</v>
      </c>
      <c r="AO305" s="1044" t="str">
        <f>IF(Y305=".",".",SUM($X305:Y305))</f>
        <v>.</v>
      </c>
      <c r="AP305" s="1044" t="str">
        <f>IF(Z305=".",".",SUM($X305:Z305))</f>
        <v>.</v>
      </c>
      <c r="AQ305" s="1044" t="str">
        <f>IF(AA305=".",".",SUM($X305:AA305))</f>
        <v>.</v>
      </c>
      <c r="AR305" s="1044" t="str">
        <f>IF(AB305=".",".",SUM($X305:AB305))</f>
        <v>.</v>
      </c>
      <c r="AS305" s="1044" t="str">
        <f>IF(AC305=".",".",SUM($X305:AC305))</f>
        <v>.</v>
      </c>
      <c r="AT305" s="1045" t="str">
        <f>IF(AD305=".",".",SUM($X305:AD305))</f>
        <v>.</v>
      </c>
      <c r="AU305" s="3"/>
      <c r="AV305" s="1145" t="str">
        <f t="shared" si="190"/>
        <v>.</v>
      </c>
      <c r="AW305" s="1146" t="str">
        <f t="shared" si="184"/>
        <v>.</v>
      </c>
      <c r="AX305" s="1146" t="str">
        <f t="shared" si="185"/>
        <v>.</v>
      </c>
      <c r="AY305" s="1146" t="str">
        <f t="shared" si="186"/>
        <v>.</v>
      </c>
      <c r="AZ305" s="1146" t="str">
        <f t="shared" si="187"/>
        <v>.</v>
      </c>
      <c r="BA305" s="1146" t="str">
        <f t="shared" si="188"/>
        <v>.</v>
      </c>
      <c r="BB305" s="1147" t="str">
        <f t="shared" si="189"/>
        <v>.</v>
      </c>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row>
    <row r="306" spans="1:92" x14ac:dyDescent="0.2">
      <c r="A306" s="620"/>
      <c r="B306" s="1077" t="str">
        <f t="shared" si="195"/>
        <v>Farmland</v>
      </c>
      <c r="C306" s="1022" t="str">
        <f t="shared" si="195"/>
        <v/>
      </c>
      <c r="D306" s="1022" t="s">
        <v>687</v>
      </c>
      <c r="E306" s="1022"/>
      <c r="F306" s="1022"/>
      <c r="G306" s="1022"/>
      <c r="H306" s="1022"/>
      <c r="I306" s="1022"/>
      <c r="J306" s="1023" t="str">
        <f t="shared" si="170"/>
        <v>.</v>
      </c>
      <c r="K306" s="1012"/>
      <c r="L306" s="1024"/>
      <c r="M306" s="1024"/>
      <c r="N306" s="1024"/>
      <c r="O306" s="1024"/>
      <c r="P306" s="1024"/>
      <c r="Q306" s="1078"/>
      <c r="R306" s="76"/>
      <c r="S306" s="3"/>
      <c r="T306" s="1028">
        <f t="shared" si="196"/>
        <v>0</v>
      </c>
      <c r="U306" s="1029">
        <f t="shared" si="196"/>
        <v>0</v>
      </c>
      <c r="V306" s="1035"/>
      <c r="W306" s="3"/>
      <c r="X306" s="1043" t="str">
        <f t="shared" si="171"/>
        <v>.</v>
      </c>
      <c r="Y306" s="1044" t="str">
        <f t="shared" si="172"/>
        <v>.</v>
      </c>
      <c r="Z306" s="1044" t="str">
        <f t="shared" si="173"/>
        <v>.</v>
      </c>
      <c r="AA306" s="1044" t="str">
        <f t="shared" si="174"/>
        <v>.</v>
      </c>
      <c r="AB306" s="1044" t="str">
        <f t="shared" si="175"/>
        <v>.</v>
      </c>
      <c r="AC306" s="1044" t="str">
        <f t="shared" si="176"/>
        <v>.</v>
      </c>
      <c r="AD306" s="1045" t="str">
        <f t="shared" si="177"/>
        <v>.</v>
      </c>
      <c r="AE306" s="3"/>
      <c r="AF306" s="1145" t="str">
        <f t="shared" si="191"/>
        <v>.</v>
      </c>
      <c r="AG306" s="1146" t="str">
        <f t="shared" si="178"/>
        <v>.</v>
      </c>
      <c r="AH306" s="1146" t="str">
        <f t="shared" si="179"/>
        <v>.</v>
      </c>
      <c r="AI306" s="1146" t="str">
        <f t="shared" si="180"/>
        <v>.</v>
      </c>
      <c r="AJ306" s="1146" t="str">
        <f t="shared" si="181"/>
        <v>.</v>
      </c>
      <c r="AK306" s="1146" t="str">
        <f t="shared" si="182"/>
        <v>.</v>
      </c>
      <c r="AL306" s="1147" t="str">
        <f t="shared" si="183"/>
        <v>.</v>
      </c>
      <c r="AM306" s="3"/>
      <c r="AN306" s="1043" t="str">
        <f>IF(X306=".",".",SUM($X306:X306))</f>
        <v>.</v>
      </c>
      <c r="AO306" s="1044" t="str">
        <f>IF(Y306=".",".",SUM($X306:Y306))</f>
        <v>.</v>
      </c>
      <c r="AP306" s="1044" t="str">
        <f>IF(Z306=".",".",SUM($X306:Z306))</f>
        <v>.</v>
      </c>
      <c r="AQ306" s="1044" t="str">
        <f>IF(AA306=".",".",SUM($X306:AA306))</f>
        <v>.</v>
      </c>
      <c r="AR306" s="1044" t="str">
        <f>IF(AB306=".",".",SUM($X306:AB306))</f>
        <v>.</v>
      </c>
      <c r="AS306" s="1044" t="str">
        <f>IF(AC306=".",".",SUM($X306:AC306))</f>
        <v>.</v>
      </c>
      <c r="AT306" s="1045" t="str">
        <f>IF(AD306=".",".",SUM($X306:AD306))</f>
        <v>.</v>
      </c>
      <c r="AU306" s="3"/>
      <c r="AV306" s="1145" t="str">
        <f t="shared" si="190"/>
        <v>.</v>
      </c>
      <c r="AW306" s="1146" t="str">
        <f t="shared" si="184"/>
        <v>.</v>
      </c>
      <c r="AX306" s="1146" t="str">
        <f t="shared" si="185"/>
        <v>.</v>
      </c>
      <c r="AY306" s="1146" t="str">
        <f t="shared" si="186"/>
        <v>.</v>
      </c>
      <c r="AZ306" s="1146" t="str">
        <f t="shared" si="187"/>
        <v>.</v>
      </c>
      <c r="BA306" s="1146" t="str">
        <f t="shared" si="188"/>
        <v>.</v>
      </c>
      <c r="BB306" s="1147" t="str">
        <f t="shared" si="189"/>
        <v>.</v>
      </c>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row>
    <row r="307" spans="1:92" x14ac:dyDescent="0.2">
      <c r="A307" s="620"/>
      <c r="B307" s="1077" t="str">
        <f t="shared" si="195"/>
        <v>Farmland</v>
      </c>
      <c r="C307" s="1022" t="str">
        <f t="shared" si="195"/>
        <v/>
      </c>
      <c r="D307" s="1022" t="s">
        <v>687</v>
      </c>
      <c r="E307" s="1022"/>
      <c r="F307" s="1022"/>
      <c r="G307" s="1022"/>
      <c r="H307" s="1022"/>
      <c r="I307" s="1022"/>
      <c r="J307" s="1023" t="str">
        <f t="shared" si="170"/>
        <v>.</v>
      </c>
      <c r="K307" s="1012"/>
      <c r="L307" s="1024"/>
      <c r="M307" s="1024"/>
      <c r="N307" s="1024"/>
      <c r="O307" s="1024"/>
      <c r="P307" s="1024"/>
      <c r="Q307" s="1078"/>
      <c r="R307" s="76"/>
      <c r="S307" s="3"/>
      <c r="T307" s="1028">
        <f t="shared" si="196"/>
        <v>0</v>
      </c>
      <c r="U307" s="1029">
        <f t="shared" si="196"/>
        <v>0</v>
      </c>
      <c r="V307" s="1035"/>
      <c r="W307" s="3"/>
      <c r="X307" s="1043" t="str">
        <f t="shared" si="171"/>
        <v>.</v>
      </c>
      <c r="Y307" s="1044" t="str">
        <f t="shared" si="172"/>
        <v>.</v>
      </c>
      <c r="Z307" s="1044" t="str">
        <f t="shared" si="173"/>
        <v>.</v>
      </c>
      <c r="AA307" s="1044" t="str">
        <f t="shared" si="174"/>
        <v>.</v>
      </c>
      <c r="AB307" s="1044" t="str">
        <f t="shared" si="175"/>
        <v>.</v>
      </c>
      <c r="AC307" s="1044" t="str">
        <f t="shared" si="176"/>
        <v>.</v>
      </c>
      <c r="AD307" s="1045" t="str">
        <f t="shared" si="177"/>
        <v>.</v>
      </c>
      <c r="AE307" s="3"/>
      <c r="AF307" s="1145" t="str">
        <f t="shared" si="191"/>
        <v>.</v>
      </c>
      <c r="AG307" s="1146" t="str">
        <f t="shared" si="178"/>
        <v>.</v>
      </c>
      <c r="AH307" s="1146" t="str">
        <f t="shared" si="179"/>
        <v>.</v>
      </c>
      <c r="AI307" s="1146" t="str">
        <f t="shared" si="180"/>
        <v>.</v>
      </c>
      <c r="AJ307" s="1146" t="str">
        <f t="shared" si="181"/>
        <v>.</v>
      </c>
      <c r="AK307" s="1146" t="str">
        <f t="shared" si="182"/>
        <v>.</v>
      </c>
      <c r="AL307" s="1147" t="str">
        <f t="shared" si="183"/>
        <v>.</v>
      </c>
      <c r="AM307" s="3"/>
      <c r="AN307" s="1043" t="str">
        <f>IF(X307=".",".",SUM($X307:X307))</f>
        <v>.</v>
      </c>
      <c r="AO307" s="1044" t="str">
        <f>IF(Y307=".",".",SUM($X307:Y307))</f>
        <v>.</v>
      </c>
      <c r="AP307" s="1044" t="str">
        <f>IF(Z307=".",".",SUM($X307:Z307))</f>
        <v>.</v>
      </c>
      <c r="AQ307" s="1044" t="str">
        <f>IF(AA307=".",".",SUM($X307:AA307))</f>
        <v>.</v>
      </c>
      <c r="AR307" s="1044" t="str">
        <f>IF(AB307=".",".",SUM($X307:AB307))</f>
        <v>.</v>
      </c>
      <c r="AS307" s="1044" t="str">
        <f>IF(AC307=".",".",SUM($X307:AC307))</f>
        <v>.</v>
      </c>
      <c r="AT307" s="1045" t="str">
        <f>IF(AD307=".",".",SUM($X307:AD307))</f>
        <v>.</v>
      </c>
      <c r="AU307" s="3"/>
      <c r="AV307" s="1145" t="str">
        <f t="shared" si="190"/>
        <v>.</v>
      </c>
      <c r="AW307" s="1146" t="str">
        <f t="shared" si="184"/>
        <v>.</v>
      </c>
      <c r="AX307" s="1146" t="str">
        <f t="shared" si="185"/>
        <v>.</v>
      </c>
      <c r="AY307" s="1146" t="str">
        <f t="shared" si="186"/>
        <v>.</v>
      </c>
      <c r="AZ307" s="1146" t="str">
        <f t="shared" si="187"/>
        <v>.</v>
      </c>
      <c r="BA307" s="1146" t="str">
        <f t="shared" si="188"/>
        <v>.</v>
      </c>
      <c r="BB307" s="1147" t="str">
        <f t="shared" si="189"/>
        <v>.</v>
      </c>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row>
    <row r="308" spans="1:92" x14ac:dyDescent="0.2">
      <c r="A308" s="620"/>
      <c r="B308" s="1077" t="str">
        <f t="shared" si="195"/>
        <v>Farmland</v>
      </c>
      <c r="C308" s="1022" t="str">
        <f t="shared" si="195"/>
        <v/>
      </c>
      <c r="D308" s="1022" t="s">
        <v>687</v>
      </c>
      <c r="E308" s="1022"/>
      <c r="F308" s="1022"/>
      <c r="G308" s="1022"/>
      <c r="H308" s="1022"/>
      <c r="I308" s="1022"/>
      <c r="J308" s="1023" t="str">
        <f t="shared" si="170"/>
        <v>.</v>
      </c>
      <c r="K308" s="1012"/>
      <c r="L308" s="1024"/>
      <c r="M308" s="1024"/>
      <c r="N308" s="1024"/>
      <c r="O308" s="1024"/>
      <c r="P308" s="1024"/>
      <c r="Q308" s="1078"/>
      <c r="R308" s="76"/>
      <c r="S308" s="3"/>
      <c r="T308" s="1028">
        <f t="shared" si="196"/>
        <v>0</v>
      </c>
      <c r="U308" s="1029">
        <f t="shared" si="196"/>
        <v>0</v>
      </c>
      <c r="V308" s="1035"/>
      <c r="W308" s="3"/>
      <c r="X308" s="1043" t="str">
        <f t="shared" si="171"/>
        <v>.</v>
      </c>
      <c r="Y308" s="1044" t="str">
        <f t="shared" si="172"/>
        <v>.</v>
      </c>
      <c r="Z308" s="1044" t="str">
        <f t="shared" si="173"/>
        <v>.</v>
      </c>
      <c r="AA308" s="1044" t="str">
        <f t="shared" si="174"/>
        <v>.</v>
      </c>
      <c r="AB308" s="1044" t="str">
        <f t="shared" si="175"/>
        <v>.</v>
      </c>
      <c r="AC308" s="1044" t="str">
        <f t="shared" si="176"/>
        <v>.</v>
      </c>
      <c r="AD308" s="1045" t="str">
        <f t="shared" si="177"/>
        <v>.</v>
      </c>
      <c r="AE308" s="3"/>
      <c r="AF308" s="1145" t="str">
        <f t="shared" si="191"/>
        <v>.</v>
      </c>
      <c r="AG308" s="1146" t="str">
        <f t="shared" si="178"/>
        <v>.</v>
      </c>
      <c r="AH308" s="1146" t="str">
        <f t="shared" si="179"/>
        <v>.</v>
      </c>
      <c r="AI308" s="1146" t="str">
        <f t="shared" si="180"/>
        <v>.</v>
      </c>
      <c r="AJ308" s="1146" t="str">
        <f t="shared" si="181"/>
        <v>.</v>
      </c>
      <c r="AK308" s="1146" t="str">
        <f t="shared" si="182"/>
        <v>.</v>
      </c>
      <c r="AL308" s="1147" t="str">
        <f t="shared" si="183"/>
        <v>.</v>
      </c>
      <c r="AM308" s="3"/>
      <c r="AN308" s="1043" t="str">
        <f>IF(X308=".",".",SUM($X308:X308))</f>
        <v>.</v>
      </c>
      <c r="AO308" s="1044" t="str">
        <f>IF(Y308=".",".",SUM($X308:Y308))</f>
        <v>.</v>
      </c>
      <c r="AP308" s="1044" t="str">
        <f>IF(Z308=".",".",SUM($X308:Z308))</f>
        <v>.</v>
      </c>
      <c r="AQ308" s="1044" t="str">
        <f>IF(AA308=".",".",SUM($X308:AA308))</f>
        <v>.</v>
      </c>
      <c r="AR308" s="1044" t="str">
        <f>IF(AB308=".",".",SUM($X308:AB308))</f>
        <v>.</v>
      </c>
      <c r="AS308" s="1044" t="str">
        <f>IF(AC308=".",".",SUM($X308:AC308))</f>
        <v>.</v>
      </c>
      <c r="AT308" s="1045" t="str">
        <f>IF(AD308=".",".",SUM($X308:AD308))</f>
        <v>.</v>
      </c>
      <c r="AU308" s="3"/>
      <c r="AV308" s="1145" t="str">
        <f t="shared" si="190"/>
        <v>.</v>
      </c>
      <c r="AW308" s="1146" t="str">
        <f t="shared" si="184"/>
        <v>.</v>
      </c>
      <c r="AX308" s="1146" t="str">
        <f t="shared" si="185"/>
        <v>.</v>
      </c>
      <c r="AY308" s="1146" t="str">
        <f t="shared" si="186"/>
        <v>.</v>
      </c>
      <c r="AZ308" s="1146" t="str">
        <f t="shared" si="187"/>
        <v>.</v>
      </c>
      <c r="BA308" s="1146" t="str">
        <f t="shared" si="188"/>
        <v>.</v>
      </c>
      <c r="BB308" s="1147" t="str">
        <f t="shared" si="189"/>
        <v>.</v>
      </c>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row>
    <row r="309" spans="1:92" x14ac:dyDescent="0.2">
      <c r="A309" s="620"/>
      <c r="B309" s="1077" t="str">
        <f t="shared" si="195"/>
        <v>Farmland</v>
      </c>
      <c r="C309" s="1022" t="str">
        <f t="shared" si="195"/>
        <v/>
      </c>
      <c r="D309" s="1022" t="s">
        <v>687</v>
      </c>
      <c r="E309" s="1022"/>
      <c r="F309" s="1022"/>
      <c r="G309" s="1022"/>
      <c r="H309" s="1022"/>
      <c r="I309" s="1022"/>
      <c r="J309" s="1023" t="str">
        <f t="shared" si="170"/>
        <v>.</v>
      </c>
      <c r="K309" s="1012"/>
      <c r="L309" s="1024"/>
      <c r="M309" s="1024"/>
      <c r="N309" s="1024"/>
      <c r="O309" s="1024"/>
      <c r="P309" s="1024"/>
      <c r="Q309" s="1078"/>
      <c r="R309" s="76"/>
      <c r="S309" s="3"/>
      <c r="T309" s="1028">
        <f t="shared" si="196"/>
        <v>0</v>
      </c>
      <c r="U309" s="1029">
        <f t="shared" si="196"/>
        <v>0</v>
      </c>
      <c r="V309" s="1035"/>
      <c r="W309" s="3"/>
      <c r="X309" s="1043" t="str">
        <f t="shared" si="171"/>
        <v>.</v>
      </c>
      <c r="Y309" s="1044" t="str">
        <f t="shared" si="172"/>
        <v>.</v>
      </c>
      <c r="Z309" s="1044" t="str">
        <f t="shared" si="173"/>
        <v>.</v>
      </c>
      <c r="AA309" s="1044" t="str">
        <f t="shared" si="174"/>
        <v>.</v>
      </c>
      <c r="AB309" s="1044" t="str">
        <f t="shared" si="175"/>
        <v>.</v>
      </c>
      <c r="AC309" s="1044" t="str">
        <f t="shared" si="176"/>
        <v>.</v>
      </c>
      <c r="AD309" s="1045" t="str">
        <f t="shared" si="177"/>
        <v>.</v>
      </c>
      <c r="AE309" s="3"/>
      <c r="AF309" s="1145" t="str">
        <f t="shared" si="191"/>
        <v>.</v>
      </c>
      <c r="AG309" s="1146" t="str">
        <f t="shared" si="178"/>
        <v>.</v>
      </c>
      <c r="AH309" s="1146" t="str">
        <f t="shared" si="179"/>
        <v>.</v>
      </c>
      <c r="AI309" s="1146" t="str">
        <f t="shared" si="180"/>
        <v>.</v>
      </c>
      <c r="AJ309" s="1146" t="str">
        <f t="shared" si="181"/>
        <v>.</v>
      </c>
      <c r="AK309" s="1146" t="str">
        <f t="shared" si="182"/>
        <v>.</v>
      </c>
      <c r="AL309" s="1147" t="str">
        <f t="shared" si="183"/>
        <v>.</v>
      </c>
      <c r="AM309" s="3"/>
      <c r="AN309" s="1043" t="str">
        <f>IF(X309=".",".",SUM($X309:X309))</f>
        <v>.</v>
      </c>
      <c r="AO309" s="1044" t="str">
        <f>IF(Y309=".",".",SUM($X309:Y309))</f>
        <v>.</v>
      </c>
      <c r="AP309" s="1044" t="str">
        <f>IF(Z309=".",".",SUM($X309:Z309))</f>
        <v>.</v>
      </c>
      <c r="AQ309" s="1044" t="str">
        <f>IF(AA309=".",".",SUM($X309:AA309))</f>
        <v>.</v>
      </c>
      <c r="AR309" s="1044" t="str">
        <f>IF(AB309=".",".",SUM($X309:AB309))</f>
        <v>.</v>
      </c>
      <c r="AS309" s="1044" t="str">
        <f>IF(AC309=".",".",SUM($X309:AC309))</f>
        <v>.</v>
      </c>
      <c r="AT309" s="1045" t="str">
        <f>IF(AD309=".",".",SUM($X309:AD309))</f>
        <v>.</v>
      </c>
      <c r="AU309" s="3"/>
      <c r="AV309" s="1145" t="str">
        <f t="shared" si="190"/>
        <v>.</v>
      </c>
      <c r="AW309" s="1146" t="str">
        <f t="shared" si="184"/>
        <v>.</v>
      </c>
      <c r="AX309" s="1146" t="str">
        <f t="shared" si="185"/>
        <v>.</v>
      </c>
      <c r="AY309" s="1146" t="str">
        <f t="shared" si="186"/>
        <v>.</v>
      </c>
      <c r="AZ309" s="1146" t="str">
        <f t="shared" si="187"/>
        <v>.</v>
      </c>
      <c r="BA309" s="1146" t="str">
        <f t="shared" si="188"/>
        <v>.</v>
      </c>
      <c r="BB309" s="1147" t="str">
        <f t="shared" si="189"/>
        <v>.</v>
      </c>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row>
    <row r="310" spans="1:92" x14ac:dyDescent="0.2">
      <c r="A310" s="620"/>
      <c r="B310" s="1077" t="str">
        <f t="shared" si="195"/>
        <v>Farmland</v>
      </c>
      <c r="C310" s="1022" t="str">
        <f t="shared" si="195"/>
        <v/>
      </c>
      <c r="D310" s="1022" t="s">
        <v>687</v>
      </c>
      <c r="E310" s="1022"/>
      <c r="F310" s="1022"/>
      <c r="G310" s="1022"/>
      <c r="H310" s="1022"/>
      <c r="I310" s="1022"/>
      <c r="J310" s="1023" t="str">
        <f t="shared" si="170"/>
        <v>.</v>
      </c>
      <c r="K310" s="1012"/>
      <c r="L310" s="1024"/>
      <c r="M310" s="1024"/>
      <c r="N310" s="1024"/>
      <c r="O310" s="1024"/>
      <c r="P310" s="1024"/>
      <c r="Q310" s="1078"/>
      <c r="R310" s="76"/>
      <c r="S310" s="3"/>
      <c r="T310" s="1028">
        <f t="shared" si="196"/>
        <v>0</v>
      </c>
      <c r="U310" s="1029">
        <f t="shared" si="196"/>
        <v>0</v>
      </c>
      <c r="V310" s="1035"/>
      <c r="W310" s="3"/>
      <c r="X310" s="1043" t="str">
        <f t="shared" si="171"/>
        <v>.</v>
      </c>
      <c r="Y310" s="1044" t="str">
        <f t="shared" si="172"/>
        <v>.</v>
      </c>
      <c r="Z310" s="1044" t="str">
        <f t="shared" si="173"/>
        <v>.</v>
      </c>
      <c r="AA310" s="1044" t="str">
        <f t="shared" si="174"/>
        <v>.</v>
      </c>
      <c r="AB310" s="1044" t="str">
        <f t="shared" si="175"/>
        <v>.</v>
      </c>
      <c r="AC310" s="1044" t="str">
        <f t="shared" si="176"/>
        <v>.</v>
      </c>
      <c r="AD310" s="1045" t="str">
        <f t="shared" si="177"/>
        <v>.</v>
      </c>
      <c r="AE310" s="3"/>
      <c r="AF310" s="1145" t="str">
        <f t="shared" si="191"/>
        <v>.</v>
      </c>
      <c r="AG310" s="1146" t="str">
        <f t="shared" si="178"/>
        <v>.</v>
      </c>
      <c r="AH310" s="1146" t="str">
        <f t="shared" si="179"/>
        <v>.</v>
      </c>
      <c r="AI310" s="1146" t="str">
        <f t="shared" si="180"/>
        <v>.</v>
      </c>
      <c r="AJ310" s="1146" t="str">
        <f t="shared" si="181"/>
        <v>.</v>
      </c>
      <c r="AK310" s="1146" t="str">
        <f t="shared" si="182"/>
        <v>.</v>
      </c>
      <c r="AL310" s="1147" t="str">
        <f t="shared" si="183"/>
        <v>.</v>
      </c>
      <c r="AM310" s="3"/>
      <c r="AN310" s="1043" t="str">
        <f>IF(X310=".",".",SUM($X310:X310))</f>
        <v>.</v>
      </c>
      <c r="AO310" s="1044" t="str">
        <f>IF(Y310=".",".",SUM($X310:Y310))</f>
        <v>.</v>
      </c>
      <c r="AP310" s="1044" t="str">
        <f>IF(Z310=".",".",SUM($X310:Z310))</f>
        <v>.</v>
      </c>
      <c r="AQ310" s="1044" t="str">
        <f>IF(AA310=".",".",SUM($X310:AA310))</f>
        <v>.</v>
      </c>
      <c r="AR310" s="1044" t="str">
        <f>IF(AB310=".",".",SUM($X310:AB310))</f>
        <v>.</v>
      </c>
      <c r="AS310" s="1044" t="str">
        <f>IF(AC310=".",".",SUM($X310:AC310))</f>
        <v>.</v>
      </c>
      <c r="AT310" s="1045" t="str">
        <f>IF(AD310=".",".",SUM($X310:AD310))</f>
        <v>.</v>
      </c>
      <c r="AU310" s="3"/>
      <c r="AV310" s="1145" t="str">
        <f t="shared" si="190"/>
        <v>.</v>
      </c>
      <c r="AW310" s="1146" t="str">
        <f t="shared" si="184"/>
        <v>.</v>
      </c>
      <c r="AX310" s="1146" t="str">
        <f t="shared" si="185"/>
        <v>.</v>
      </c>
      <c r="AY310" s="1146" t="str">
        <f t="shared" si="186"/>
        <v>.</v>
      </c>
      <c r="AZ310" s="1146" t="str">
        <f t="shared" si="187"/>
        <v>.</v>
      </c>
      <c r="BA310" s="1146" t="str">
        <f t="shared" si="188"/>
        <v>.</v>
      </c>
      <c r="BB310" s="1147" t="str">
        <f t="shared" si="189"/>
        <v>.</v>
      </c>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row>
    <row r="311" spans="1:92" x14ac:dyDescent="0.2">
      <c r="A311" s="620"/>
      <c r="B311" s="1077" t="str">
        <f t="shared" si="195"/>
        <v>Farmland</v>
      </c>
      <c r="C311" s="1022" t="str">
        <f t="shared" si="195"/>
        <v/>
      </c>
      <c r="D311" s="1022" t="s">
        <v>687</v>
      </c>
      <c r="E311" s="1022"/>
      <c r="F311" s="1022"/>
      <c r="G311" s="1022"/>
      <c r="H311" s="1022"/>
      <c r="I311" s="1022"/>
      <c r="J311" s="1023" t="str">
        <f t="shared" si="170"/>
        <v>.</v>
      </c>
      <c r="K311" s="1012"/>
      <c r="L311" s="1024"/>
      <c r="M311" s="1024"/>
      <c r="N311" s="1024"/>
      <c r="O311" s="1024"/>
      <c r="P311" s="1024"/>
      <c r="Q311" s="1078"/>
      <c r="R311" s="76"/>
      <c r="S311" s="3"/>
      <c r="T311" s="1028">
        <f t="shared" si="196"/>
        <v>0</v>
      </c>
      <c r="U311" s="1029">
        <f t="shared" si="196"/>
        <v>0</v>
      </c>
      <c r="V311" s="1035"/>
      <c r="W311" s="3"/>
      <c r="X311" s="1043" t="str">
        <f t="shared" si="171"/>
        <v>.</v>
      </c>
      <c r="Y311" s="1044" t="str">
        <f t="shared" si="172"/>
        <v>.</v>
      </c>
      <c r="Z311" s="1044" t="str">
        <f t="shared" si="173"/>
        <v>.</v>
      </c>
      <c r="AA311" s="1044" t="str">
        <f t="shared" si="174"/>
        <v>.</v>
      </c>
      <c r="AB311" s="1044" t="str">
        <f t="shared" si="175"/>
        <v>.</v>
      </c>
      <c r="AC311" s="1044" t="str">
        <f t="shared" si="176"/>
        <v>.</v>
      </c>
      <c r="AD311" s="1045" t="str">
        <f t="shared" si="177"/>
        <v>.</v>
      </c>
      <c r="AE311" s="3"/>
      <c r="AF311" s="1145" t="str">
        <f t="shared" si="191"/>
        <v>.</v>
      </c>
      <c r="AG311" s="1146" t="str">
        <f t="shared" si="178"/>
        <v>.</v>
      </c>
      <c r="AH311" s="1146" t="str">
        <f t="shared" si="179"/>
        <v>.</v>
      </c>
      <c r="AI311" s="1146" t="str">
        <f t="shared" si="180"/>
        <v>.</v>
      </c>
      <c r="AJ311" s="1146" t="str">
        <f t="shared" si="181"/>
        <v>.</v>
      </c>
      <c r="AK311" s="1146" t="str">
        <f t="shared" si="182"/>
        <v>.</v>
      </c>
      <c r="AL311" s="1147" t="str">
        <f t="shared" si="183"/>
        <v>.</v>
      </c>
      <c r="AM311" s="3"/>
      <c r="AN311" s="1043" t="str">
        <f>IF(X311=".",".",SUM($X311:X311))</f>
        <v>.</v>
      </c>
      <c r="AO311" s="1044" t="str">
        <f>IF(Y311=".",".",SUM($X311:Y311))</f>
        <v>.</v>
      </c>
      <c r="AP311" s="1044" t="str">
        <f>IF(Z311=".",".",SUM($X311:Z311))</f>
        <v>.</v>
      </c>
      <c r="AQ311" s="1044" t="str">
        <f>IF(AA311=".",".",SUM($X311:AA311))</f>
        <v>.</v>
      </c>
      <c r="AR311" s="1044" t="str">
        <f>IF(AB311=".",".",SUM($X311:AB311))</f>
        <v>.</v>
      </c>
      <c r="AS311" s="1044" t="str">
        <f>IF(AC311=".",".",SUM($X311:AC311))</f>
        <v>.</v>
      </c>
      <c r="AT311" s="1045" t="str">
        <f>IF(AD311=".",".",SUM($X311:AD311))</f>
        <v>.</v>
      </c>
      <c r="AU311" s="3"/>
      <c r="AV311" s="1145" t="str">
        <f t="shared" si="190"/>
        <v>.</v>
      </c>
      <c r="AW311" s="1146" t="str">
        <f t="shared" si="184"/>
        <v>.</v>
      </c>
      <c r="AX311" s="1146" t="str">
        <f t="shared" si="185"/>
        <v>.</v>
      </c>
      <c r="AY311" s="1146" t="str">
        <f t="shared" si="186"/>
        <v>.</v>
      </c>
      <c r="AZ311" s="1146" t="str">
        <f t="shared" si="187"/>
        <v>.</v>
      </c>
      <c r="BA311" s="1146" t="str">
        <f t="shared" si="188"/>
        <v>.</v>
      </c>
      <c r="BB311" s="1147" t="str">
        <f t="shared" si="189"/>
        <v>.</v>
      </c>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row>
    <row r="312" spans="1:92" x14ac:dyDescent="0.2">
      <c r="A312" s="620"/>
      <c r="B312" s="1077" t="str">
        <f t="shared" si="195"/>
        <v>Special rate</v>
      </c>
      <c r="C312" s="1022" t="str">
        <f t="shared" si="195"/>
        <v/>
      </c>
      <c r="D312" s="1022" t="s">
        <v>687</v>
      </c>
      <c r="E312" s="1022"/>
      <c r="F312" s="1022"/>
      <c r="G312" s="1022"/>
      <c r="H312" s="1022"/>
      <c r="I312" s="1022"/>
      <c r="J312" s="1023" t="str">
        <f t="shared" si="170"/>
        <v>.</v>
      </c>
      <c r="K312" s="1012"/>
      <c r="L312" s="1024"/>
      <c r="M312" s="1024"/>
      <c r="N312" s="1024"/>
      <c r="O312" s="1024"/>
      <c r="P312" s="1024"/>
      <c r="Q312" s="1078"/>
      <c r="R312" s="76"/>
      <c r="S312" s="3"/>
      <c r="T312" s="1028">
        <f t="shared" si="196"/>
        <v>0</v>
      </c>
      <c r="U312" s="1029">
        <f t="shared" si="196"/>
        <v>0</v>
      </c>
      <c r="V312" s="1035"/>
      <c r="W312" s="3"/>
      <c r="X312" s="1043" t="str">
        <f t="shared" si="171"/>
        <v>.</v>
      </c>
      <c r="Y312" s="1044" t="str">
        <f t="shared" si="172"/>
        <v>.</v>
      </c>
      <c r="Z312" s="1044" t="str">
        <f t="shared" si="173"/>
        <v>.</v>
      </c>
      <c r="AA312" s="1044" t="str">
        <f t="shared" si="174"/>
        <v>.</v>
      </c>
      <c r="AB312" s="1044" t="str">
        <f t="shared" si="175"/>
        <v>.</v>
      </c>
      <c r="AC312" s="1044" t="str">
        <f t="shared" si="176"/>
        <v>.</v>
      </c>
      <c r="AD312" s="1045" t="str">
        <f t="shared" si="177"/>
        <v>.</v>
      </c>
      <c r="AE312" s="3"/>
      <c r="AF312" s="1145" t="str">
        <f t="shared" si="191"/>
        <v>.</v>
      </c>
      <c r="AG312" s="1146" t="str">
        <f t="shared" si="178"/>
        <v>.</v>
      </c>
      <c r="AH312" s="1146" t="str">
        <f t="shared" si="179"/>
        <v>.</v>
      </c>
      <c r="AI312" s="1146" t="str">
        <f t="shared" si="180"/>
        <v>.</v>
      </c>
      <c r="AJ312" s="1146" t="str">
        <f t="shared" si="181"/>
        <v>.</v>
      </c>
      <c r="AK312" s="1146" t="str">
        <f t="shared" si="182"/>
        <v>.</v>
      </c>
      <c r="AL312" s="1147" t="str">
        <f t="shared" si="183"/>
        <v>.</v>
      </c>
      <c r="AM312" s="3"/>
      <c r="AN312" s="1043" t="str">
        <f>IF(X312=".",".",SUM($X312:X312))</f>
        <v>.</v>
      </c>
      <c r="AO312" s="1044" t="str">
        <f>IF(Y312=".",".",SUM($X312:Y312))</f>
        <v>.</v>
      </c>
      <c r="AP312" s="1044" t="str">
        <f>IF(Z312=".",".",SUM($X312:Z312))</f>
        <v>.</v>
      </c>
      <c r="AQ312" s="1044" t="str">
        <f>IF(AA312=".",".",SUM($X312:AA312))</f>
        <v>.</v>
      </c>
      <c r="AR312" s="1044" t="str">
        <f>IF(AB312=".",".",SUM($X312:AB312))</f>
        <v>.</v>
      </c>
      <c r="AS312" s="1044" t="str">
        <f>IF(AC312=".",".",SUM($X312:AC312))</f>
        <v>.</v>
      </c>
      <c r="AT312" s="1045" t="str">
        <f>IF(AD312=".",".",SUM($X312:AD312))</f>
        <v>.</v>
      </c>
      <c r="AU312" s="3"/>
      <c r="AV312" s="1145" t="str">
        <f t="shared" si="190"/>
        <v>.</v>
      </c>
      <c r="AW312" s="1146" t="str">
        <f t="shared" si="184"/>
        <v>.</v>
      </c>
      <c r="AX312" s="1146" t="str">
        <f t="shared" si="185"/>
        <v>.</v>
      </c>
      <c r="AY312" s="1146" t="str">
        <f t="shared" si="186"/>
        <v>.</v>
      </c>
      <c r="AZ312" s="1146" t="str">
        <f t="shared" si="187"/>
        <v>.</v>
      </c>
      <c r="BA312" s="1146" t="str">
        <f t="shared" si="188"/>
        <v>.</v>
      </c>
      <c r="BB312" s="1147" t="str">
        <f t="shared" si="189"/>
        <v>.</v>
      </c>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row>
    <row r="313" spans="1:92" x14ac:dyDescent="0.2">
      <c r="A313" s="620"/>
      <c r="B313" s="1077" t="str">
        <f t="shared" si="195"/>
        <v>Special rate</v>
      </c>
      <c r="C313" s="1022" t="str">
        <f t="shared" si="195"/>
        <v/>
      </c>
      <c r="D313" s="1022" t="s">
        <v>687</v>
      </c>
      <c r="E313" s="1022"/>
      <c r="F313" s="1022"/>
      <c r="G313" s="1022"/>
      <c r="H313" s="1022"/>
      <c r="I313" s="1022"/>
      <c r="J313" s="1023" t="str">
        <f t="shared" si="170"/>
        <v>.</v>
      </c>
      <c r="K313" s="1012"/>
      <c r="L313" s="1024"/>
      <c r="M313" s="1024"/>
      <c r="N313" s="1024"/>
      <c r="O313" s="1024"/>
      <c r="P313" s="1024"/>
      <c r="Q313" s="1078"/>
      <c r="R313" s="76"/>
      <c r="S313" s="3"/>
      <c r="T313" s="1028">
        <f t="shared" si="196"/>
        <v>0</v>
      </c>
      <c r="U313" s="1029">
        <f t="shared" si="196"/>
        <v>0</v>
      </c>
      <c r="V313" s="1035"/>
      <c r="W313" s="3"/>
      <c r="X313" s="1043" t="str">
        <f t="shared" si="171"/>
        <v>.</v>
      </c>
      <c r="Y313" s="1044" t="str">
        <f t="shared" si="172"/>
        <v>.</v>
      </c>
      <c r="Z313" s="1044" t="str">
        <f t="shared" si="173"/>
        <v>.</v>
      </c>
      <c r="AA313" s="1044" t="str">
        <f t="shared" si="174"/>
        <v>.</v>
      </c>
      <c r="AB313" s="1044" t="str">
        <f t="shared" si="175"/>
        <v>.</v>
      </c>
      <c r="AC313" s="1044" t="str">
        <f t="shared" si="176"/>
        <v>.</v>
      </c>
      <c r="AD313" s="1045" t="str">
        <f t="shared" si="177"/>
        <v>.</v>
      </c>
      <c r="AE313" s="3"/>
      <c r="AF313" s="1145" t="str">
        <f t="shared" si="191"/>
        <v>.</v>
      </c>
      <c r="AG313" s="1146" t="str">
        <f t="shared" si="178"/>
        <v>.</v>
      </c>
      <c r="AH313" s="1146" t="str">
        <f t="shared" si="179"/>
        <v>.</v>
      </c>
      <c r="AI313" s="1146" t="str">
        <f t="shared" si="180"/>
        <v>.</v>
      </c>
      <c r="AJ313" s="1146" t="str">
        <f t="shared" si="181"/>
        <v>.</v>
      </c>
      <c r="AK313" s="1146" t="str">
        <f t="shared" si="182"/>
        <v>.</v>
      </c>
      <c r="AL313" s="1147" t="str">
        <f t="shared" si="183"/>
        <v>.</v>
      </c>
      <c r="AM313" s="3"/>
      <c r="AN313" s="1043" t="str">
        <f>IF(X313=".",".",SUM($X313:X313))</f>
        <v>.</v>
      </c>
      <c r="AO313" s="1044" t="str">
        <f>IF(Y313=".",".",SUM($X313:Y313))</f>
        <v>.</v>
      </c>
      <c r="AP313" s="1044" t="str">
        <f>IF(Z313=".",".",SUM($X313:Z313))</f>
        <v>.</v>
      </c>
      <c r="AQ313" s="1044" t="str">
        <f>IF(AA313=".",".",SUM($X313:AA313))</f>
        <v>.</v>
      </c>
      <c r="AR313" s="1044" t="str">
        <f>IF(AB313=".",".",SUM($X313:AB313))</f>
        <v>.</v>
      </c>
      <c r="AS313" s="1044" t="str">
        <f>IF(AC313=".",".",SUM($X313:AC313))</f>
        <v>.</v>
      </c>
      <c r="AT313" s="1045" t="str">
        <f>IF(AD313=".",".",SUM($X313:AD313))</f>
        <v>.</v>
      </c>
      <c r="AU313" s="3"/>
      <c r="AV313" s="1145" t="str">
        <f t="shared" si="190"/>
        <v>.</v>
      </c>
      <c r="AW313" s="1146" t="str">
        <f t="shared" si="184"/>
        <v>.</v>
      </c>
      <c r="AX313" s="1146" t="str">
        <f t="shared" si="185"/>
        <v>.</v>
      </c>
      <c r="AY313" s="1146" t="str">
        <f t="shared" si="186"/>
        <v>.</v>
      </c>
      <c r="AZ313" s="1146" t="str">
        <f t="shared" si="187"/>
        <v>.</v>
      </c>
      <c r="BA313" s="1146" t="str">
        <f t="shared" si="188"/>
        <v>.</v>
      </c>
      <c r="BB313" s="1147" t="str">
        <f t="shared" si="189"/>
        <v>.</v>
      </c>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row>
    <row r="314" spans="1:92" x14ac:dyDescent="0.2">
      <c r="A314" s="620"/>
      <c r="B314" s="1077" t="str">
        <f t="shared" si="195"/>
        <v>Special rate</v>
      </c>
      <c r="C314" s="1022" t="str">
        <f t="shared" si="195"/>
        <v/>
      </c>
      <c r="D314" s="1022" t="s">
        <v>687</v>
      </c>
      <c r="E314" s="1022"/>
      <c r="F314" s="1022"/>
      <c r="G314" s="1022"/>
      <c r="H314" s="1022"/>
      <c r="I314" s="1022"/>
      <c r="J314" s="1023" t="str">
        <f t="shared" si="170"/>
        <v>.</v>
      </c>
      <c r="K314" s="1012"/>
      <c r="L314" s="1024"/>
      <c r="M314" s="1024"/>
      <c r="N314" s="1024"/>
      <c r="O314" s="1024"/>
      <c r="P314" s="1024"/>
      <c r="Q314" s="1078"/>
      <c r="R314" s="76"/>
      <c r="S314" s="3"/>
      <c r="T314" s="1028">
        <f t="shared" si="196"/>
        <v>0</v>
      </c>
      <c r="U314" s="1029">
        <f t="shared" si="196"/>
        <v>0</v>
      </c>
      <c r="V314" s="1035"/>
      <c r="W314" s="3"/>
      <c r="X314" s="1043" t="str">
        <f t="shared" si="171"/>
        <v>.</v>
      </c>
      <c r="Y314" s="1044" t="str">
        <f t="shared" si="172"/>
        <v>.</v>
      </c>
      <c r="Z314" s="1044" t="str">
        <f t="shared" si="173"/>
        <v>.</v>
      </c>
      <c r="AA314" s="1044" t="str">
        <f t="shared" si="174"/>
        <v>.</v>
      </c>
      <c r="AB314" s="1044" t="str">
        <f t="shared" si="175"/>
        <v>.</v>
      </c>
      <c r="AC314" s="1044" t="str">
        <f t="shared" si="176"/>
        <v>.</v>
      </c>
      <c r="AD314" s="1045" t="str">
        <f t="shared" si="177"/>
        <v>.</v>
      </c>
      <c r="AE314" s="3"/>
      <c r="AF314" s="1145" t="str">
        <f t="shared" si="191"/>
        <v>.</v>
      </c>
      <c r="AG314" s="1146" t="str">
        <f t="shared" si="178"/>
        <v>.</v>
      </c>
      <c r="AH314" s="1146" t="str">
        <f t="shared" si="179"/>
        <v>.</v>
      </c>
      <c r="AI314" s="1146" t="str">
        <f t="shared" si="180"/>
        <v>.</v>
      </c>
      <c r="AJ314" s="1146" t="str">
        <f t="shared" si="181"/>
        <v>.</v>
      </c>
      <c r="AK314" s="1146" t="str">
        <f t="shared" si="182"/>
        <v>.</v>
      </c>
      <c r="AL314" s="1147" t="str">
        <f t="shared" si="183"/>
        <v>.</v>
      </c>
      <c r="AM314" s="3"/>
      <c r="AN314" s="1043" t="str">
        <f>IF(X314=".",".",SUM($X314:X314))</f>
        <v>.</v>
      </c>
      <c r="AO314" s="1044" t="str">
        <f>IF(Y314=".",".",SUM($X314:Y314))</f>
        <v>.</v>
      </c>
      <c r="AP314" s="1044" t="str">
        <f>IF(Z314=".",".",SUM($X314:Z314))</f>
        <v>.</v>
      </c>
      <c r="AQ314" s="1044" t="str">
        <f>IF(AA314=".",".",SUM($X314:AA314))</f>
        <v>.</v>
      </c>
      <c r="AR314" s="1044" t="str">
        <f>IF(AB314=".",".",SUM($X314:AB314))</f>
        <v>.</v>
      </c>
      <c r="AS314" s="1044" t="str">
        <f>IF(AC314=".",".",SUM($X314:AC314))</f>
        <v>.</v>
      </c>
      <c r="AT314" s="1045" t="str">
        <f>IF(AD314=".",".",SUM($X314:AD314))</f>
        <v>.</v>
      </c>
      <c r="AU314" s="3"/>
      <c r="AV314" s="1145" t="str">
        <f t="shared" si="190"/>
        <v>.</v>
      </c>
      <c r="AW314" s="1146" t="str">
        <f t="shared" si="184"/>
        <v>.</v>
      </c>
      <c r="AX314" s="1146" t="str">
        <f t="shared" si="185"/>
        <v>.</v>
      </c>
      <c r="AY314" s="1146" t="str">
        <f t="shared" si="186"/>
        <v>.</v>
      </c>
      <c r="AZ314" s="1146" t="str">
        <f t="shared" si="187"/>
        <v>.</v>
      </c>
      <c r="BA314" s="1146" t="str">
        <f t="shared" si="188"/>
        <v>.</v>
      </c>
      <c r="BB314" s="1147" t="str">
        <f t="shared" si="189"/>
        <v>.</v>
      </c>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row>
    <row r="315" spans="1:92" x14ac:dyDescent="0.2">
      <c r="A315" s="620"/>
      <c r="B315" s="1077" t="str">
        <f t="shared" si="195"/>
        <v>Special rate</v>
      </c>
      <c r="C315" s="1022" t="str">
        <f t="shared" si="195"/>
        <v/>
      </c>
      <c r="D315" s="1022" t="s">
        <v>687</v>
      </c>
      <c r="E315" s="1022"/>
      <c r="F315" s="1022"/>
      <c r="G315" s="1022"/>
      <c r="H315" s="1022"/>
      <c r="I315" s="1022"/>
      <c r="J315" s="1023" t="str">
        <f t="shared" si="170"/>
        <v>.</v>
      </c>
      <c r="K315" s="1012"/>
      <c r="L315" s="1024"/>
      <c r="M315" s="1024"/>
      <c r="N315" s="1024"/>
      <c r="O315" s="1024"/>
      <c r="P315" s="1024"/>
      <c r="Q315" s="1078"/>
      <c r="R315" s="76"/>
      <c r="S315" s="3"/>
      <c r="T315" s="1028">
        <f t="shared" si="196"/>
        <v>0</v>
      </c>
      <c r="U315" s="1029">
        <f t="shared" si="196"/>
        <v>0</v>
      </c>
      <c r="V315" s="1035"/>
      <c r="W315" s="3"/>
      <c r="X315" s="1043" t="str">
        <f t="shared" si="171"/>
        <v>.</v>
      </c>
      <c r="Y315" s="1044" t="str">
        <f t="shared" si="172"/>
        <v>.</v>
      </c>
      <c r="Z315" s="1044" t="str">
        <f t="shared" si="173"/>
        <v>.</v>
      </c>
      <c r="AA315" s="1044" t="str">
        <f t="shared" si="174"/>
        <v>.</v>
      </c>
      <c r="AB315" s="1044" t="str">
        <f t="shared" si="175"/>
        <v>.</v>
      </c>
      <c r="AC315" s="1044" t="str">
        <f t="shared" si="176"/>
        <v>.</v>
      </c>
      <c r="AD315" s="1045" t="str">
        <f t="shared" si="177"/>
        <v>.</v>
      </c>
      <c r="AE315" s="3"/>
      <c r="AF315" s="1145" t="str">
        <f t="shared" si="191"/>
        <v>.</v>
      </c>
      <c r="AG315" s="1146" t="str">
        <f t="shared" si="178"/>
        <v>.</v>
      </c>
      <c r="AH315" s="1146" t="str">
        <f t="shared" si="179"/>
        <v>.</v>
      </c>
      <c r="AI315" s="1146" t="str">
        <f t="shared" si="180"/>
        <v>.</v>
      </c>
      <c r="AJ315" s="1146" t="str">
        <f t="shared" si="181"/>
        <v>.</v>
      </c>
      <c r="AK315" s="1146" t="str">
        <f t="shared" si="182"/>
        <v>.</v>
      </c>
      <c r="AL315" s="1147" t="str">
        <f t="shared" si="183"/>
        <v>.</v>
      </c>
      <c r="AM315" s="3"/>
      <c r="AN315" s="1043" t="str">
        <f>IF(X315=".",".",SUM($X315:X315))</f>
        <v>.</v>
      </c>
      <c r="AO315" s="1044" t="str">
        <f>IF(Y315=".",".",SUM($X315:Y315))</f>
        <v>.</v>
      </c>
      <c r="AP315" s="1044" t="str">
        <f>IF(Z315=".",".",SUM($X315:Z315))</f>
        <v>.</v>
      </c>
      <c r="AQ315" s="1044" t="str">
        <f>IF(AA315=".",".",SUM($X315:AA315))</f>
        <v>.</v>
      </c>
      <c r="AR315" s="1044" t="str">
        <f>IF(AB315=".",".",SUM($X315:AB315))</f>
        <v>.</v>
      </c>
      <c r="AS315" s="1044" t="str">
        <f>IF(AC315=".",".",SUM($X315:AC315))</f>
        <v>.</v>
      </c>
      <c r="AT315" s="1045" t="str">
        <f>IF(AD315=".",".",SUM($X315:AD315))</f>
        <v>.</v>
      </c>
      <c r="AU315" s="3"/>
      <c r="AV315" s="1145" t="str">
        <f t="shared" si="190"/>
        <v>.</v>
      </c>
      <c r="AW315" s="1146" t="str">
        <f t="shared" si="184"/>
        <v>.</v>
      </c>
      <c r="AX315" s="1146" t="str">
        <f t="shared" si="185"/>
        <v>.</v>
      </c>
      <c r="AY315" s="1146" t="str">
        <f t="shared" si="186"/>
        <v>.</v>
      </c>
      <c r="AZ315" s="1146" t="str">
        <f t="shared" si="187"/>
        <v>.</v>
      </c>
      <c r="BA315" s="1146" t="str">
        <f t="shared" si="188"/>
        <v>.</v>
      </c>
      <c r="BB315" s="1147" t="str">
        <f t="shared" si="189"/>
        <v>.</v>
      </c>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row>
    <row r="316" spans="1:92" x14ac:dyDescent="0.2">
      <c r="A316" s="620"/>
      <c r="B316" s="1077" t="str">
        <f t="shared" si="195"/>
        <v>Special rate</v>
      </c>
      <c r="C316" s="1022" t="str">
        <f t="shared" si="195"/>
        <v/>
      </c>
      <c r="D316" s="1022" t="s">
        <v>687</v>
      </c>
      <c r="E316" s="1022"/>
      <c r="F316" s="1022"/>
      <c r="G316" s="1022"/>
      <c r="H316" s="1022"/>
      <c r="I316" s="1022"/>
      <c r="J316" s="1023" t="str">
        <f t="shared" si="170"/>
        <v>.</v>
      </c>
      <c r="K316" s="1012"/>
      <c r="L316" s="1024"/>
      <c r="M316" s="1024"/>
      <c r="N316" s="1024"/>
      <c r="O316" s="1024"/>
      <c r="P316" s="1024"/>
      <c r="Q316" s="1078"/>
      <c r="R316" s="76"/>
      <c r="S316" s="3"/>
      <c r="T316" s="1028">
        <f t="shared" si="196"/>
        <v>0</v>
      </c>
      <c r="U316" s="1029">
        <f t="shared" si="196"/>
        <v>0</v>
      </c>
      <c r="V316" s="1035"/>
      <c r="W316" s="3"/>
      <c r="X316" s="1043" t="str">
        <f t="shared" si="171"/>
        <v>.</v>
      </c>
      <c r="Y316" s="1044" t="str">
        <f t="shared" si="172"/>
        <v>.</v>
      </c>
      <c r="Z316" s="1044" t="str">
        <f t="shared" si="173"/>
        <v>.</v>
      </c>
      <c r="AA316" s="1044" t="str">
        <f t="shared" si="174"/>
        <v>.</v>
      </c>
      <c r="AB316" s="1044" t="str">
        <f t="shared" si="175"/>
        <v>.</v>
      </c>
      <c r="AC316" s="1044" t="str">
        <f t="shared" si="176"/>
        <v>.</v>
      </c>
      <c r="AD316" s="1045" t="str">
        <f t="shared" si="177"/>
        <v>.</v>
      </c>
      <c r="AE316" s="3"/>
      <c r="AF316" s="1145" t="str">
        <f t="shared" si="191"/>
        <v>.</v>
      </c>
      <c r="AG316" s="1146" t="str">
        <f t="shared" si="178"/>
        <v>.</v>
      </c>
      <c r="AH316" s="1146" t="str">
        <f t="shared" si="179"/>
        <v>.</v>
      </c>
      <c r="AI316" s="1146" t="str">
        <f t="shared" si="180"/>
        <v>.</v>
      </c>
      <c r="AJ316" s="1146" t="str">
        <f t="shared" si="181"/>
        <v>.</v>
      </c>
      <c r="AK316" s="1146" t="str">
        <f t="shared" si="182"/>
        <v>.</v>
      </c>
      <c r="AL316" s="1147" t="str">
        <f t="shared" si="183"/>
        <v>.</v>
      </c>
      <c r="AM316" s="3"/>
      <c r="AN316" s="1043" t="str">
        <f>IF(X316=".",".",SUM($X316:X316))</f>
        <v>.</v>
      </c>
      <c r="AO316" s="1044" t="str">
        <f>IF(Y316=".",".",SUM($X316:Y316))</f>
        <v>.</v>
      </c>
      <c r="AP316" s="1044" t="str">
        <f>IF(Z316=".",".",SUM($X316:Z316))</f>
        <v>.</v>
      </c>
      <c r="AQ316" s="1044" t="str">
        <f>IF(AA316=".",".",SUM($X316:AA316))</f>
        <v>.</v>
      </c>
      <c r="AR316" s="1044" t="str">
        <f>IF(AB316=".",".",SUM($X316:AB316))</f>
        <v>.</v>
      </c>
      <c r="AS316" s="1044" t="str">
        <f>IF(AC316=".",".",SUM($X316:AC316))</f>
        <v>.</v>
      </c>
      <c r="AT316" s="1045" t="str">
        <f>IF(AD316=".",".",SUM($X316:AD316))</f>
        <v>.</v>
      </c>
      <c r="AU316" s="3"/>
      <c r="AV316" s="1145" t="str">
        <f t="shared" si="190"/>
        <v>.</v>
      </c>
      <c r="AW316" s="1146" t="str">
        <f t="shared" si="184"/>
        <v>.</v>
      </c>
      <c r="AX316" s="1146" t="str">
        <f t="shared" si="185"/>
        <v>.</v>
      </c>
      <c r="AY316" s="1146" t="str">
        <f t="shared" si="186"/>
        <v>.</v>
      </c>
      <c r="AZ316" s="1146" t="str">
        <f t="shared" si="187"/>
        <v>.</v>
      </c>
      <c r="BA316" s="1146" t="str">
        <f t="shared" si="188"/>
        <v>.</v>
      </c>
      <c r="BB316" s="1147" t="str">
        <f t="shared" si="189"/>
        <v>.</v>
      </c>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row>
    <row r="317" spans="1:92" x14ac:dyDescent="0.2">
      <c r="A317" s="620"/>
      <c r="B317" s="1077" t="str">
        <f t="shared" si="195"/>
        <v>Special rate</v>
      </c>
      <c r="C317" s="1022" t="str">
        <f t="shared" si="195"/>
        <v/>
      </c>
      <c r="D317" s="1022" t="s">
        <v>687</v>
      </c>
      <c r="E317" s="1022"/>
      <c r="F317" s="1022"/>
      <c r="G317" s="1022"/>
      <c r="H317" s="1022"/>
      <c r="I317" s="1022"/>
      <c r="J317" s="1023" t="str">
        <f t="shared" si="170"/>
        <v>.</v>
      </c>
      <c r="K317" s="1012"/>
      <c r="L317" s="1024"/>
      <c r="M317" s="1024"/>
      <c r="N317" s="1024"/>
      <c r="O317" s="1024"/>
      <c r="P317" s="1024"/>
      <c r="Q317" s="1078"/>
      <c r="R317" s="76"/>
      <c r="S317" s="3"/>
      <c r="T317" s="1028">
        <f t="shared" si="196"/>
        <v>0</v>
      </c>
      <c r="U317" s="1029">
        <f t="shared" si="196"/>
        <v>0</v>
      </c>
      <c r="V317" s="1035"/>
      <c r="W317" s="3"/>
      <c r="X317" s="1043" t="str">
        <f t="shared" si="171"/>
        <v>.</v>
      </c>
      <c r="Y317" s="1044" t="str">
        <f t="shared" si="172"/>
        <v>.</v>
      </c>
      <c r="Z317" s="1044" t="str">
        <f t="shared" si="173"/>
        <v>.</v>
      </c>
      <c r="AA317" s="1044" t="str">
        <f t="shared" si="174"/>
        <v>.</v>
      </c>
      <c r="AB317" s="1044" t="str">
        <f t="shared" si="175"/>
        <v>.</v>
      </c>
      <c r="AC317" s="1044" t="str">
        <f t="shared" si="176"/>
        <v>.</v>
      </c>
      <c r="AD317" s="1045" t="str">
        <f t="shared" si="177"/>
        <v>.</v>
      </c>
      <c r="AE317" s="3"/>
      <c r="AF317" s="1145" t="str">
        <f t="shared" si="191"/>
        <v>.</v>
      </c>
      <c r="AG317" s="1146" t="str">
        <f t="shared" si="178"/>
        <v>.</v>
      </c>
      <c r="AH317" s="1146" t="str">
        <f t="shared" si="179"/>
        <v>.</v>
      </c>
      <c r="AI317" s="1146" t="str">
        <f t="shared" si="180"/>
        <v>.</v>
      </c>
      <c r="AJ317" s="1146" t="str">
        <f t="shared" si="181"/>
        <v>.</v>
      </c>
      <c r="AK317" s="1146" t="str">
        <f t="shared" si="182"/>
        <v>.</v>
      </c>
      <c r="AL317" s="1147" t="str">
        <f t="shared" si="183"/>
        <v>.</v>
      </c>
      <c r="AM317" s="3"/>
      <c r="AN317" s="1043" t="str">
        <f>IF(X317=".",".",SUM($X317:X317))</f>
        <v>.</v>
      </c>
      <c r="AO317" s="1044" t="str">
        <f>IF(Y317=".",".",SUM($X317:Y317))</f>
        <v>.</v>
      </c>
      <c r="AP317" s="1044" t="str">
        <f>IF(Z317=".",".",SUM($X317:Z317))</f>
        <v>.</v>
      </c>
      <c r="AQ317" s="1044" t="str">
        <f>IF(AA317=".",".",SUM($X317:AA317))</f>
        <v>.</v>
      </c>
      <c r="AR317" s="1044" t="str">
        <f>IF(AB317=".",".",SUM($X317:AB317))</f>
        <v>.</v>
      </c>
      <c r="AS317" s="1044" t="str">
        <f>IF(AC317=".",".",SUM($X317:AC317))</f>
        <v>.</v>
      </c>
      <c r="AT317" s="1045" t="str">
        <f>IF(AD317=".",".",SUM($X317:AD317))</f>
        <v>.</v>
      </c>
      <c r="AU317" s="3"/>
      <c r="AV317" s="1145" t="str">
        <f t="shared" si="190"/>
        <v>.</v>
      </c>
      <c r="AW317" s="1146" t="str">
        <f t="shared" si="184"/>
        <v>.</v>
      </c>
      <c r="AX317" s="1146" t="str">
        <f t="shared" si="185"/>
        <v>.</v>
      </c>
      <c r="AY317" s="1146" t="str">
        <f t="shared" si="186"/>
        <v>.</v>
      </c>
      <c r="AZ317" s="1146" t="str">
        <f t="shared" si="187"/>
        <v>.</v>
      </c>
      <c r="BA317" s="1146" t="str">
        <f t="shared" si="188"/>
        <v>.</v>
      </c>
      <c r="BB317" s="1147" t="str">
        <f t="shared" si="189"/>
        <v>.</v>
      </c>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row>
    <row r="318" spans="1:92" x14ac:dyDescent="0.2">
      <c r="A318" s="620"/>
      <c r="B318" s="1077" t="str">
        <f t="shared" si="195"/>
        <v>Special rate</v>
      </c>
      <c r="C318" s="1022" t="str">
        <f t="shared" si="195"/>
        <v/>
      </c>
      <c r="D318" s="1022" t="s">
        <v>687</v>
      </c>
      <c r="E318" s="1022"/>
      <c r="F318" s="1022"/>
      <c r="G318" s="1022"/>
      <c r="H318" s="1022"/>
      <c r="I318" s="1022"/>
      <c r="J318" s="1023" t="str">
        <f t="shared" si="170"/>
        <v>.</v>
      </c>
      <c r="K318" s="1012"/>
      <c r="L318" s="1024"/>
      <c r="M318" s="1024"/>
      <c r="N318" s="1024"/>
      <c r="O318" s="1024"/>
      <c r="P318" s="1024"/>
      <c r="Q318" s="1078"/>
      <c r="R318" s="76"/>
      <c r="S318" s="3"/>
      <c r="T318" s="1028">
        <f t="shared" si="196"/>
        <v>0</v>
      </c>
      <c r="U318" s="1029">
        <f t="shared" si="196"/>
        <v>0</v>
      </c>
      <c r="V318" s="1035"/>
      <c r="W318" s="3"/>
      <c r="X318" s="1043" t="str">
        <f t="shared" si="171"/>
        <v>.</v>
      </c>
      <c r="Y318" s="1044" t="str">
        <f t="shared" si="172"/>
        <v>.</v>
      </c>
      <c r="Z318" s="1044" t="str">
        <f t="shared" si="173"/>
        <v>.</v>
      </c>
      <c r="AA318" s="1044" t="str">
        <f t="shared" si="174"/>
        <v>.</v>
      </c>
      <c r="AB318" s="1044" t="str">
        <f t="shared" si="175"/>
        <v>.</v>
      </c>
      <c r="AC318" s="1044" t="str">
        <f t="shared" si="176"/>
        <v>.</v>
      </c>
      <c r="AD318" s="1045" t="str">
        <f t="shared" si="177"/>
        <v>.</v>
      </c>
      <c r="AE318" s="3"/>
      <c r="AF318" s="1145" t="str">
        <f t="shared" si="191"/>
        <v>.</v>
      </c>
      <c r="AG318" s="1146" t="str">
        <f t="shared" si="178"/>
        <v>.</v>
      </c>
      <c r="AH318" s="1146" t="str">
        <f t="shared" si="179"/>
        <v>.</v>
      </c>
      <c r="AI318" s="1146" t="str">
        <f t="shared" si="180"/>
        <v>.</v>
      </c>
      <c r="AJ318" s="1146" t="str">
        <f t="shared" si="181"/>
        <v>.</v>
      </c>
      <c r="AK318" s="1146" t="str">
        <f t="shared" si="182"/>
        <v>.</v>
      </c>
      <c r="AL318" s="1147" t="str">
        <f t="shared" si="183"/>
        <v>.</v>
      </c>
      <c r="AM318" s="3"/>
      <c r="AN318" s="1043" t="str">
        <f>IF(X318=".",".",SUM($X318:X318))</f>
        <v>.</v>
      </c>
      <c r="AO318" s="1044" t="str">
        <f>IF(Y318=".",".",SUM($X318:Y318))</f>
        <v>.</v>
      </c>
      <c r="AP318" s="1044" t="str">
        <f>IF(Z318=".",".",SUM($X318:Z318))</f>
        <v>.</v>
      </c>
      <c r="AQ318" s="1044" t="str">
        <f>IF(AA318=".",".",SUM($X318:AA318))</f>
        <v>.</v>
      </c>
      <c r="AR318" s="1044" t="str">
        <f>IF(AB318=".",".",SUM($X318:AB318))</f>
        <v>.</v>
      </c>
      <c r="AS318" s="1044" t="str">
        <f>IF(AC318=".",".",SUM($X318:AC318))</f>
        <v>.</v>
      </c>
      <c r="AT318" s="1045" t="str">
        <f>IF(AD318=".",".",SUM($X318:AD318))</f>
        <v>.</v>
      </c>
      <c r="AU318" s="3"/>
      <c r="AV318" s="1145" t="str">
        <f t="shared" si="190"/>
        <v>.</v>
      </c>
      <c r="AW318" s="1146" t="str">
        <f t="shared" si="184"/>
        <v>.</v>
      </c>
      <c r="AX318" s="1146" t="str">
        <f t="shared" si="185"/>
        <v>.</v>
      </c>
      <c r="AY318" s="1146" t="str">
        <f t="shared" si="186"/>
        <v>.</v>
      </c>
      <c r="AZ318" s="1146" t="str">
        <f t="shared" si="187"/>
        <v>.</v>
      </c>
      <c r="BA318" s="1146" t="str">
        <f t="shared" si="188"/>
        <v>.</v>
      </c>
      <c r="BB318" s="1147" t="str">
        <f t="shared" si="189"/>
        <v>.</v>
      </c>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row>
    <row r="319" spans="1:92" x14ac:dyDescent="0.2">
      <c r="A319" s="620"/>
      <c r="B319" s="1077" t="str">
        <f t="shared" si="195"/>
        <v>Special rate</v>
      </c>
      <c r="C319" s="1022" t="str">
        <f t="shared" si="195"/>
        <v/>
      </c>
      <c r="D319" s="1022" t="s">
        <v>687</v>
      </c>
      <c r="E319" s="1022"/>
      <c r="F319" s="1022"/>
      <c r="G319" s="1022"/>
      <c r="H319" s="1022"/>
      <c r="I319" s="1022"/>
      <c r="J319" s="1023" t="str">
        <f t="shared" si="170"/>
        <v>.</v>
      </c>
      <c r="K319" s="1012"/>
      <c r="L319" s="1024"/>
      <c r="M319" s="1024"/>
      <c r="N319" s="1024"/>
      <c r="O319" s="1024"/>
      <c r="P319" s="1024"/>
      <c r="Q319" s="1078"/>
      <c r="R319" s="76"/>
      <c r="S319" s="3"/>
      <c r="T319" s="1028">
        <f t="shared" si="196"/>
        <v>0</v>
      </c>
      <c r="U319" s="1029">
        <f t="shared" si="196"/>
        <v>0</v>
      </c>
      <c r="V319" s="1035"/>
      <c r="W319" s="3"/>
      <c r="X319" s="1043" t="str">
        <f t="shared" si="171"/>
        <v>.</v>
      </c>
      <c r="Y319" s="1044" t="str">
        <f t="shared" si="172"/>
        <v>.</v>
      </c>
      <c r="Z319" s="1044" t="str">
        <f t="shared" si="173"/>
        <v>.</v>
      </c>
      <c r="AA319" s="1044" t="str">
        <f t="shared" si="174"/>
        <v>.</v>
      </c>
      <c r="AB319" s="1044" t="str">
        <f t="shared" si="175"/>
        <v>.</v>
      </c>
      <c r="AC319" s="1044" t="str">
        <f t="shared" si="176"/>
        <v>.</v>
      </c>
      <c r="AD319" s="1045" t="str">
        <f t="shared" si="177"/>
        <v>.</v>
      </c>
      <c r="AE319" s="3"/>
      <c r="AF319" s="1145" t="str">
        <f t="shared" si="191"/>
        <v>.</v>
      </c>
      <c r="AG319" s="1146" t="str">
        <f t="shared" si="178"/>
        <v>.</v>
      </c>
      <c r="AH319" s="1146" t="str">
        <f t="shared" si="179"/>
        <v>.</v>
      </c>
      <c r="AI319" s="1146" t="str">
        <f t="shared" si="180"/>
        <v>.</v>
      </c>
      <c r="AJ319" s="1146" t="str">
        <f t="shared" si="181"/>
        <v>.</v>
      </c>
      <c r="AK319" s="1146" t="str">
        <f t="shared" si="182"/>
        <v>.</v>
      </c>
      <c r="AL319" s="1147" t="str">
        <f t="shared" si="183"/>
        <v>.</v>
      </c>
      <c r="AM319" s="3"/>
      <c r="AN319" s="1043" t="str">
        <f>IF(X319=".",".",SUM($X319:X319))</f>
        <v>.</v>
      </c>
      <c r="AO319" s="1044" t="str">
        <f>IF(Y319=".",".",SUM($X319:Y319))</f>
        <v>.</v>
      </c>
      <c r="AP319" s="1044" t="str">
        <f>IF(Z319=".",".",SUM($X319:Z319))</f>
        <v>.</v>
      </c>
      <c r="AQ319" s="1044" t="str">
        <f>IF(AA319=".",".",SUM($X319:AA319))</f>
        <v>.</v>
      </c>
      <c r="AR319" s="1044" t="str">
        <f>IF(AB319=".",".",SUM($X319:AB319))</f>
        <v>.</v>
      </c>
      <c r="AS319" s="1044" t="str">
        <f>IF(AC319=".",".",SUM($X319:AC319))</f>
        <v>.</v>
      </c>
      <c r="AT319" s="1045" t="str">
        <f>IF(AD319=".",".",SUM($X319:AD319))</f>
        <v>.</v>
      </c>
      <c r="AU319" s="3"/>
      <c r="AV319" s="1145" t="str">
        <f t="shared" si="190"/>
        <v>.</v>
      </c>
      <c r="AW319" s="1146" t="str">
        <f t="shared" si="184"/>
        <v>.</v>
      </c>
      <c r="AX319" s="1146" t="str">
        <f t="shared" si="185"/>
        <v>.</v>
      </c>
      <c r="AY319" s="1146" t="str">
        <f t="shared" si="186"/>
        <v>.</v>
      </c>
      <c r="AZ319" s="1146" t="str">
        <f t="shared" si="187"/>
        <v>.</v>
      </c>
      <c r="BA319" s="1146" t="str">
        <f t="shared" si="188"/>
        <v>.</v>
      </c>
      <c r="BB319" s="1147" t="str">
        <f t="shared" si="189"/>
        <v>.</v>
      </c>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row>
    <row r="320" spans="1:92" x14ac:dyDescent="0.2">
      <c r="A320" s="620"/>
      <c r="B320" s="1077" t="str">
        <f t="shared" si="195"/>
        <v>Special rate</v>
      </c>
      <c r="C320" s="1022" t="str">
        <f t="shared" si="195"/>
        <v/>
      </c>
      <c r="D320" s="1022" t="s">
        <v>687</v>
      </c>
      <c r="E320" s="1022"/>
      <c r="F320" s="1022"/>
      <c r="G320" s="1022"/>
      <c r="H320" s="1022"/>
      <c r="I320" s="1022"/>
      <c r="J320" s="1023" t="str">
        <f t="shared" si="170"/>
        <v>.</v>
      </c>
      <c r="K320" s="1012"/>
      <c r="L320" s="1024"/>
      <c r="M320" s="1024"/>
      <c r="N320" s="1024"/>
      <c r="O320" s="1024"/>
      <c r="P320" s="1024"/>
      <c r="Q320" s="1078"/>
      <c r="R320" s="76"/>
      <c r="S320" s="3"/>
      <c r="T320" s="1028">
        <f t="shared" si="196"/>
        <v>0</v>
      </c>
      <c r="U320" s="1029">
        <f t="shared" si="196"/>
        <v>0</v>
      </c>
      <c r="V320" s="1035"/>
      <c r="W320" s="3"/>
      <c r="X320" s="1043" t="str">
        <f t="shared" si="171"/>
        <v>.</v>
      </c>
      <c r="Y320" s="1044" t="str">
        <f t="shared" si="172"/>
        <v>.</v>
      </c>
      <c r="Z320" s="1044" t="str">
        <f t="shared" si="173"/>
        <v>.</v>
      </c>
      <c r="AA320" s="1044" t="str">
        <f t="shared" si="174"/>
        <v>.</v>
      </c>
      <c r="AB320" s="1044" t="str">
        <f t="shared" si="175"/>
        <v>.</v>
      </c>
      <c r="AC320" s="1044" t="str">
        <f t="shared" si="176"/>
        <v>.</v>
      </c>
      <c r="AD320" s="1045" t="str">
        <f t="shared" si="177"/>
        <v>.</v>
      </c>
      <c r="AE320" s="3"/>
      <c r="AF320" s="1145" t="str">
        <f t="shared" si="191"/>
        <v>.</v>
      </c>
      <c r="AG320" s="1146" t="str">
        <f t="shared" si="178"/>
        <v>.</v>
      </c>
      <c r="AH320" s="1146" t="str">
        <f t="shared" si="179"/>
        <v>.</v>
      </c>
      <c r="AI320" s="1146" t="str">
        <f t="shared" si="180"/>
        <v>.</v>
      </c>
      <c r="AJ320" s="1146" t="str">
        <f t="shared" si="181"/>
        <v>.</v>
      </c>
      <c r="AK320" s="1146" t="str">
        <f t="shared" si="182"/>
        <v>.</v>
      </c>
      <c r="AL320" s="1147" t="str">
        <f t="shared" si="183"/>
        <v>.</v>
      </c>
      <c r="AM320" s="3"/>
      <c r="AN320" s="1043" t="str">
        <f>IF(X320=".",".",SUM($X320:X320))</f>
        <v>.</v>
      </c>
      <c r="AO320" s="1044" t="str">
        <f>IF(Y320=".",".",SUM($X320:Y320))</f>
        <v>.</v>
      </c>
      <c r="AP320" s="1044" t="str">
        <f>IF(Z320=".",".",SUM($X320:Z320))</f>
        <v>.</v>
      </c>
      <c r="AQ320" s="1044" t="str">
        <f>IF(AA320=".",".",SUM($X320:AA320))</f>
        <v>.</v>
      </c>
      <c r="AR320" s="1044" t="str">
        <f>IF(AB320=".",".",SUM($X320:AB320))</f>
        <v>.</v>
      </c>
      <c r="AS320" s="1044" t="str">
        <f>IF(AC320=".",".",SUM($X320:AC320))</f>
        <v>.</v>
      </c>
      <c r="AT320" s="1045" t="str">
        <f>IF(AD320=".",".",SUM($X320:AD320))</f>
        <v>.</v>
      </c>
      <c r="AU320" s="3"/>
      <c r="AV320" s="1145" t="str">
        <f t="shared" si="190"/>
        <v>.</v>
      </c>
      <c r="AW320" s="1146" t="str">
        <f t="shared" si="184"/>
        <v>.</v>
      </c>
      <c r="AX320" s="1146" t="str">
        <f t="shared" si="185"/>
        <v>.</v>
      </c>
      <c r="AY320" s="1146" t="str">
        <f t="shared" si="186"/>
        <v>.</v>
      </c>
      <c r="AZ320" s="1146" t="str">
        <f t="shared" si="187"/>
        <v>.</v>
      </c>
      <c r="BA320" s="1146" t="str">
        <f t="shared" si="188"/>
        <v>.</v>
      </c>
      <c r="BB320" s="1147" t="str">
        <f t="shared" si="189"/>
        <v>.</v>
      </c>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row>
    <row r="321" spans="1:92" x14ac:dyDescent="0.2">
      <c r="A321" s="620"/>
      <c r="B321" s="1077" t="str">
        <f t="shared" si="195"/>
        <v>Special rate</v>
      </c>
      <c r="C321" s="1022" t="str">
        <f t="shared" si="195"/>
        <v/>
      </c>
      <c r="D321" s="1022" t="s">
        <v>687</v>
      </c>
      <c r="E321" s="1022"/>
      <c r="F321" s="1022"/>
      <c r="G321" s="1022"/>
      <c r="H321" s="1022"/>
      <c r="I321" s="1022"/>
      <c r="J321" s="1023" t="str">
        <f t="shared" ref="J321:J343" si="197">J197</f>
        <v>.</v>
      </c>
      <c r="K321" s="1012"/>
      <c r="L321" s="1024"/>
      <c r="M321" s="1024"/>
      <c r="N321" s="1024"/>
      <c r="O321" s="1024"/>
      <c r="P321" s="1024"/>
      <c r="Q321" s="1078"/>
      <c r="R321" s="76"/>
      <c r="S321" s="3"/>
      <c r="T321" s="1028">
        <f t="shared" si="196"/>
        <v>0</v>
      </c>
      <c r="U321" s="1029">
        <f t="shared" si="196"/>
        <v>0</v>
      </c>
      <c r="V321" s="1035"/>
      <c r="W321" s="3"/>
      <c r="X321" s="1043" t="str">
        <f t="shared" ref="X321:X342" si="198">IF(K321="",".",K321-J321)</f>
        <v>.</v>
      </c>
      <c r="Y321" s="1044" t="str">
        <f t="shared" ref="Y321:Y342" si="199">IF(L321="",".",L321-K321)</f>
        <v>.</v>
      </c>
      <c r="Z321" s="1044" t="str">
        <f t="shared" ref="Z321:Z342" si="200">IF(M321="",".",M321-L321)</f>
        <v>.</v>
      </c>
      <c r="AA321" s="1044" t="str">
        <f t="shared" ref="AA321:AA342" si="201">IF(N321="",".",N321-M321)</f>
        <v>.</v>
      </c>
      <c r="AB321" s="1044" t="str">
        <f t="shared" ref="AB321:AB342" si="202">IF(O321="",".",O321-N321)</f>
        <v>.</v>
      </c>
      <c r="AC321" s="1044" t="str">
        <f t="shared" ref="AC321:AC342" si="203">IF(P321="",".",P321-O321)</f>
        <v>.</v>
      </c>
      <c r="AD321" s="1045" t="str">
        <f t="shared" ref="AD321:AD342" si="204">IF(Q321="",".",Q321-P321)</f>
        <v>.</v>
      </c>
      <c r="AE321" s="3"/>
      <c r="AF321" s="1145" t="str">
        <f t="shared" si="191"/>
        <v>.</v>
      </c>
      <c r="AG321" s="1146" t="str">
        <f t="shared" si="178"/>
        <v>.</v>
      </c>
      <c r="AH321" s="1146" t="str">
        <f t="shared" si="179"/>
        <v>.</v>
      </c>
      <c r="AI321" s="1146" t="str">
        <f t="shared" si="180"/>
        <v>.</v>
      </c>
      <c r="AJ321" s="1146" t="str">
        <f t="shared" si="181"/>
        <v>.</v>
      </c>
      <c r="AK321" s="1146" t="str">
        <f t="shared" si="182"/>
        <v>.</v>
      </c>
      <c r="AL321" s="1147" t="str">
        <f t="shared" si="183"/>
        <v>.</v>
      </c>
      <c r="AM321" s="3"/>
      <c r="AN321" s="1043" t="str">
        <f>IF(X321=".",".",SUM($X321:X321))</f>
        <v>.</v>
      </c>
      <c r="AO321" s="1044" t="str">
        <f>IF(Y321=".",".",SUM($X321:Y321))</f>
        <v>.</v>
      </c>
      <c r="AP321" s="1044" t="str">
        <f>IF(Z321=".",".",SUM($X321:Z321))</f>
        <v>.</v>
      </c>
      <c r="AQ321" s="1044" t="str">
        <f>IF(AA321=".",".",SUM($X321:AA321))</f>
        <v>.</v>
      </c>
      <c r="AR321" s="1044" t="str">
        <f>IF(AB321=".",".",SUM($X321:AB321))</f>
        <v>.</v>
      </c>
      <c r="AS321" s="1044" t="str">
        <f>IF(AC321=".",".",SUM($X321:AC321))</f>
        <v>.</v>
      </c>
      <c r="AT321" s="1045" t="str">
        <f>IF(AD321=".",".",SUM($X321:AD321))</f>
        <v>.</v>
      </c>
      <c r="AU321" s="3"/>
      <c r="AV321" s="1145" t="str">
        <f t="shared" si="190"/>
        <v>.</v>
      </c>
      <c r="AW321" s="1146" t="str">
        <f t="shared" si="184"/>
        <v>.</v>
      </c>
      <c r="AX321" s="1146" t="str">
        <f t="shared" si="185"/>
        <v>.</v>
      </c>
      <c r="AY321" s="1146" t="str">
        <f t="shared" si="186"/>
        <v>.</v>
      </c>
      <c r="AZ321" s="1146" t="str">
        <f t="shared" si="187"/>
        <v>.</v>
      </c>
      <c r="BA321" s="1146" t="str">
        <f t="shared" si="188"/>
        <v>.</v>
      </c>
      <c r="BB321" s="1147" t="str">
        <f t="shared" si="189"/>
        <v>.</v>
      </c>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row>
    <row r="322" spans="1:92" s="6" customFormat="1" x14ac:dyDescent="0.2">
      <c r="A322" s="620"/>
      <c r="B322" s="964"/>
      <c r="C322" s="744" t="s">
        <v>698</v>
      </c>
      <c r="D322" s="744"/>
      <c r="E322" s="744"/>
      <c r="F322" s="744"/>
      <c r="G322" s="744"/>
      <c r="H322" s="744"/>
      <c r="I322" s="744"/>
      <c r="J322" s="1026" t="str">
        <f t="shared" si="197"/>
        <v>.</v>
      </c>
      <c r="K322" s="1027" t="str">
        <f t="shared" ref="K322:Q322" si="205">IF($U322=0,".",SUMPRODUCT(K302:K321,$U302:$U321)/$U322)</f>
        <v>.</v>
      </c>
      <c r="L322" s="1025" t="str">
        <f t="shared" si="205"/>
        <v>.</v>
      </c>
      <c r="M322" s="1025" t="str">
        <f t="shared" si="205"/>
        <v>.</v>
      </c>
      <c r="N322" s="1025" t="str">
        <f t="shared" si="205"/>
        <v>.</v>
      </c>
      <c r="O322" s="1025" t="str">
        <f t="shared" si="205"/>
        <v>.</v>
      </c>
      <c r="P322" s="1025" t="str">
        <f t="shared" si="205"/>
        <v>.</v>
      </c>
      <c r="Q322" s="1085" t="str">
        <f t="shared" si="205"/>
        <v>.</v>
      </c>
      <c r="R322" s="76"/>
      <c r="S322" s="2"/>
      <c r="T322" s="1032">
        <f t="shared" si="196"/>
        <v>0</v>
      </c>
      <c r="U322" s="1033">
        <f t="shared" si="196"/>
        <v>0</v>
      </c>
      <c r="V322" s="1036"/>
      <c r="W322" s="2"/>
      <c r="X322" s="1063" t="str">
        <f t="shared" ref="X322:AD322" si="206">IF(K322=".",".",K322-J322)</f>
        <v>.</v>
      </c>
      <c r="Y322" s="1064" t="str">
        <f t="shared" si="206"/>
        <v>.</v>
      </c>
      <c r="Z322" s="1064" t="str">
        <f t="shared" si="206"/>
        <v>.</v>
      </c>
      <c r="AA322" s="1064" t="str">
        <f t="shared" si="206"/>
        <v>.</v>
      </c>
      <c r="AB322" s="1064" t="str">
        <f t="shared" si="206"/>
        <v>.</v>
      </c>
      <c r="AC322" s="1064" t="str">
        <f t="shared" si="206"/>
        <v>.</v>
      </c>
      <c r="AD322" s="1065" t="str">
        <f t="shared" si="206"/>
        <v>.</v>
      </c>
      <c r="AE322" s="2"/>
      <c r="AF322" s="1148" t="str">
        <f t="shared" si="191"/>
        <v>.</v>
      </c>
      <c r="AG322" s="1149" t="str">
        <f t="shared" si="178"/>
        <v>.</v>
      </c>
      <c r="AH322" s="1149" t="str">
        <f t="shared" si="179"/>
        <v>.</v>
      </c>
      <c r="AI322" s="1149" t="str">
        <f t="shared" si="180"/>
        <v>.</v>
      </c>
      <c r="AJ322" s="1149" t="str">
        <f t="shared" si="181"/>
        <v>.</v>
      </c>
      <c r="AK322" s="1149" t="str">
        <f t="shared" si="182"/>
        <v>.</v>
      </c>
      <c r="AL322" s="1150" t="str">
        <f t="shared" si="183"/>
        <v>.</v>
      </c>
      <c r="AM322" s="2"/>
      <c r="AN322" s="1063" t="str">
        <f>IF(X322=".",".",SUM($X322:X322))</f>
        <v>.</v>
      </c>
      <c r="AO322" s="1064" t="str">
        <f>IF(Y322=".",".",SUM($X322:Y322))</f>
        <v>.</v>
      </c>
      <c r="AP322" s="1064" t="str">
        <f>IF(Z322=".",".",SUM($X322:Z322))</f>
        <v>.</v>
      </c>
      <c r="AQ322" s="1064" t="str">
        <f>IF(AA322=".",".",SUM($X322:AA322))</f>
        <v>.</v>
      </c>
      <c r="AR322" s="1064" t="str">
        <f>IF(AB322=".",".",SUM($X322:AB322))</f>
        <v>.</v>
      </c>
      <c r="AS322" s="1064" t="str">
        <f>IF(AC322=".",".",SUM($X322:AC322))</f>
        <v>.</v>
      </c>
      <c r="AT322" s="1065" t="str">
        <f>IF(AD322=".",".",SUM($X322:AD322))</f>
        <v>.</v>
      </c>
      <c r="AU322" s="3"/>
      <c r="AV322" s="1148" t="str">
        <f t="shared" si="190"/>
        <v>.</v>
      </c>
      <c r="AW322" s="1149" t="str">
        <f t="shared" si="184"/>
        <v>.</v>
      </c>
      <c r="AX322" s="1149" t="str">
        <f t="shared" si="185"/>
        <v>.</v>
      </c>
      <c r="AY322" s="1149" t="str">
        <f t="shared" si="186"/>
        <v>.</v>
      </c>
      <c r="AZ322" s="1149" t="str">
        <f t="shared" si="187"/>
        <v>.</v>
      </c>
      <c r="BA322" s="1149" t="str">
        <f t="shared" si="188"/>
        <v>.</v>
      </c>
      <c r="BB322" s="1150" t="str">
        <f t="shared" si="189"/>
        <v>.</v>
      </c>
      <c r="BC322" s="2"/>
      <c r="BD322" s="2"/>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row>
    <row r="323" spans="1:92" x14ac:dyDescent="0.2">
      <c r="A323" s="620"/>
      <c r="B323" s="1077" t="str">
        <f t="shared" ref="B323:C342" si="207">B199</f>
        <v>Mining</v>
      </c>
      <c r="C323" s="1022" t="str">
        <f t="shared" si="207"/>
        <v/>
      </c>
      <c r="D323" s="1022" t="s">
        <v>687</v>
      </c>
      <c r="E323" s="1022"/>
      <c r="F323" s="1022"/>
      <c r="G323" s="1022"/>
      <c r="H323" s="1022"/>
      <c r="I323" s="1022"/>
      <c r="J323" s="1023" t="str">
        <f t="shared" si="197"/>
        <v>.</v>
      </c>
      <c r="K323" s="1012"/>
      <c r="L323" s="1024"/>
      <c r="M323" s="1024"/>
      <c r="N323" s="1024"/>
      <c r="O323" s="1024"/>
      <c r="P323" s="1024"/>
      <c r="Q323" s="1078"/>
      <c r="R323" s="76"/>
      <c r="S323" s="3"/>
      <c r="T323" s="1028">
        <f t="shared" si="196"/>
        <v>0</v>
      </c>
      <c r="U323" s="1029">
        <f t="shared" si="196"/>
        <v>0</v>
      </c>
      <c r="V323" s="1035"/>
      <c r="W323" s="3"/>
      <c r="X323" s="1043" t="str">
        <f t="shared" si="198"/>
        <v>.</v>
      </c>
      <c r="Y323" s="1044" t="str">
        <f t="shared" si="199"/>
        <v>.</v>
      </c>
      <c r="Z323" s="1044" t="str">
        <f t="shared" si="200"/>
        <v>.</v>
      </c>
      <c r="AA323" s="1044" t="str">
        <f t="shared" si="201"/>
        <v>.</v>
      </c>
      <c r="AB323" s="1044" t="str">
        <f t="shared" si="202"/>
        <v>.</v>
      </c>
      <c r="AC323" s="1044" t="str">
        <f t="shared" si="203"/>
        <v>.</v>
      </c>
      <c r="AD323" s="1045" t="str">
        <f t="shared" si="204"/>
        <v>.</v>
      </c>
      <c r="AE323" s="3"/>
      <c r="AF323" s="1145" t="str">
        <f t="shared" si="191"/>
        <v>.</v>
      </c>
      <c r="AG323" s="1146" t="str">
        <f t="shared" si="178"/>
        <v>.</v>
      </c>
      <c r="AH323" s="1146" t="str">
        <f t="shared" si="179"/>
        <v>.</v>
      </c>
      <c r="AI323" s="1146" t="str">
        <f t="shared" si="180"/>
        <v>.</v>
      </c>
      <c r="AJ323" s="1146" t="str">
        <f t="shared" si="181"/>
        <v>.</v>
      </c>
      <c r="AK323" s="1146" t="str">
        <f t="shared" si="182"/>
        <v>.</v>
      </c>
      <c r="AL323" s="1147" t="str">
        <f t="shared" si="183"/>
        <v>.</v>
      </c>
      <c r="AM323" s="3"/>
      <c r="AN323" s="1043" t="str">
        <f>IF(X323=".",".",SUM($X323:X323))</f>
        <v>.</v>
      </c>
      <c r="AO323" s="1044" t="str">
        <f>IF(Y323=".",".",SUM($X323:Y323))</f>
        <v>.</v>
      </c>
      <c r="AP323" s="1044" t="str">
        <f>IF(Z323=".",".",SUM($X323:Z323))</f>
        <v>.</v>
      </c>
      <c r="AQ323" s="1044" t="str">
        <f>IF(AA323=".",".",SUM($X323:AA323))</f>
        <v>.</v>
      </c>
      <c r="AR323" s="1044" t="str">
        <f>IF(AB323=".",".",SUM($X323:AB323))</f>
        <v>.</v>
      </c>
      <c r="AS323" s="1044" t="str">
        <f>IF(AC323=".",".",SUM($X323:AC323))</f>
        <v>.</v>
      </c>
      <c r="AT323" s="1045" t="str">
        <f>IF(AD323=".",".",SUM($X323:AD323))</f>
        <v>.</v>
      </c>
      <c r="AU323" s="3"/>
      <c r="AV323" s="1145" t="str">
        <f t="shared" si="190"/>
        <v>.</v>
      </c>
      <c r="AW323" s="1146" t="str">
        <f t="shared" si="184"/>
        <v>.</v>
      </c>
      <c r="AX323" s="1146" t="str">
        <f t="shared" si="185"/>
        <v>.</v>
      </c>
      <c r="AY323" s="1146" t="str">
        <f t="shared" si="186"/>
        <v>.</v>
      </c>
      <c r="AZ323" s="1146" t="str">
        <f t="shared" si="187"/>
        <v>.</v>
      </c>
      <c r="BA323" s="1146" t="str">
        <f t="shared" si="188"/>
        <v>.</v>
      </c>
      <c r="BB323" s="1147" t="str">
        <f t="shared" si="189"/>
        <v>.</v>
      </c>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row>
    <row r="324" spans="1:92" x14ac:dyDescent="0.2">
      <c r="A324" s="620"/>
      <c r="B324" s="1077" t="str">
        <f t="shared" si="207"/>
        <v>Mining</v>
      </c>
      <c r="C324" s="1022" t="str">
        <f t="shared" si="207"/>
        <v/>
      </c>
      <c r="D324" s="1022" t="s">
        <v>687</v>
      </c>
      <c r="E324" s="1022"/>
      <c r="F324" s="1022"/>
      <c r="G324" s="1022"/>
      <c r="H324" s="1022"/>
      <c r="I324" s="1022"/>
      <c r="J324" s="1023" t="str">
        <f t="shared" si="197"/>
        <v>.</v>
      </c>
      <c r="K324" s="1012"/>
      <c r="L324" s="1024"/>
      <c r="M324" s="1024"/>
      <c r="N324" s="1024"/>
      <c r="O324" s="1024"/>
      <c r="P324" s="1024"/>
      <c r="Q324" s="1078"/>
      <c r="R324" s="76"/>
      <c r="S324" s="3"/>
      <c r="T324" s="1028">
        <f t="shared" ref="T324:U343" si="208">T200</f>
        <v>0</v>
      </c>
      <c r="U324" s="1029">
        <f t="shared" si="208"/>
        <v>0</v>
      </c>
      <c r="V324" s="1035"/>
      <c r="W324" s="3"/>
      <c r="X324" s="1043" t="str">
        <f t="shared" si="198"/>
        <v>.</v>
      </c>
      <c r="Y324" s="1044" t="str">
        <f t="shared" si="199"/>
        <v>.</v>
      </c>
      <c r="Z324" s="1044" t="str">
        <f t="shared" si="200"/>
        <v>.</v>
      </c>
      <c r="AA324" s="1044" t="str">
        <f t="shared" si="201"/>
        <v>.</v>
      </c>
      <c r="AB324" s="1044" t="str">
        <f t="shared" si="202"/>
        <v>.</v>
      </c>
      <c r="AC324" s="1044" t="str">
        <f t="shared" si="203"/>
        <v>.</v>
      </c>
      <c r="AD324" s="1045" t="str">
        <f t="shared" si="204"/>
        <v>.</v>
      </c>
      <c r="AE324" s="3"/>
      <c r="AF324" s="1145" t="str">
        <f t="shared" si="191"/>
        <v>.</v>
      </c>
      <c r="AG324" s="1146" t="str">
        <f t="shared" si="178"/>
        <v>.</v>
      </c>
      <c r="AH324" s="1146" t="str">
        <f t="shared" si="179"/>
        <v>.</v>
      </c>
      <c r="AI324" s="1146" t="str">
        <f t="shared" si="180"/>
        <v>.</v>
      </c>
      <c r="AJ324" s="1146" t="str">
        <f t="shared" si="181"/>
        <v>.</v>
      </c>
      <c r="AK324" s="1146" t="str">
        <f t="shared" si="182"/>
        <v>.</v>
      </c>
      <c r="AL324" s="1147" t="str">
        <f t="shared" si="183"/>
        <v>.</v>
      </c>
      <c r="AM324" s="3"/>
      <c r="AN324" s="1043" t="str">
        <f>IF(X324=".",".",SUM($X324:X324))</f>
        <v>.</v>
      </c>
      <c r="AO324" s="1044" t="str">
        <f>IF(Y324=".",".",SUM($X324:Y324))</f>
        <v>.</v>
      </c>
      <c r="AP324" s="1044" t="str">
        <f>IF(Z324=".",".",SUM($X324:Z324))</f>
        <v>.</v>
      </c>
      <c r="AQ324" s="1044" t="str">
        <f>IF(AA324=".",".",SUM($X324:AA324))</f>
        <v>.</v>
      </c>
      <c r="AR324" s="1044" t="str">
        <f>IF(AB324=".",".",SUM($X324:AB324))</f>
        <v>.</v>
      </c>
      <c r="AS324" s="1044" t="str">
        <f>IF(AC324=".",".",SUM($X324:AC324))</f>
        <v>.</v>
      </c>
      <c r="AT324" s="1045" t="str">
        <f>IF(AD324=".",".",SUM($X324:AD324))</f>
        <v>.</v>
      </c>
      <c r="AU324" s="3"/>
      <c r="AV324" s="1145" t="str">
        <f t="shared" si="190"/>
        <v>.</v>
      </c>
      <c r="AW324" s="1146" t="str">
        <f t="shared" si="184"/>
        <v>.</v>
      </c>
      <c r="AX324" s="1146" t="str">
        <f t="shared" si="185"/>
        <v>.</v>
      </c>
      <c r="AY324" s="1146" t="str">
        <f t="shared" si="186"/>
        <v>.</v>
      </c>
      <c r="AZ324" s="1146" t="str">
        <f t="shared" si="187"/>
        <v>.</v>
      </c>
      <c r="BA324" s="1146" t="str">
        <f t="shared" si="188"/>
        <v>.</v>
      </c>
      <c r="BB324" s="1147" t="str">
        <f t="shared" si="189"/>
        <v>.</v>
      </c>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row>
    <row r="325" spans="1:92" x14ac:dyDescent="0.2">
      <c r="A325" s="620"/>
      <c r="B325" s="1077" t="str">
        <f t="shared" si="207"/>
        <v>Mining</v>
      </c>
      <c r="C325" s="1022" t="str">
        <f t="shared" si="207"/>
        <v/>
      </c>
      <c r="D325" s="1022" t="s">
        <v>687</v>
      </c>
      <c r="E325" s="1022"/>
      <c r="F325" s="1022"/>
      <c r="G325" s="1022"/>
      <c r="H325" s="1022"/>
      <c r="I325" s="1022"/>
      <c r="J325" s="1023" t="str">
        <f t="shared" si="197"/>
        <v>.</v>
      </c>
      <c r="K325" s="1012"/>
      <c r="L325" s="1024"/>
      <c r="M325" s="1024"/>
      <c r="N325" s="1024"/>
      <c r="O325" s="1024"/>
      <c r="P325" s="1024"/>
      <c r="Q325" s="1078"/>
      <c r="R325" s="76"/>
      <c r="S325" s="3"/>
      <c r="T325" s="1028">
        <f t="shared" si="208"/>
        <v>0</v>
      </c>
      <c r="U325" s="1029">
        <f t="shared" si="208"/>
        <v>0</v>
      </c>
      <c r="V325" s="1035"/>
      <c r="W325" s="3"/>
      <c r="X325" s="1043" t="str">
        <f t="shared" si="198"/>
        <v>.</v>
      </c>
      <c r="Y325" s="1044" t="str">
        <f t="shared" si="199"/>
        <v>.</v>
      </c>
      <c r="Z325" s="1044" t="str">
        <f t="shared" si="200"/>
        <v>.</v>
      </c>
      <c r="AA325" s="1044" t="str">
        <f t="shared" si="201"/>
        <v>.</v>
      </c>
      <c r="AB325" s="1044" t="str">
        <f t="shared" si="202"/>
        <v>.</v>
      </c>
      <c r="AC325" s="1044" t="str">
        <f t="shared" si="203"/>
        <v>.</v>
      </c>
      <c r="AD325" s="1045" t="str">
        <f t="shared" si="204"/>
        <v>.</v>
      </c>
      <c r="AE325" s="3"/>
      <c r="AF325" s="1145" t="str">
        <f t="shared" si="191"/>
        <v>.</v>
      </c>
      <c r="AG325" s="1146" t="str">
        <f t="shared" si="178"/>
        <v>.</v>
      </c>
      <c r="AH325" s="1146" t="str">
        <f t="shared" si="179"/>
        <v>.</v>
      </c>
      <c r="AI325" s="1146" t="str">
        <f t="shared" si="180"/>
        <v>.</v>
      </c>
      <c r="AJ325" s="1146" t="str">
        <f t="shared" si="181"/>
        <v>.</v>
      </c>
      <c r="AK325" s="1146" t="str">
        <f t="shared" si="182"/>
        <v>.</v>
      </c>
      <c r="AL325" s="1147" t="str">
        <f t="shared" si="183"/>
        <v>.</v>
      </c>
      <c r="AM325" s="3"/>
      <c r="AN325" s="1043" t="str">
        <f>IF(X325=".",".",SUM($X325:X325))</f>
        <v>.</v>
      </c>
      <c r="AO325" s="1044" t="str">
        <f>IF(Y325=".",".",SUM($X325:Y325))</f>
        <v>.</v>
      </c>
      <c r="AP325" s="1044" t="str">
        <f>IF(Z325=".",".",SUM($X325:Z325))</f>
        <v>.</v>
      </c>
      <c r="AQ325" s="1044" t="str">
        <f>IF(AA325=".",".",SUM($X325:AA325))</f>
        <v>.</v>
      </c>
      <c r="AR325" s="1044" t="str">
        <f>IF(AB325=".",".",SUM($X325:AB325))</f>
        <v>.</v>
      </c>
      <c r="AS325" s="1044" t="str">
        <f>IF(AC325=".",".",SUM($X325:AC325))</f>
        <v>.</v>
      </c>
      <c r="AT325" s="1045" t="str">
        <f>IF(AD325=".",".",SUM($X325:AD325))</f>
        <v>.</v>
      </c>
      <c r="AU325" s="3"/>
      <c r="AV325" s="1145" t="str">
        <f t="shared" si="190"/>
        <v>.</v>
      </c>
      <c r="AW325" s="1146" t="str">
        <f t="shared" si="184"/>
        <v>.</v>
      </c>
      <c r="AX325" s="1146" t="str">
        <f t="shared" si="185"/>
        <v>.</v>
      </c>
      <c r="AY325" s="1146" t="str">
        <f t="shared" si="186"/>
        <v>.</v>
      </c>
      <c r="AZ325" s="1146" t="str">
        <f t="shared" si="187"/>
        <v>.</v>
      </c>
      <c r="BA325" s="1146" t="str">
        <f t="shared" si="188"/>
        <v>.</v>
      </c>
      <c r="BB325" s="1147" t="str">
        <f t="shared" si="189"/>
        <v>.</v>
      </c>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row>
    <row r="326" spans="1:92" x14ac:dyDescent="0.2">
      <c r="A326" s="620"/>
      <c r="B326" s="1077" t="str">
        <f t="shared" si="207"/>
        <v>Mining</v>
      </c>
      <c r="C326" s="1022" t="str">
        <f t="shared" si="207"/>
        <v/>
      </c>
      <c r="D326" s="1022" t="s">
        <v>687</v>
      </c>
      <c r="E326" s="1022"/>
      <c r="F326" s="1022"/>
      <c r="G326" s="1022"/>
      <c r="H326" s="1022"/>
      <c r="I326" s="1022"/>
      <c r="J326" s="1023" t="str">
        <f t="shared" si="197"/>
        <v>.</v>
      </c>
      <c r="K326" s="1012"/>
      <c r="L326" s="1024"/>
      <c r="M326" s="1024"/>
      <c r="N326" s="1024"/>
      <c r="O326" s="1024"/>
      <c r="P326" s="1024"/>
      <c r="Q326" s="1078"/>
      <c r="R326" s="76"/>
      <c r="S326" s="3"/>
      <c r="T326" s="1028">
        <f t="shared" si="208"/>
        <v>0</v>
      </c>
      <c r="U326" s="1029">
        <f t="shared" si="208"/>
        <v>0</v>
      </c>
      <c r="V326" s="1035"/>
      <c r="W326" s="3"/>
      <c r="X326" s="1043" t="str">
        <f t="shared" si="198"/>
        <v>.</v>
      </c>
      <c r="Y326" s="1044" t="str">
        <f t="shared" si="199"/>
        <v>.</v>
      </c>
      <c r="Z326" s="1044" t="str">
        <f t="shared" si="200"/>
        <v>.</v>
      </c>
      <c r="AA326" s="1044" t="str">
        <f t="shared" si="201"/>
        <v>.</v>
      </c>
      <c r="AB326" s="1044" t="str">
        <f t="shared" si="202"/>
        <v>.</v>
      </c>
      <c r="AC326" s="1044" t="str">
        <f t="shared" si="203"/>
        <v>.</v>
      </c>
      <c r="AD326" s="1045" t="str">
        <f t="shared" si="204"/>
        <v>.</v>
      </c>
      <c r="AE326" s="3"/>
      <c r="AF326" s="1145" t="str">
        <f t="shared" si="191"/>
        <v>.</v>
      </c>
      <c r="AG326" s="1146" t="str">
        <f t="shared" si="178"/>
        <v>.</v>
      </c>
      <c r="AH326" s="1146" t="str">
        <f t="shared" si="179"/>
        <v>.</v>
      </c>
      <c r="AI326" s="1146" t="str">
        <f t="shared" si="180"/>
        <v>.</v>
      </c>
      <c r="AJ326" s="1146" t="str">
        <f t="shared" si="181"/>
        <v>.</v>
      </c>
      <c r="AK326" s="1146" t="str">
        <f t="shared" si="182"/>
        <v>.</v>
      </c>
      <c r="AL326" s="1147" t="str">
        <f t="shared" si="183"/>
        <v>.</v>
      </c>
      <c r="AM326" s="3"/>
      <c r="AN326" s="1043" t="str">
        <f>IF(X326=".",".",SUM($X326:X326))</f>
        <v>.</v>
      </c>
      <c r="AO326" s="1044" t="str">
        <f>IF(Y326=".",".",SUM($X326:Y326))</f>
        <v>.</v>
      </c>
      <c r="AP326" s="1044" t="str">
        <f>IF(Z326=".",".",SUM($X326:Z326))</f>
        <v>.</v>
      </c>
      <c r="AQ326" s="1044" t="str">
        <f>IF(AA326=".",".",SUM($X326:AA326))</f>
        <v>.</v>
      </c>
      <c r="AR326" s="1044" t="str">
        <f>IF(AB326=".",".",SUM($X326:AB326))</f>
        <v>.</v>
      </c>
      <c r="AS326" s="1044" t="str">
        <f>IF(AC326=".",".",SUM($X326:AC326))</f>
        <v>.</v>
      </c>
      <c r="AT326" s="1045" t="str">
        <f>IF(AD326=".",".",SUM($X326:AD326))</f>
        <v>.</v>
      </c>
      <c r="AU326" s="3"/>
      <c r="AV326" s="1145" t="str">
        <f t="shared" si="190"/>
        <v>.</v>
      </c>
      <c r="AW326" s="1146" t="str">
        <f t="shared" si="184"/>
        <v>.</v>
      </c>
      <c r="AX326" s="1146" t="str">
        <f t="shared" si="185"/>
        <v>.</v>
      </c>
      <c r="AY326" s="1146" t="str">
        <f t="shared" si="186"/>
        <v>.</v>
      </c>
      <c r="AZ326" s="1146" t="str">
        <f t="shared" si="187"/>
        <v>.</v>
      </c>
      <c r="BA326" s="1146" t="str">
        <f t="shared" si="188"/>
        <v>.</v>
      </c>
      <c r="BB326" s="1147" t="str">
        <f t="shared" si="189"/>
        <v>.</v>
      </c>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row>
    <row r="327" spans="1:92" x14ac:dyDescent="0.2">
      <c r="A327" s="620"/>
      <c r="B327" s="1077" t="str">
        <f t="shared" si="207"/>
        <v>Mining</v>
      </c>
      <c r="C327" s="1022" t="str">
        <f t="shared" si="207"/>
        <v/>
      </c>
      <c r="D327" s="1022" t="s">
        <v>687</v>
      </c>
      <c r="E327" s="1022"/>
      <c r="F327" s="1022"/>
      <c r="G327" s="1022"/>
      <c r="H327" s="1022"/>
      <c r="I327" s="1022"/>
      <c r="J327" s="1023" t="str">
        <f t="shared" si="197"/>
        <v>.</v>
      </c>
      <c r="K327" s="1012"/>
      <c r="L327" s="1024"/>
      <c r="M327" s="1024"/>
      <c r="N327" s="1024"/>
      <c r="O327" s="1024"/>
      <c r="P327" s="1024"/>
      <c r="Q327" s="1078"/>
      <c r="R327" s="76"/>
      <c r="S327" s="3"/>
      <c r="T327" s="1028">
        <f t="shared" si="208"/>
        <v>0</v>
      </c>
      <c r="U327" s="1029">
        <f t="shared" si="208"/>
        <v>0</v>
      </c>
      <c r="V327" s="1035"/>
      <c r="W327" s="3"/>
      <c r="X327" s="1043" t="str">
        <f t="shared" si="198"/>
        <v>.</v>
      </c>
      <c r="Y327" s="1044" t="str">
        <f t="shared" si="199"/>
        <v>.</v>
      </c>
      <c r="Z327" s="1044" t="str">
        <f t="shared" si="200"/>
        <v>.</v>
      </c>
      <c r="AA327" s="1044" t="str">
        <f t="shared" si="201"/>
        <v>.</v>
      </c>
      <c r="AB327" s="1044" t="str">
        <f t="shared" si="202"/>
        <v>.</v>
      </c>
      <c r="AC327" s="1044" t="str">
        <f t="shared" si="203"/>
        <v>.</v>
      </c>
      <c r="AD327" s="1045" t="str">
        <f t="shared" si="204"/>
        <v>.</v>
      </c>
      <c r="AE327" s="3"/>
      <c r="AF327" s="1145" t="str">
        <f t="shared" si="191"/>
        <v>.</v>
      </c>
      <c r="AG327" s="1146" t="str">
        <f t="shared" si="178"/>
        <v>.</v>
      </c>
      <c r="AH327" s="1146" t="str">
        <f t="shared" si="179"/>
        <v>.</v>
      </c>
      <c r="AI327" s="1146" t="str">
        <f t="shared" si="180"/>
        <v>.</v>
      </c>
      <c r="AJ327" s="1146" t="str">
        <f t="shared" si="181"/>
        <v>.</v>
      </c>
      <c r="AK327" s="1146" t="str">
        <f t="shared" si="182"/>
        <v>.</v>
      </c>
      <c r="AL327" s="1147" t="str">
        <f t="shared" si="183"/>
        <v>.</v>
      </c>
      <c r="AM327" s="3"/>
      <c r="AN327" s="1043" t="str">
        <f>IF(X327=".",".",SUM($X327:X327))</f>
        <v>.</v>
      </c>
      <c r="AO327" s="1044" t="str">
        <f>IF(Y327=".",".",SUM($X327:Y327))</f>
        <v>.</v>
      </c>
      <c r="AP327" s="1044" t="str">
        <f>IF(Z327=".",".",SUM($X327:Z327))</f>
        <v>.</v>
      </c>
      <c r="AQ327" s="1044" t="str">
        <f>IF(AA327=".",".",SUM($X327:AA327))</f>
        <v>.</v>
      </c>
      <c r="AR327" s="1044" t="str">
        <f>IF(AB327=".",".",SUM($X327:AB327))</f>
        <v>.</v>
      </c>
      <c r="AS327" s="1044" t="str">
        <f>IF(AC327=".",".",SUM($X327:AC327))</f>
        <v>.</v>
      </c>
      <c r="AT327" s="1045" t="str">
        <f>IF(AD327=".",".",SUM($X327:AD327))</f>
        <v>.</v>
      </c>
      <c r="AU327" s="3"/>
      <c r="AV327" s="1145" t="str">
        <f t="shared" si="190"/>
        <v>.</v>
      </c>
      <c r="AW327" s="1146" t="str">
        <f t="shared" si="184"/>
        <v>.</v>
      </c>
      <c r="AX327" s="1146" t="str">
        <f t="shared" si="185"/>
        <v>.</v>
      </c>
      <c r="AY327" s="1146" t="str">
        <f t="shared" si="186"/>
        <v>.</v>
      </c>
      <c r="AZ327" s="1146" t="str">
        <f t="shared" si="187"/>
        <v>.</v>
      </c>
      <c r="BA327" s="1146" t="str">
        <f t="shared" si="188"/>
        <v>.</v>
      </c>
      <c r="BB327" s="1147" t="str">
        <f t="shared" si="189"/>
        <v>.</v>
      </c>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row>
    <row r="328" spans="1:92" x14ac:dyDescent="0.2">
      <c r="A328" s="620"/>
      <c r="B328" s="1077" t="str">
        <f t="shared" si="207"/>
        <v>Mining</v>
      </c>
      <c r="C328" s="1022" t="str">
        <f t="shared" si="207"/>
        <v/>
      </c>
      <c r="D328" s="1022" t="s">
        <v>687</v>
      </c>
      <c r="E328" s="1022"/>
      <c r="F328" s="1022"/>
      <c r="G328" s="1022"/>
      <c r="H328" s="1022"/>
      <c r="I328" s="1022"/>
      <c r="J328" s="1023" t="str">
        <f t="shared" si="197"/>
        <v>.</v>
      </c>
      <c r="K328" s="1012"/>
      <c r="L328" s="1024"/>
      <c r="M328" s="1024"/>
      <c r="N328" s="1024"/>
      <c r="O328" s="1024"/>
      <c r="P328" s="1024"/>
      <c r="Q328" s="1078"/>
      <c r="R328" s="76"/>
      <c r="S328" s="3"/>
      <c r="T328" s="1028">
        <f t="shared" si="208"/>
        <v>0</v>
      </c>
      <c r="U328" s="1029">
        <f t="shared" si="208"/>
        <v>0</v>
      </c>
      <c r="V328" s="1035"/>
      <c r="W328" s="3"/>
      <c r="X328" s="1043" t="str">
        <f t="shared" si="198"/>
        <v>.</v>
      </c>
      <c r="Y328" s="1044" t="str">
        <f t="shared" si="199"/>
        <v>.</v>
      </c>
      <c r="Z328" s="1044" t="str">
        <f t="shared" si="200"/>
        <v>.</v>
      </c>
      <c r="AA328" s="1044" t="str">
        <f t="shared" si="201"/>
        <v>.</v>
      </c>
      <c r="AB328" s="1044" t="str">
        <f t="shared" si="202"/>
        <v>.</v>
      </c>
      <c r="AC328" s="1044" t="str">
        <f t="shared" si="203"/>
        <v>.</v>
      </c>
      <c r="AD328" s="1045" t="str">
        <f t="shared" si="204"/>
        <v>.</v>
      </c>
      <c r="AE328" s="3"/>
      <c r="AF328" s="1145" t="str">
        <f t="shared" si="191"/>
        <v>.</v>
      </c>
      <c r="AG328" s="1146" t="str">
        <f t="shared" si="178"/>
        <v>.</v>
      </c>
      <c r="AH328" s="1146" t="str">
        <f t="shared" si="179"/>
        <v>.</v>
      </c>
      <c r="AI328" s="1146" t="str">
        <f t="shared" si="180"/>
        <v>.</v>
      </c>
      <c r="AJ328" s="1146" t="str">
        <f t="shared" si="181"/>
        <v>.</v>
      </c>
      <c r="AK328" s="1146" t="str">
        <f t="shared" si="182"/>
        <v>.</v>
      </c>
      <c r="AL328" s="1147" t="str">
        <f t="shared" si="183"/>
        <v>.</v>
      </c>
      <c r="AM328" s="3"/>
      <c r="AN328" s="1043" t="str">
        <f>IF(X328=".",".",SUM($X328:X328))</f>
        <v>.</v>
      </c>
      <c r="AO328" s="1044" t="str">
        <f>IF(Y328=".",".",SUM($X328:Y328))</f>
        <v>.</v>
      </c>
      <c r="AP328" s="1044" t="str">
        <f>IF(Z328=".",".",SUM($X328:Z328))</f>
        <v>.</v>
      </c>
      <c r="AQ328" s="1044" t="str">
        <f>IF(AA328=".",".",SUM($X328:AA328))</f>
        <v>.</v>
      </c>
      <c r="AR328" s="1044" t="str">
        <f>IF(AB328=".",".",SUM($X328:AB328))</f>
        <v>.</v>
      </c>
      <c r="AS328" s="1044" t="str">
        <f>IF(AC328=".",".",SUM($X328:AC328))</f>
        <v>.</v>
      </c>
      <c r="AT328" s="1045" t="str">
        <f>IF(AD328=".",".",SUM($X328:AD328))</f>
        <v>.</v>
      </c>
      <c r="AU328" s="3"/>
      <c r="AV328" s="1145" t="str">
        <f t="shared" si="190"/>
        <v>.</v>
      </c>
      <c r="AW328" s="1146" t="str">
        <f t="shared" si="184"/>
        <v>.</v>
      </c>
      <c r="AX328" s="1146" t="str">
        <f t="shared" si="185"/>
        <v>.</v>
      </c>
      <c r="AY328" s="1146" t="str">
        <f t="shared" si="186"/>
        <v>.</v>
      </c>
      <c r="AZ328" s="1146" t="str">
        <f t="shared" si="187"/>
        <v>.</v>
      </c>
      <c r="BA328" s="1146" t="str">
        <f t="shared" si="188"/>
        <v>.</v>
      </c>
      <c r="BB328" s="1147" t="str">
        <f t="shared" si="189"/>
        <v>.</v>
      </c>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row>
    <row r="329" spans="1:92" x14ac:dyDescent="0.2">
      <c r="A329" s="620"/>
      <c r="B329" s="1077" t="str">
        <f t="shared" si="207"/>
        <v>Mining</v>
      </c>
      <c r="C329" s="1022" t="str">
        <f t="shared" si="207"/>
        <v/>
      </c>
      <c r="D329" s="1022" t="s">
        <v>687</v>
      </c>
      <c r="E329" s="1022"/>
      <c r="F329" s="1022"/>
      <c r="G329" s="1022"/>
      <c r="H329" s="1022"/>
      <c r="I329" s="1022"/>
      <c r="J329" s="1023" t="str">
        <f t="shared" si="197"/>
        <v>.</v>
      </c>
      <c r="K329" s="1012"/>
      <c r="L329" s="1024"/>
      <c r="M329" s="1024"/>
      <c r="N329" s="1024"/>
      <c r="O329" s="1024"/>
      <c r="P329" s="1024"/>
      <c r="Q329" s="1078"/>
      <c r="R329" s="76"/>
      <c r="S329" s="3"/>
      <c r="T329" s="1028">
        <f t="shared" si="208"/>
        <v>0</v>
      </c>
      <c r="U329" s="1029">
        <f t="shared" si="208"/>
        <v>0</v>
      </c>
      <c r="V329" s="1035"/>
      <c r="W329" s="3"/>
      <c r="X329" s="1043" t="str">
        <f t="shared" si="198"/>
        <v>.</v>
      </c>
      <c r="Y329" s="1044" t="str">
        <f t="shared" si="199"/>
        <v>.</v>
      </c>
      <c r="Z329" s="1044" t="str">
        <f t="shared" si="200"/>
        <v>.</v>
      </c>
      <c r="AA329" s="1044" t="str">
        <f t="shared" si="201"/>
        <v>.</v>
      </c>
      <c r="AB329" s="1044" t="str">
        <f t="shared" si="202"/>
        <v>.</v>
      </c>
      <c r="AC329" s="1044" t="str">
        <f t="shared" si="203"/>
        <v>.</v>
      </c>
      <c r="AD329" s="1045" t="str">
        <f t="shared" si="204"/>
        <v>.</v>
      </c>
      <c r="AE329" s="3"/>
      <c r="AF329" s="1145" t="str">
        <f t="shared" si="191"/>
        <v>.</v>
      </c>
      <c r="AG329" s="1146" t="str">
        <f t="shared" si="178"/>
        <v>.</v>
      </c>
      <c r="AH329" s="1146" t="str">
        <f t="shared" si="179"/>
        <v>.</v>
      </c>
      <c r="AI329" s="1146" t="str">
        <f t="shared" si="180"/>
        <v>.</v>
      </c>
      <c r="AJ329" s="1146" t="str">
        <f t="shared" si="181"/>
        <v>.</v>
      </c>
      <c r="AK329" s="1146" t="str">
        <f t="shared" si="182"/>
        <v>.</v>
      </c>
      <c r="AL329" s="1147" t="str">
        <f t="shared" si="183"/>
        <v>.</v>
      </c>
      <c r="AM329" s="3"/>
      <c r="AN329" s="1043" t="str">
        <f>IF(X329=".",".",SUM($X329:X329))</f>
        <v>.</v>
      </c>
      <c r="AO329" s="1044" t="str">
        <f>IF(Y329=".",".",SUM($X329:Y329))</f>
        <v>.</v>
      </c>
      <c r="AP329" s="1044" t="str">
        <f>IF(Z329=".",".",SUM($X329:Z329))</f>
        <v>.</v>
      </c>
      <c r="AQ329" s="1044" t="str">
        <f>IF(AA329=".",".",SUM($X329:AA329))</f>
        <v>.</v>
      </c>
      <c r="AR329" s="1044" t="str">
        <f>IF(AB329=".",".",SUM($X329:AB329))</f>
        <v>.</v>
      </c>
      <c r="AS329" s="1044" t="str">
        <f>IF(AC329=".",".",SUM($X329:AC329))</f>
        <v>.</v>
      </c>
      <c r="AT329" s="1045" t="str">
        <f>IF(AD329=".",".",SUM($X329:AD329))</f>
        <v>.</v>
      </c>
      <c r="AU329" s="3"/>
      <c r="AV329" s="1145" t="str">
        <f t="shared" si="190"/>
        <v>.</v>
      </c>
      <c r="AW329" s="1146" t="str">
        <f t="shared" si="184"/>
        <v>.</v>
      </c>
      <c r="AX329" s="1146" t="str">
        <f t="shared" si="185"/>
        <v>.</v>
      </c>
      <c r="AY329" s="1146" t="str">
        <f t="shared" si="186"/>
        <v>.</v>
      </c>
      <c r="AZ329" s="1146" t="str">
        <f t="shared" si="187"/>
        <v>.</v>
      </c>
      <c r="BA329" s="1146" t="str">
        <f t="shared" si="188"/>
        <v>.</v>
      </c>
      <c r="BB329" s="1147" t="str">
        <f t="shared" si="189"/>
        <v>.</v>
      </c>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row>
    <row r="330" spans="1:92" x14ac:dyDescent="0.2">
      <c r="A330" s="620"/>
      <c r="B330" s="1077" t="str">
        <f t="shared" si="207"/>
        <v>Mining</v>
      </c>
      <c r="C330" s="1022" t="str">
        <f t="shared" si="207"/>
        <v/>
      </c>
      <c r="D330" s="1022" t="s">
        <v>687</v>
      </c>
      <c r="E330" s="1022"/>
      <c r="F330" s="1022"/>
      <c r="G330" s="1022"/>
      <c r="H330" s="1022"/>
      <c r="I330" s="1022"/>
      <c r="J330" s="1023" t="str">
        <f t="shared" si="197"/>
        <v>.</v>
      </c>
      <c r="K330" s="1012"/>
      <c r="L330" s="1024"/>
      <c r="M330" s="1024"/>
      <c r="N330" s="1024"/>
      <c r="O330" s="1024"/>
      <c r="P330" s="1024"/>
      <c r="Q330" s="1078"/>
      <c r="R330" s="76"/>
      <c r="S330" s="3"/>
      <c r="T330" s="1028">
        <f t="shared" si="208"/>
        <v>0</v>
      </c>
      <c r="U330" s="1029">
        <f t="shared" si="208"/>
        <v>0</v>
      </c>
      <c r="V330" s="1035"/>
      <c r="W330" s="3"/>
      <c r="X330" s="1043" t="str">
        <f t="shared" si="198"/>
        <v>.</v>
      </c>
      <c r="Y330" s="1044" t="str">
        <f t="shared" si="199"/>
        <v>.</v>
      </c>
      <c r="Z330" s="1044" t="str">
        <f t="shared" si="200"/>
        <v>.</v>
      </c>
      <c r="AA330" s="1044" t="str">
        <f t="shared" si="201"/>
        <v>.</v>
      </c>
      <c r="AB330" s="1044" t="str">
        <f t="shared" si="202"/>
        <v>.</v>
      </c>
      <c r="AC330" s="1044" t="str">
        <f t="shared" si="203"/>
        <v>.</v>
      </c>
      <c r="AD330" s="1045" t="str">
        <f t="shared" si="204"/>
        <v>.</v>
      </c>
      <c r="AE330" s="3"/>
      <c r="AF330" s="1145" t="str">
        <f t="shared" si="191"/>
        <v>.</v>
      </c>
      <c r="AG330" s="1146" t="str">
        <f t="shared" si="178"/>
        <v>.</v>
      </c>
      <c r="AH330" s="1146" t="str">
        <f t="shared" si="179"/>
        <v>.</v>
      </c>
      <c r="AI330" s="1146" t="str">
        <f t="shared" si="180"/>
        <v>.</v>
      </c>
      <c r="AJ330" s="1146" t="str">
        <f t="shared" si="181"/>
        <v>.</v>
      </c>
      <c r="AK330" s="1146" t="str">
        <f t="shared" si="182"/>
        <v>.</v>
      </c>
      <c r="AL330" s="1147" t="str">
        <f t="shared" si="183"/>
        <v>.</v>
      </c>
      <c r="AM330" s="3"/>
      <c r="AN330" s="1043" t="str">
        <f>IF(X330=".",".",SUM($X330:X330))</f>
        <v>.</v>
      </c>
      <c r="AO330" s="1044" t="str">
        <f>IF(Y330=".",".",SUM($X330:Y330))</f>
        <v>.</v>
      </c>
      <c r="AP330" s="1044" t="str">
        <f>IF(Z330=".",".",SUM($X330:Z330))</f>
        <v>.</v>
      </c>
      <c r="AQ330" s="1044" t="str">
        <f>IF(AA330=".",".",SUM($X330:AA330))</f>
        <v>.</v>
      </c>
      <c r="AR330" s="1044" t="str">
        <f>IF(AB330=".",".",SUM($X330:AB330))</f>
        <v>.</v>
      </c>
      <c r="AS330" s="1044" t="str">
        <f>IF(AC330=".",".",SUM($X330:AC330))</f>
        <v>.</v>
      </c>
      <c r="AT330" s="1045" t="str">
        <f>IF(AD330=".",".",SUM($X330:AD330))</f>
        <v>.</v>
      </c>
      <c r="AU330" s="3"/>
      <c r="AV330" s="1145" t="str">
        <f t="shared" si="190"/>
        <v>.</v>
      </c>
      <c r="AW330" s="1146" t="str">
        <f t="shared" si="184"/>
        <v>.</v>
      </c>
      <c r="AX330" s="1146" t="str">
        <f t="shared" si="185"/>
        <v>.</v>
      </c>
      <c r="AY330" s="1146" t="str">
        <f t="shared" si="186"/>
        <v>.</v>
      </c>
      <c r="AZ330" s="1146" t="str">
        <f t="shared" si="187"/>
        <v>.</v>
      </c>
      <c r="BA330" s="1146" t="str">
        <f t="shared" si="188"/>
        <v>.</v>
      </c>
      <c r="BB330" s="1147" t="str">
        <f t="shared" si="189"/>
        <v>.</v>
      </c>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row>
    <row r="331" spans="1:92" x14ac:dyDescent="0.2">
      <c r="A331" s="620"/>
      <c r="B331" s="1077" t="str">
        <f t="shared" si="207"/>
        <v>Mining</v>
      </c>
      <c r="C331" s="1022" t="str">
        <f t="shared" si="207"/>
        <v/>
      </c>
      <c r="D331" s="1022" t="s">
        <v>687</v>
      </c>
      <c r="E331" s="1022"/>
      <c r="F331" s="1022"/>
      <c r="G331" s="1022"/>
      <c r="H331" s="1022"/>
      <c r="I331" s="1022"/>
      <c r="J331" s="1023" t="str">
        <f t="shared" si="197"/>
        <v>.</v>
      </c>
      <c r="K331" s="1012"/>
      <c r="L331" s="1024"/>
      <c r="M331" s="1024"/>
      <c r="N331" s="1024"/>
      <c r="O331" s="1024"/>
      <c r="P331" s="1024"/>
      <c r="Q331" s="1078"/>
      <c r="R331" s="76"/>
      <c r="S331" s="3"/>
      <c r="T331" s="1028">
        <f t="shared" si="208"/>
        <v>0</v>
      </c>
      <c r="U331" s="1029">
        <f t="shared" si="208"/>
        <v>0</v>
      </c>
      <c r="V331" s="1035"/>
      <c r="W331" s="3"/>
      <c r="X331" s="1043" t="str">
        <f t="shared" si="198"/>
        <v>.</v>
      </c>
      <c r="Y331" s="1044" t="str">
        <f t="shared" si="199"/>
        <v>.</v>
      </c>
      <c r="Z331" s="1044" t="str">
        <f t="shared" si="200"/>
        <v>.</v>
      </c>
      <c r="AA331" s="1044" t="str">
        <f t="shared" si="201"/>
        <v>.</v>
      </c>
      <c r="AB331" s="1044" t="str">
        <f t="shared" si="202"/>
        <v>.</v>
      </c>
      <c r="AC331" s="1044" t="str">
        <f t="shared" si="203"/>
        <v>.</v>
      </c>
      <c r="AD331" s="1045" t="str">
        <f t="shared" si="204"/>
        <v>.</v>
      </c>
      <c r="AE331" s="3"/>
      <c r="AF331" s="1145" t="str">
        <f t="shared" si="191"/>
        <v>.</v>
      </c>
      <c r="AG331" s="1146" t="str">
        <f t="shared" si="178"/>
        <v>.</v>
      </c>
      <c r="AH331" s="1146" t="str">
        <f t="shared" si="179"/>
        <v>.</v>
      </c>
      <c r="AI331" s="1146" t="str">
        <f t="shared" si="180"/>
        <v>.</v>
      </c>
      <c r="AJ331" s="1146" t="str">
        <f t="shared" si="181"/>
        <v>.</v>
      </c>
      <c r="AK331" s="1146" t="str">
        <f t="shared" si="182"/>
        <v>.</v>
      </c>
      <c r="AL331" s="1147" t="str">
        <f t="shared" si="183"/>
        <v>.</v>
      </c>
      <c r="AM331" s="3"/>
      <c r="AN331" s="1043" t="str">
        <f>IF(X331=".",".",SUM($X331:X331))</f>
        <v>.</v>
      </c>
      <c r="AO331" s="1044" t="str">
        <f>IF(Y331=".",".",SUM($X331:Y331))</f>
        <v>.</v>
      </c>
      <c r="AP331" s="1044" t="str">
        <f>IF(Z331=".",".",SUM($X331:Z331))</f>
        <v>.</v>
      </c>
      <c r="AQ331" s="1044" t="str">
        <f>IF(AA331=".",".",SUM($X331:AA331))</f>
        <v>.</v>
      </c>
      <c r="AR331" s="1044" t="str">
        <f>IF(AB331=".",".",SUM($X331:AB331))</f>
        <v>.</v>
      </c>
      <c r="AS331" s="1044" t="str">
        <f>IF(AC331=".",".",SUM($X331:AC331))</f>
        <v>.</v>
      </c>
      <c r="AT331" s="1045" t="str">
        <f>IF(AD331=".",".",SUM($X331:AD331))</f>
        <v>.</v>
      </c>
      <c r="AU331" s="3"/>
      <c r="AV331" s="1145" t="str">
        <f t="shared" si="190"/>
        <v>.</v>
      </c>
      <c r="AW331" s="1146" t="str">
        <f t="shared" si="184"/>
        <v>.</v>
      </c>
      <c r="AX331" s="1146" t="str">
        <f t="shared" si="185"/>
        <v>.</v>
      </c>
      <c r="AY331" s="1146" t="str">
        <f t="shared" si="186"/>
        <v>.</v>
      </c>
      <c r="AZ331" s="1146" t="str">
        <f t="shared" si="187"/>
        <v>.</v>
      </c>
      <c r="BA331" s="1146" t="str">
        <f t="shared" si="188"/>
        <v>.</v>
      </c>
      <c r="BB331" s="1147" t="str">
        <f t="shared" si="189"/>
        <v>.</v>
      </c>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row>
    <row r="332" spans="1:92" x14ac:dyDescent="0.2">
      <c r="A332" s="620"/>
      <c r="B332" s="1077" t="str">
        <f t="shared" si="207"/>
        <v>Mining</v>
      </c>
      <c r="C332" s="1022" t="str">
        <f t="shared" si="207"/>
        <v/>
      </c>
      <c r="D332" s="1022" t="s">
        <v>687</v>
      </c>
      <c r="E332" s="1022"/>
      <c r="F332" s="1022"/>
      <c r="G332" s="1022"/>
      <c r="H332" s="1022"/>
      <c r="I332" s="1022"/>
      <c r="J332" s="1023" t="str">
        <f t="shared" si="197"/>
        <v>.</v>
      </c>
      <c r="K332" s="1012"/>
      <c r="L332" s="1024"/>
      <c r="M332" s="1024"/>
      <c r="N332" s="1024"/>
      <c r="O332" s="1024"/>
      <c r="P332" s="1024"/>
      <c r="Q332" s="1078"/>
      <c r="R332" s="76"/>
      <c r="S332" s="3"/>
      <c r="T332" s="1028">
        <f t="shared" si="208"/>
        <v>0</v>
      </c>
      <c r="U332" s="1029">
        <f t="shared" si="208"/>
        <v>0</v>
      </c>
      <c r="V332" s="1035"/>
      <c r="W332" s="3"/>
      <c r="X332" s="1043" t="str">
        <f t="shared" si="198"/>
        <v>.</v>
      </c>
      <c r="Y332" s="1044" t="str">
        <f t="shared" si="199"/>
        <v>.</v>
      </c>
      <c r="Z332" s="1044" t="str">
        <f t="shared" si="200"/>
        <v>.</v>
      </c>
      <c r="AA332" s="1044" t="str">
        <f t="shared" si="201"/>
        <v>.</v>
      </c>
      <c r="AB332" s="1044" t="str">
        <f t="shared" si="202"/>
        <v>.</v>
      </c>
      <c r="AC332" s="1044" t="str">
        <f t="shared" si="203"/>
        <v>.</v>
      </c>
      <c r="AD332" s="1045" t="str">
        <f t="shared" si="204"/>
        <v>.</v>
      </c>
      <c r="AE332" s="3"/>
      <c r="AF332" s="1145" t="str">
        <f t="shared" si="191"/>
        <v>.</v>
      </c>
      <c r="AG332" s="1146" t="str">
        <f t="shared" si="178"/>
        <v>.</v>
      </c>
      <c r="AH332" s="1146" t="str">
        <f t="shared" si="179"/>
        <v>.</v>
      </c>
      <c r="AI332" s="1146" t="str">
        <f t="shared" si="180"/>
        <v>.</v>
      </c>
      <c r="AJ332" s="1146" t="str">
        <f t="shared" si="181"/>
        <v>.</v>
      </c>
      <c r="AK332" s="1146" t="str">
        <f t="shared" si="182"/>
        <v>.</v>
      </c>
      <c r="AL332" s="1147" t="str">
        <f t="shared" si="183"/>
        <v>.</v>
      </c>
      <c r="AM332" s="3"/>
      <c r="AN332" s="1043" t="str">
        <f>IF(X332=".",".",SUM($X332:X332))</f>
        <v>.</v>
      </c>
      <c r="AO332" s="1044" t="str">
        <f>IF(Y332=".",".",SUM($X332:Y332))</f>
        <v>.</v>
      </c>
      <c r="AP332" s="1044" t="str">
        <f>IF(Z332=".",".",SUM($X332:Z332))</f>
        <v>.</v>
      </c>
      <c r="AQ332" s="1044" t="str">
        <f>IF(AA332=".",".",SUM($X332:AA332))</f>
        <v>.</v>
      </c>
      <c r="AR332" s="1044" t="str">
        <f>IF(AB332=".",".",SUM($X332:AB332))</f>
        <v>.</v>
      </c>
      <c r="AS332" s="1044" t="str">
        <f>IF(AC332=".",".",SUM($X332:AC332))</f>
        <v>.</v>
      </c>
      <c r="AT332" s="1045" t="str">
        <f>IF(AD332=".",".",SUM($X332:AD332))</f>
        <v>.</v>
      </c>
      <c r="AU332" s="3"/>
      <c r="AV332" s="1145" t="str">
        <f t="shared" si="190"/>
        <v>.</v>
      </c>
      <c r="AW332" s="1146" t="str">
        <f t="shared" si="184"/>
        <v>.</v>
      </c>
      <c r="AX332" s="1146" t="str">
        <f t="shared" si="185"/>
        <v>.</v>
      </c>
      <c r="AY332" s="1146" t="str">
        <f t="shared" si="186"/>
        <v>.</v>
      </c>
      <c r="AZ332" s="1146" t="str">
        <f t="shared" si="187"/>
        <v>.</v>
      </c>
      <c r="BA332" s="1146" t="str">
        <f t="shared" si="188"/>
        <v>.</v>
      </c>
      <c r="BB332" s="1147" t="str">
        <f t="shared" si="189"/>
        <v>.</v>
      </c>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row>
    <row r="333" spans="1:92" x14ac:dyDescent="0.2">
      <c r="A333" s="620"/>
      <c r="B333" s="1077" t="str">
        <f t="shared" si="207"/>
        <v>Special rate</v>
      </c>
      <c r="C333" s="1022" t="str">
        <f t="shared" si="207"/>
        <v/>
      </c>
      <c r="D333" s="1022" t="s">
        <v>687</v>
      </c>
      <c r="E333" s="1022"/>
      <c r="F333" s="1022"/>
      <c r="G333" s="1022"/>
      <c r="H333" s="1022"/>
      <c r="I333" s="1022"/>
      <c r="J333" s="1023" t="str">
        <f t="shared" si="197"/>
        <v>.</v>
      </c>
      <c r="K333" s="1012"/>
      <c r="L333" s="1024"/>
      <c r="M333" s="1024"/>
      <c r="N333" s="1024"/>
      <c r="O333" s="1024"/>
      <c r="P333" s="1024"/>
      <c r="Q333" s="1078"/>
      <c r="R333" s="76"/>
      <c r="S333" s="3"/>
      <c r="T333" s="1028">
        <f t="shared" si="208"/>
        <v>0</v>
      </c>
      <c r="U333" s="1029">
        <f t="shared" si="208"/>
        <v>0</v>
      </c>
      <c r="V333" s="1035"/>
      <c r="W333" s="3"/>
      <c r="X333" s="1043" t="str">
        <f t="shared" si="198"/>
        <v>.</v>
      </c>
      <c r="Y333" s="1044" t="str">
        <f t="shared" si="199"/>
        <v>.</v>
      </c>
      <c r="Z333" s="1044" t="str">
        <f t="shared" si="200"/>
        <v>.</v>
      </c>
      <c r="AA333" s="1044" t="str">
        <f t="shared" si="201"/>
        <v>.</v>
      </c>
      <c r="AB333" s="1044" t="str">
        <f t="shared" si="202"/>
        <v>.</v>
      </c>
      <c r="AC333" s="1044" t="str">
        <f t="shared" si="203"/>
        <v>.</v>
      </c>
      <c r="AD333" s="1045" t="str">
        <f t="shared" si="204"/>
        <v>.</v>
      </c>
      <c r="AE333" s="3"/>
      <c r="AF333" s="1145" t="str">
        <f t="shared" si="191"/>
        <v>.</v>
      </c>
      <c r="AG333" s="1146" t="str">
        <f t="shared" si="178"/>
        <v>.</v>
      </c>
      <c r="AH333" s="1146" t="str">
        <f t="shared" si="179"/>
        <v>.</v>
      </c>
      <c r="AI333" s="1146" t="str">
        <f t="shared" si="180"/>
        <v>.</v>
      </c>
      <c r="AJ333" s="1146" t="str">
        <f t="shared" si="181"/>
        <v>.</v>
      </c>
      <c r="AK333" s="1146" t="str">
        <f t="shared" si="182"/>
        <v>.</v>
      </c>
      <c r="AL333" s="1147" t="str">
        <f t="shared" si="183"/>
        <v>.</v>
      </c>
      <c r="AM333" s="3"/>
      <c r="AN333" s="1043" t="str">
        <f>IF(X333=".",".",SUM($X333:X333))</f>
        <v>.</v>
      </c>
      <c r="AO333" s="1044" t="str">
        <f>IF(Y333=".",".",SUM($X333:Y333))</f>
        <v>.</v>
      </c>
      <c r="AP333" s="1044" t="str">
        <f>IF(Z333=".",".",SUM($X333:Z333))</f>
        <v>.</v>
      </c>
      <c r="AQ333" s="1044" t="str">
        <f>IF(AA333=".",".",SUM($X333:AA333))</f>
        <v>.</v>
      </c>
      <c r="AR333" s="1044" t="str">
        <f>IF(AB333=".",".",SUM($X333:AB333))</f>
        <v>.</v>
      </c>
      <c r="AS333" s="1044" t="str">
        <f>IF(AC333=".",".",SUM($X333:AC333))</f>
        <v>.</v>
      </c>
      <c r="AT333" s="1045" t="str">
        <f>IF(AD333=".",".",SUM($X333:AD333))</f>
        <v>.</v>
      </c>
      <c r="AU333" s="3"/>
      <c r="AV333" s="1145" t="str">
        <f t="shared" si="190"/>
        <v>.</v>
      </c>
      <c r="AW333" s="1146" t="str">
        <f t="shared" si="184"/>
        <v>.</v>
      </c>
      <c r="AX333" s="1146" t="str">
        <f t="shared" si="185"/>
        <v>.</v>
      </c>
      <c r="AY333" s="1146" t="str">
        <f t="shared" si="186"/>
        <v>.</v>
      </c>
      <c r="AZ333" s="1146" t="str">
        <f t="shared" si="187"/>
        <v>.</v>
      </c>
      <c r="BA333" s="1146" t="str">
        <f t="shared" si="188"/>
        <v>.</v>
      </c>
      <c r="BB333" s="1147" t="str">
        <f t="shared" si="189"/>
        <v>.</v>
      </c>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row>
    <row r="334" spans="1:92" x14ac:dyDescent="0.2">
      <c r="A334" s="620"/>
      <c r="B334" s="1077" t="str">
        <f t="shared" si="207"/>
        <v>Special rate</v>
      </c>
      <c r="C334" s="1022" t="str">
        <f t="shared" si="207"/>
        <v/>
      </c>
      <c r="D334" s="1022" t="s">
        <v>687</v>
      </c>
      <c r="E334" s="1022"/>
      <c r="F334" s="1022"/>
      <c r="G334" s="1022"/>
      <c r="H334" s="1022"/>
      <c r="I334" s="1022"/>
      <c r="J334" s="1023" t="str">
        <f t="shared" si="197"/>
        <v>.</v>
      </c>
      <c r="K334" s="1012"/>
      <c r="L334" s="1024"/>
      <c r="M334" s="1024"/>
      <c r="N334" s="1024"/>
      <c r="O334" s="1024"/>
      <c r="P334" s="1024"/>
      <c r="Q334" s="1078"/>
      <c r="R334" s="76"/>
      <c r="S334" s="3"/>
      <c r="T334" s="1028">
        <f t="shared" si="208"/>
        <v>0</v>
      </c>
      <c r="U334" s="1029">
        <f t="shared" si="208"/>
        <v>0</v>
      </c>
      <c r="V334" s="1035"/>
      <c r="W334" s="3"/>
      <c r="X334" s="1043" t="str">
        <f t="shared" si="198"/>
        <v>.</v>
      </c>
      <c r="Y334" s="1044" t="str">
        <f t="shared" si="199"/>
        <v>.</v>
      </c>
      <c r="Z334" s="1044" t="str">
        <f t="shared" si="200"/>
        <v>.</v>
      </c>
      <c r="AA334" s="1044" t="str">
        <f t="shared" si="201"/>
        <v>.</v>
      </c>
      <c r="AB334" s="1044" t="str">
        <f t="shared" si="202"/>
        <v>.</v>
      </c>
      <c r="AC334" s="1044" t="str">
        <f t="shared" si="203"/>
        <v>.</v>
      </c>
      <c r="AD334" s="1045" t="str">
        <f t="shared" si="204"/>
        <v>.</v>
      </c>
      <c r="AE334" s="3"/>
      <c r="AF334" s="1145" t="str">
        <f t="shared" si="191"/>
        <v>.</v>
      </c>
      <c r="AG334" s="1146" t="str">
        <f t="shared" si="178"/>
        <v>.</v>
      </c>
      <c r="AH334" s="1146" t="str">
        <f t="shared" si="179"/>
        <v>.</v>
      </c>
      <c r="AI334" s="1146" t="str">
        <f t="shared" si="180"/>
        <v>.</v>
      </c>
      <c r="AJ334" s="1146" t="str">
        <f t="shared" si="181"/>
        <v>.</v>
      </c>
      <c r="AK334" s="1146" t="str">
        <f t="shared" si="182"/>
        <v>.</v>
      </c>
      <c r="AL334" s="1147" t="str">
        <f t="shared" si="183"/>
        <v>.</v>
      </c>
      <c r="AM334" s="3"/>
      <c r="AN334" s="1043" t="str">
        <f>IF(X334=".",".",SUM($X334:X334))</f>
        <v>.</v>
      </c>
      <c r="AO334" s="1044" t="str">
        <f>IF(Y334=".",".",SUM($X334:Y334))</f>
        <v>.</v>
      </c>
      <c r="AP334" s="1044" t="str">
        <f>IF(Z334=".",".",SUM($X334:Z334))</f>
        <v>.</v>
      </c>
      <c r="AQ334" s="1044" t="str">
        <f>IF(AA334=".",".",SUM($X334:AA334))</f>
        <v>.</v>
      </c>
      <c r="AR334" s="1044" t="str">
        <f>IF(AB334=".",".",SUM($X334:AB334))</f>
        <v>.</v>
      </c>
      <c r="AS334" s="1044" t="str">
        <f>IF(AC334=".",".",SUM($X334:AC334))</f>
        <v>.</v>
      </c>
      <c r="AT334" s="1045" t="str">
        <f>IF(AD334=".",".",SUM($X334:AD334))</f>
        <v>.</v>
      </c>
      <c r="AU334" s="3"/>
      <c r="AV334" s="1145" t="str">
        <f t="shared" si="190"/>
        <v>.</v>
      </c>
      <c r="AW334" s="1146" t="str">
        <f t="shared" si="184"/>
        <v>.</v>
      </c>
      <c r="AX334" s="1146" t="str">
        <f t="shared" si="185"/>
        <v>.</v>
      </c>
      <c r="AY334" s="1146" t="str">
        <f t="shared" si="186"/>
        <v>.</v>
      </c>
      <c r="AZ334" s="1146" t="str">
        <f t="shared" si="187"/>
        <v>.</v>
      </c>
      <c r="BA334" s="1146" t="str">
        <f t="shared" si="188"/>
        <v>.</v>
      </c>
      <c r="BB334" s="1147" t="str">
        <f t="shared" si="189"/>
        <v>.</v>
      </c>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row>
    <row r="335" spans="1:92" x14ac:dyDescent="0.2">
      <c r="A335" s="620"/>
      <c r="B335" s="1077" t="str">
        <f t="shared" si="207"/>
        <v>Special rate</v>
      </c>
      <c r="C335" s="1022" t="str">
        <f t="shared" si="207"/>
        <v/>
      </c>
      <c r="D335" s="1022" t="s">
        <v>687</v>
      </c>
      <c r="E335" s="1022"/>
      <c r="F335" s="1022"/>
      <c r="G335" s="1022"/>
      <c r="H335" s="1022"/>
      <c r="I335" s="1022"/>
      <c r="J335" s="1023" t="str">
        <f t="shared" si="197"/>
        <v>.</v>
      </c>
      <c r="K335" s="1012"/>
      <c r="L335" s="1024"/>
      <c r="M335" s="1024"/>
      <c r="N335" s="1024"/>
      <c r="O335" s="1024"/>
      <c r="P335" s="1024"/>
      <c r="Q335" s="1078"/>
      <c r="R335" s="76"/>
      <c r="S335" s="3"/>
      <c r="T335" s="1028">
        <f t="shared" si="208"/>
        <v>0</v>
      </c>
      <c r="U335" s="1029">
        <f t="shared" si="208"/>
        <v>0</v>
      </c>
      <c r="V335" s="1035"/>
      <c r="W335" s="3"/>
      <c r="X335" s="1043" t="str">
        <f t="shared" si="198"/>
        <v>.</v>
      </c>
      <c r="Y335" s="1044" t="str">
        <f t="shared" si="199"/>
        <v>.</v>
      </c>
      <c r="Z335" s="1044" t="str">
        <f t="shared" si="200"/>
        <v>.</v>
      </c>
      <c r="AA335" s="1044" t="str">
        <f t="shared" si="201"/>
        <v>.</v>
      </c>
      <c r="AB335" s="1044" t="str">
        <f t="shared" si="202"/>
        <v>.</v>
      </c>
      <c r="AC335" s="1044" t="str">
        <f t="shared" si="203"/>
        <v>.</v>
      </c>
      <c r="AD335" s="1045" t="str">
        <f t="shared" si="204"/>
        <v>.</v>
      </c>
      <c r="AE335" s="3"/>
      <c r="AF335" s="1145" t="str">
        <f t="shared" si="191"/>
        <v>.</v>
      </c>
      <c r="AG335" s="1146" t="str">
        <f t="shared" si="178"/>
        <v>.</v>
      </c>
      <c r="AH335" s="1146" t="str">
        <f t="shared" si="179"/>
        <v>.</v>
      </c>
      <c r="AI335" s="1146" t="str">
        <f t="shared" si="180"/>
        <v>.</v>
      </c>
      <c r="AJ335" s="1146" t="str">
        <f t="shared" si="181"/>
        <v>.</v>
      </c>
      <c r="AK335" s="1146" t="str">
        <f t="shared" si="182"/>
        <v>.</v>
      </c>
      <c r="AL335" s="1147" t="str">
        <f t="shared" si="183"/>
        <v>.</v>
      </c>
      <c r="AM335" s="3"/>
      <c r="AN335" s="1043" t="str">
        <f>IF(X335=".",".",SUM($X335:X335))</f>
        <v>.</v>
      </c>
      <c r="AO335" s="1044" t="str">
        <f>IF(Y335=".",".",SUM($X335:Y335))</f>
        <v>.</v>
      </c>
      <c r="AP335" s="1044" t="str">
        <f>IF(Z335=".",".",SUM($X335:Z335))</f>
        <v>.</v>
      </c>
      <c r="AQ335" s="1044" t="str">
        <f>IF(AA335=".",".",SUM($X335:AA335))</f>
        <v>.</v>
      </c>
      <c r="AR335" s="1044" t="str">
        <f>IF(AB335=".",".",SUM($X335:AB335))</f>
        <v>.</v>
      </c>
      <c r="AS335" s="1044" t="str">
        <f>IF(AC335=".",".",SUM($X335:AC335))</f>
        <v>.</v>
      </c>
      <c r="AT335" s="1045" t="str">
        <f>IF(AD335=".",".",SUM($X335:AD335))</f>
        <v>.</v>
      </c>
      <c r="AU335" s="3"/>
      <c r="AV335" s="1145" t="str">
        <f t="shared" si="190"/>
        <v>.</v>
      </c>
      <c r="AW335" s="1146" t="str">
        <f t="shared" si="184"/>
        <v>.</v>
      </c>
      <c r="AX335" s="1146" t="str">
        <f t="shared" si="185"/>
        <v>.</v>
      </c>
      <c r="AY335" s="1146" t="str">
        <f t="shared" si="186"/>
        <v>.</v>
      </c>
      <c r="AZ335" s="1146" t="str">
        <f t="shared" si="187"/>
        <v>.</v>
      </c>
      <c r="BA335" s="1146" t="str">
        <f t="shared" si="188"/>
        <v>.</v>
      </c>
      <c r="BB335" s="1147" t="str">
        <f t="shared" si="189"/>
        <v>.</v>
      </c>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row>
    <row r="336" spans="1:92" x14ac:dyDescent="0.2">
      <c r="A336" s="620"/>
      <c r="B336" s="1077" t="str">
        <f t="shared" si="207"/>
        <v>Special rate</v>
      </c>
      <c r="C336" s="1022" t="str">
        <f t="shared" si="207"/>
        <v/>
      </c>
      <c r="D336" s="1022" t="s">
        <v>687</v>
      </c>
      <c r="E336" s="1022"/>
      <c r="F336" s="1022"/>
      <c r="G336" s="1022"/>
      <c r="H336" s="1022"/>
      <c r="I336" s="1022"/>
      <c r="J336" s="1023" t="str">
        <f t="shared" si="197"/>
        <v>.</v>
      </c>
      <c r="K336" s="1012"/>
      <c r="L336" s="1024"/>
      <c r="M336" s="1024"/>
      <c r="N336" s="1024"/>
      <c r="O336" s="1024"/>
      <c r="P336" s="1024"/>
      <c r="Q336" s="1078"/>
      <c r="R336" s="76"/>
      <c r="S336" s="3"/>
      <c r="T336" s="1028">
        <f t="shared" si="208"/>
        <v>0</v>
      </c>
      <c r="U336" s="1029">
        <f t="shared" si="208"/>
        <v>0</v>
      </c>
      <c r="V336" s="1035"/>
      <c r="W336" s="3"/>
      <c r="X336" s="1043" t="str">
        <f t="shared" si="198"/>
        <v>.</v>
      </c>
      <c r="Y336" s="1044" t="str">
        <f t="shared" si="199"/>
        <v>.</v>
      </c>
      <c r="Z336" s="1044" t="str">
        <f t="shared" si="200"/>
        <v>.</v>
      </c>
      <c r="AA336" s="1044" t="str">
        <f t="shared" si="201"/>
        <v>.</v>
      </c>
      <c r="AB336" s="1044" t="str">
        <f t="shared" si="202"/>
        <v>.</v>
      </c>
      <c r="AC336" s="1044" t="str">
        <f t="shared" si="203"/>
        <v>.</v>
      </c>
      <c r="AD336" s="1045" t="str">
        <f t="shared" si="204"/>
        <v>.</v>
      </c>
      <c r="AE336" s="3"/>
      <c r="AF336" s="1145" t="str">
        <f t="shared" si="191"/>
        <v>.</v>
      </c>
      <c r="AG336" s="1146" t="str">
        <f t="shared" si="178"/>
        <v>.</v>
      </c>
      <c r="AH336" s="1146" t="str">
        <f t="shared" si="179"/>
        <v>.</v>
      </c>
      <c r="AI336" s="1146" t="str">
        <f t="shared" si="180"/>
        <v>.</v>
      </c>
      <c r="AJ336" s="1146" t="str">
        <f t="shared" si="181"/>
        <v>.</v>
      </c>
      <c r="AK336" s="1146" t="str">
        <f t="shared" si="182"/>
        <v>.</v>
      </c>
      <c r="AL336" s="1147" t="str">
        <f t="shared" si="183"/>
        <v>.</v>
      </c>
      <c r="AM336" s="3"/>
      <c r="AN336" s="1043" t="str">
        <f>IF(X336=".",".",SUM($X336:X336))</f>
        <v>.</v>
      </c>
      <c r="AO336" s="1044" t="str">
        <f>IF(Y336=".",".",SUM($X336:Y336))</f>
        <v>.</v>
      </c>
      <c r="AP336" s="1044" t="str">
        <f>IF(Z336=".",".",SUM($X336:Z336))</f>
        <v>.</v>
      </c>
      <c r="AQ336" s="1044" t="str">
        <f>IF(AA336=".",".",SUM($X336:AA336))</f>
        <v>.</v>
      </c>
      <c r="AR336" s="1044" t="str">
        <f>IF(AB336=".",".",SUM($X336:AB336))</f>
        <v>.</v>
      </c>
      <c r="AS336" s="1044" t="str">
        <f>IF(AC336=".",".",SUM($X336:AC336))</f>
        <v>.</v>
      </c>
      <c r="AT336" s="1045" t="str">
        <f>IF(AD336=".",".",SUM($X336:AD336))</f>
        <v>.</v>
      </c>
      <c r="AU336" s="3"/>
      <c r="AV336" s="1145" t="str">
        <f t="shared" si="190"/>
        <v>.</v>
      </c>
      <c r="AW336" s="1146" t="str">
        <f t="shared" si="184"/>
        <v>.</v>
      </c>
      <c r="AX336" s="1146" t="str">
        <f t="shared" si="185"/>
        <v>.</v>
      </c>
      <c r="AY336" s="1146" t="str">
        <f t="shared" si="186"/>
        <v>.</v>
      </c>
      <c r="AZ336" s="1146" t="str">
        <f t="shared" si="187"/>
        <v>.</v>
      </c>
      <c r="BA336" s="1146" t="str">
        <f t="shared" si="188"/>
        <v>.</v>
      </c>
      <c r="BB336" s="1147" t="str">
        <f t="shared" si="189"/>
        <v>.</v>
      </c>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row>
    <row r="337" spans="1:97" x14ac:dyDescent="0.2">
      <c r="A337" s="620"/>
      <c r="B337" s="1077" t="str">
        <f t="shared" si="207"/>
        <v>Special rate</v>
      </c>
      <c r="C337" s="1022" t="str">
        <f t="shared" si="207"/>
        <v/>
      </c>
      <c r="D337" s="1022" t="s">
        <v>687</v>
      </c>
      <c r="E337" s="1022"/>
      <c r="F337" s="1022"/>
      <c r="G337" s="1022"/>
      <c r="H337" s="1022"/>
      <c r="I337" s="1022"/>
      <c r="J337" s="1023" t="str">
        <f t="shared" si="197"/>
        <v>.</v>
      </c>
      <c r="K337" s="1012"/>
      <c r="L337" s="1024"/>
      <c r="M337" s="1024"/>
      <c r="N337" s="1024"/>
      <c r="O337" s="1024"/>
      <c r="P337" s="1024"/>
      <c r="Q337" s="1078"/>
      <c r="R337" s="76"/>
      <c r="S337" s="3"/>
      <c r="T337" s="1028">
        <f t="shared" si="208"/>
        <v>0</v>
      </c>
      <c r="U337" s="1029">
        <f t="shared" si="208"/>
        <v>0</v>
      </c>
      <c r="V337" s="1035"/>
      <c r="W337" s="3"/>
      <c r="X337" s="1043" t="str">
        <f t="shared" si="198"/>
        <v>.</v>
      </c>
      <c r="Y337" s="1044" t="str">
        <f t="shared" si="199"/>
        <v>.</v>
      </c>
      <c r="Z337" s="1044" t="str">
        <f t="shared" si="200"/>
        <v>.</v>
      </c>
      <c r="AA337" s="1044" t="str">
        <f t="shared" si="201"/>
        <v>.</v>
      </c>
      <c r="AB337" s="1044" t="str">
        <f t="shared" si="202"/>
        <v>.</v>
      </c>
      <c r="AC337" s="1044" t="str">
        <f t="shared" si="203"/>
        <v>.</v>
      </c>
      <c r="AD337" s="1045" t="str">
        <f t="shared" si="204"/>
        <v>.</v>
      </c>
      <c r="AE337" s="3"/>
      <c r="AF337" s="1145" t="str">
        <f t="shared" si="191"/>
        <v>.</v>
      </c>
      <c r="AG337" s="1146" t="str">
        <f t="shared" si="178"/>
        <v>.</v>
      </c>
      <c r="AH337" s="1146" t="str">
        <f t="shared" si="179"/>
        <v>.</v>
      </c>
      <c r="AI337" s="1146" t="str">
        <f t="shared" si="180"/>
        <v>.</v>
      </c>
      <c r="AJ337" s="1146" t="str">
        <f t="shared" si="181"/>
        <v>.</v>
      </c>
      <c r="AK337" s="1146" t="str">
        <f t="shared" si="182"/>
        <v>.</v>
      </c>
      <c r="AL337" s="1147" t="str">
        <f t="shared" si="183"/>
        <v>.</v>
      </c>
      <c r="AM337" s="3"/>
      <c r="AN337" s="1043" t="str">
        <f>IF(X337=".",".",SUM($X337:X337))</f>
        <v>.</v>
      </c>
      <c r="AO337" s="1044" t="str">
        <f>IF(Y337=".",".",SUM($X337:Y337))</f>
        <v>.</v>
      </c>
      <c r="AP337" s="1044" t="str">
        <f>IF(Z337=".",".",SUM($X337:Z337))</f>
        <v>.</v>
      </c>
      <c r="AQ337" s="1044" t="str">
        <f>IF(AA337=".",".",SUM($X337:AA337))</f>
        <v>.</v>
      </c>
      <c r="AR337" s="1044" t="str">
        <f>IF(AB337=".",".",SUM($X337:AB337))</f>
        <v>.</v>
      </c>
      <c r="AS337" s="1044" t="str">
        <f>IF(AC337=".",".",SUM($X337:AC337))</f>
        <v>.</v>
      </c>
      <c r="AT337" s="1045" t="str">
        <f>IF(AD337=".",".",SUM($X337:AD337))</f>
        <v>.</v>
      </c>
      <c r="AU337" s="3"/>
      <c r="AV337" s="1145" t="str">
        <f t="shared" si="190"/>
        <v>.</v>
      </c>
      <c r="AW337" s="1146" t="str">
        <f t="shared" si="184"/>
        <v>.</v>
      </c>
      <c r="AX337" s="1146" t="str">
        <f t="shared" si="185"/>
        <v>.</v>
      </c>
      <c r="AY337" s="1146" t="str">
        <f t="shared" si="186"/>
        <v>.</v>
      </c>
      <c r="AZ337" s="1146" t="str">
        <f t="shared" si="187"/>
        <v>.</v>
      </c>
      <c r="BA337" s="1146" t="str">
        <f t="shared" si="188"/>
        <v>.</v>
      </c>
      <c r="BB337" s="1147" t="str">
        <f t="shared" si="189"/>
        <v>.</v>
      </c>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row>
    <row r="338" spans="1:97" x14ac:dyDescent="0.2">
      <c r="A338" s="620"/>
      <c r="B338" s="1077" t="str">
        <f t="shared" si="207"/>
        <v>Special rate</v>
      </c>
      <c r="C338" s="1022" t="str">
        <f t="shared" si="207"/>
        <v/>
      </c>
      <c r="D338" s="1022" t="s">
        <v>687</v>
      </c>
      <c r="E338" s="1022"/>
      <c r="F338" s="1022"/>
      <c r="G338" s="1022"/>
      <c r="H338" s="1022"/>
      <c r="I338" s="1022"/>
      <c r="J338" s="1023" t="str">
        <f t="shared" si="197"/>
        <v>.</v>
      </c>
      <c r="K338" s="1012"/>
      <c r="L338" s="1024"/>
      <c r="M338" s="1024"/>
      <c r="N338" s="1024"/>
      <c r="O338" s="1024"/>
      <c r="P338" s="1024"/>
      <c r="Q338" s="1078"/>
      <c r="R338" s="76"/>
      <c r="S338" s="3"/>
      <c r="T338" s="1028">
        <f t="shared" si="208"/>
        <v>0</v>
      </c>
      <c r="U338" s="1029">
        <f t="shared" si="208"/>
        <v>0</v>
      </c>
      <c r="V338" s="1035"/>
      <c r="W338" s="3"/>
      <c r="X338" s="1043" t="str">
        <f t="shared" si="198"/>
        <v>.</v>
      </c>
      <c r="Y338" s="1044" t="str">
        <f t="shared" si="199"/>
        <v>.</v>
      </c>
      <c r="Z338" s="1044" t="str">
        <f t="shared" si="200"/>
        <v>.</v>
      </c>
      <c r="AA338" s="1044" t="str">
        <f t="shared" si="201"/>
        <v>.</v>
      </c>
      <c r="AB338" s="1044" t="str">
        <f t="shared" si="202"/>
        <v>.</v>
      </c>
      <c r="AC338" s="1044" t="str">
        <f t="shared" si="203"/>
        <v>.</v>
      </c>
      <c r="AD338" s="1045" t="str">
        <f t="shared" si="204"/>
        <v>.</v>
      </c>
      <c r="AE338" s="3"/>
      <c r="AF338" s="1145" t="str">
        <f t="shared" si="191"/>
        <v>.</v>
      </c>
      <c r="AG338" s="1146" t="str">
        <f t="shared" si="178"/>
        <v>.</v>
      </c>
      <c r="AH338" s="1146" t="str">
        <f t="shared" si="179"/>
        <v>.</v>
      </c>
      <c r="AI338" s="1146" t="str">
        <f t="shared" si="180"/>
        <v>.</v>
      </c>
      <c r="AJ338" s="1146" t="str">
        <f t="shared" si="181"/>
        <v>.</v>
      </c>
      <c r="AK338" s="1146" t="str">
        <f t="shared" si="182"/>
        <v>.</v>
      </c>
      <c r="AL338" s="1147" t="str">
        <f t="shared" si="183"/>
        <v>.</v>
      </c>
      <c r="AM338" s="3"/>
      <c r="AN338" s="1043" t="str">
        <f>IF(X338=".",".",SUM($X338:X338))</f>
        <v>.</v>
      </c>
      <c r="AO338" s="1044" t="str">
        <f>IF(Y338=".",".",SUM($X338:Y338))</f>
        <v>.</v>
      </c>
      <c r="AP338" s="1044" t="str">
        <f>IF(Z338=".",".",SUM($X338:Z338))</f>
        <v>.</v>
      </c>
      <c r="AQ338" s="1044" t="str">
        <f>IF(AA338=".",".",SUM($X338:AA338))</f>
        <v>.</v>
      </c>
      <c r="AR338" s="1044" t="str">
        <f>IF(AB338=".",".",SUM($X338:AB338))</f>
        <v>.</v>
      </c>
      <c r="AS338" s="1044" t="str">
        <f>IF(AC338=".",".",SUM($X338:AC338))</f>
        <v>.</v>
      </c>
      <c r="AT338" s="1045" t="str">
        <f>IF(AD338=".",".",SUM($X338:AD338))</f>
        <v>.</v>
      </c>
      <c r="AU338" s="3"/>
      <c r="AV338" s="1145" t="str">
        <f t="shared" si="190"/>
        <v>.</v>
      </c>
      <c r="AW338" s="1146" t="str">
        <f t="shared" si="184"/>
        <v>.</v>
      </c>
      <c r="AX338" s="1146" t="str">
        <f t="shared" si="185"/>
        <v>.</v>
      </c>
      <c r="AY338" s="1146" t="str">
        <f t="shared" si="186"/>
        <v>.</v>
      </c>
      <c r="AZ338" s="1146" t="str">
        <f t="shared" si="187"/>
        <v>.</v>
      </c>
      <c r="BA338" s="1146" t="str">
        <f t="shared" si="188"/>
        <v>.</v>
      </c>
      <c r="BB338" s="1147" t="str">
        <f t="shared" si="189"/>
        <v>.</v>
      </c>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row>
    <row r="339" spans="1:97" x14ac:dyDescent="0.2">
      <c r="A339" s="620"/>
      <c r="B339" s="1077" t="str">
        <f t="shared" si="207"/>
        <v>Special rate</v>
      </c>
      <c r="C339" s="1022" t="str">
        <f t="shared" si="207"/>
        <v/>
      </c>
      <c r="D339" s="1022" t="s">
        <v>687</v>
      </c>
      <c r="E339" s="1022"/>
      <c r="F339" s="1022"/>
      <c r="G339" s="1022"/>
      <c r="H339" s="1022"/>
      <c r="I339" s="1022"/>
      <c r="J339" s="1023" t="str">
        <f t="shared" si="197"/>
        <v>.</v>
      </c>
      <c r="K339" s="1012"/>
      <c r="L339" s="1024"/>
      <c r="M339" s="1024"/>
      <c r="N339" s="1024"/>
      <c r="O339" s="1024"/>
      <c r="P339" s="1024"/>
      <c r="Q339" s="1078"/>
      <c r="R339" s="76"/>
      <c r="S339" s="3"/>
      <c r="T339" s="1028">
        <f t="shared" si="208"/>
        <v>0</v>
      </c>
      <c r="U339" s="1029">
        <f t="shared" si="208"/>
        <v>0</v>
      </c>
      <c r="V339" s="1035"/>
      <c r="W339" s="3"/>
      <c r="X339" s="1043" t="str">
        <f t="shared" si="198"/>
        <v>.</v>
      </c>
      <c r="Y339" s="1044" t="str">
        <f t="shared" si="199"/>
        <v>.</v>
      </c>
      <c r="Z339" s="1044" t="str">
        <f t="shared" si="200"/>
        <v>.</v>
      </c>
      <c r="AA339" s="1044" t="str">
        <f t="shared" si="201"/>
        <v>.</v>
      </c>
      <c r="AB339" s="1044" t="str">
        <f t="shared" si="202"/>
        <v>.</v>
      </c>
      <c r="AC339" s="1044" t="str">
        <f t="shared" si="203"/>
        <v>.</v>
      </c>
      <c r="AD339" s="1045" t="str">
        <f t="shared" si="204"/>
        <v>.</v>
      </c>
      <c r="AE339" s="3"/>
      <c r="AF339" s="1145" t="str">
        <f t="shared" si="191"/>
        <v>.</v>
      </c>
      <c r="AG339" s="1146" t="str">
        <f t="shared" si="178"/>
        <v>.</v>
      </c>
      <c r="AH339" s="1146" t="str">
        <f t="shared" si="179"/>
        <v>.</v>
      </c>
      <c r="AI339" s="1146" t="str">
        <f t="shared" si="180"/>
        <v>.</v>
      </c>
      <c r="AJ339" s="1146" t="str">
        <f t="shared" si="181"/>
        <v>.</v>
      </c>
      <c r="AK339" s="1146" t="str">
        <f t="shared" si="182"/>
        <v>.</v>
      </c>
      <c r="AL339" s="1147" t="str">
        <f t="shared" si="183"/>
        <v>.</v>
      </c>
      <c r="AM339" s="3"/>
      <c r="AN339" s="1043" t="str">
        <f>IF(X339=".",".",SUM($X339:X339))</f>
        <v>.</v>
      </c>
      <c r="AO339" s="1044" t="str">
        <f>IF(Y339=".",".",SUM($X339:Y339))</f>
        <v>.</v>
      </c>
      <c r="AP339" s="1044" t="str">
        <f>IF(Z339=".",".",SUM($X339:Z339))</f>
        <v>.</v>
      </c>
      <c r="AQ339" s="1044" t="str">
        <f>IF(AA339=".",".",SUM($X339:AA339))</f>
        <v>.</v>
      </c>
      <c r="AR339" s="1044" t="str">
        <f>IF(AB339=".",".",SUM($X339:AB339))</f>
        <v>.</v>
      </c>
      <c r="AS339" s="1044" t="str">
        <f>IF(AC339=".",".",SUM($X339:AC339))</f>
        <v>.</v>
      </c>
      <c r="AT339" s="1045" t="str">
        <f>IF(AD339=".",".",SUM($X339:AD339))</f>
        <v>.</v>
      </c>
      <c r="AU339" s="3"/>
      <c r="AV339" s="1145" t="str">
        <f t="shared" si="190"/>
        <v>.</v>
      </c>
      <c r="AW339" s="1146" t="str">
        <f t="shared" si="184"/>
        <v>.</v>
      </c>
      <c r="AX339" s="1146" t="str">
        <f t="shared" si="185"/>
        <v>.</v>
      </c>
      <c r="AY339" s="1146" t="str">
        <f t="shared" si="186"/>
        <v>.</v>
      </c>
      <c r="AZ339" s="1146" t="str">
        <f t="shared" si="187"/>
        <v>.</v>
      </c>
      <c r="BA339" s="1146" t="str">
        <f t="shared" si="188"/>
        <v>.</v>
      </c>
      <c r="BB339" s="1147" t="str">
        <f t="shared" si="189"/>
        <v>.</v>
      </c>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row>
    <row r="340" spans="1:97" x14ac:dyDescent="0.2">
      <c r="A340" s="620"/>
      <c r="B340" s="1077" t="str">
        <f t="shared" si="207"/>
        <v>Special rate</v>
      </c>
      <c r="C340" s="1022" t="str">
        <f t="shared" si="207"/>
        <v/>
      </c>
      <c r="D340" s="1022" t="s">
        <v>687</v>
      </c>
      <c r="E340" s="1022"/>
      <c r="F340" s="1022"/>
      <c r="G340" s="1022"/>
      <c r="H340" s="1022"/>
      <c r="I340" s="1022"/>
      <c r="J340" s="1023" t="str">
        <f t="shared" si="197"/>
        <v>.</v>
      </c>
      <c r="K340" s="1012"/>
      <c r="L340" s="1024"/>
      <c r="M340" s="1024"/>
      <c r="N340" s="1024"/>
      <c r="O340" s="1024"/>
      <c r="P340" s="1024"/>
      <c r="Q340" s="1078"/>
      <c r="R340" s="76"/>
      <c r="S340" s="3"/>
      <c r="T340" s="1028">
        <f t="shared" si="208"/>
        <v>0</v>
      </c>
      <c r="U340" s="1029">
        <f t="shared" si="208"/>
        <v>0</v>
      </c>
      <c r="V340" s="1035"/>
      <c r="W340" s="3"/>
      <c r="X340" s="1043" t="str">
        <f t="shared" si="198"/>
        <v>.</v>
      </c>
      <c r="Y340" s="1044" t="str">
        <f t="shared" si="199"/>
        <v>.</v>
      </c>
      <c r="Z340" s="1044" t="str">
        <f t="shared" si="200"/>
        <v>.</v>
      </c>
      <c r="AA340" s="1044" t="str">
        <f t="shared" si="201"/>
        <v>.</v>
      </c>
      <c r="AB340" s="1044" t="str">
        <f t="shared" si="202"/>
        <v>.</v>
      </c>
      <c r="AC340" s="1044" t="str">
        <f t="shared" si="203"/>
        <v>.</v>
      </c>
      <c r="AD340" s="1045" t="str">
        <f t="shared" si="204"/>
        <v>.</v>
      </c>
      <c r="AE340" s="3"/>
      <c r="AF340" s="1145" t="str">
        <f t="shared" si="191"/>
        <v>.</v>
      </c>
      <c r="AG340" s="1146" t="str">
        <f t="shared" si="178"/>
        <v>.</v>
      </c>
      <c r="AH340" s="1146" t="str">
        <f t="shared" si="179"/>
        <v>.</v>
      </c>
      <c r="AI340" s="1146" t="str">
        <f t="shared" si="180"/>
        <v>.</v>
      </c>
      <c r="AJ340" s="1146" t="str">
        <f t="shared" si="181"/>
        <v>.</v>
      </c>
      <c r="AK340" s="1146" t="str">
        <f t="shared" si="182"/>
        <v>.</v>
      </c>
      <c r="AL340" s="1147" t="str">
        <f t="shared" si="183"/>
        <v>.</v>
      </c>
      <c r="AM340" s="3"/>
      <c r="AN340" s="1043" t="str">
        <f>IF(X340=".",".",SUM($X340:X340))</f>
        <v>.</v>
      </c>
      <c r="AO340" s="1044" t="str">
        <f>IF(Y340=".",".",SUM($X340:Y340))</f>
        <v>.</v>
      </c>
      <c r="AP340" s="1044" t="str">
        <f>IF(Z340=".",".",SUM($X340:Z340))</f>
        <v>.</v>
      </c>
      <c r="AQ340" s="1044" t="str">
        <f>IF(AA340=".",".",SUM($X340:AA340))</f>
        <v>.</v>
      </c>
      <c r="AR340" s="1044" t="str">
        <f>IF(AB340=".",".",SUM($X340:AB340))</f>
        <v>.</v>
      </c>
      <c r="AS340" s="1044" t="str">
        <f>IF(AC340=".",".",SUM($X340:AC340))</f>
        <v>.</v>
      </c>
      <c r="AT340" s="1045" t="str">
        <f>IF(AD340=".",".",SUM($X340:AD340))</f>
        <v>.</v>
      </c>
      <c r="AU340" s="3"/>
      <c r="AV340" s="1145" t="str">
        <f t="shared" si="190"/>
        <v>.</v>
      </c>
      <c r="AW340" s="1146" t="str">
        <f t="shared" si="184"/>
        <v>.</v>
      </c>
      <c r="AX340" s="1146" t="str">
        <f t="shared" si="185"/>
        <v>.</v>
      </c>
      <c r="AY340" s="1146" t="str">
        <f t="shared" si="186"/>
        <v>.</v>
      </c>
      <c r="AZ340" s="1146" t="str">
        <f t="shared" si="187"/>
        <v>.</v>
      </c>
      <c r="BA340" s="1146" t="str">
        <f t="shared" si="188"/>
        <v>.</v>
      </c>
      <c r="BB340" s="1147" t="str">
        <f t="shared" si="189"/>
        <v>.</v>
      </c>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row>
    <row r="341" spans="1:97" x14ac:dyDescent="0.2">
      <c r="A341" s="620"/>
      <c r="B341" s="1077" t="str">
        <f t="shared" si="207"/>
        <v>Special rate</v>
      </c>
      <c r="C341" s="1022" t="str">
        <f t="shared" si="207"/>
        <v/>
      </c>
      <c r="D341" s="1022" t="s">
        <v>687</v>
      </c>
      <c r="E341" s="1022"/>
      <c r="F341" s="1022"/>
      <c r="G341" s="1022"/>
      <c r="H341" s="1022"/>
      <c r="I341" s="1022"/>
      <c r="J341" s="1023" t="str">
        <f t="shared" si="197"/>
        <v>.</v>
      </c>
      <c r="K341" s="1012"/>
      <c r="L341" s="1024"/>
      <c r="M341" s="1024"/>
      <c r="N341" s="1024"/>
      <c r="O341" s="1024"/>
      <c r="P341" s="1024"/>
      <c r="Q341" s="1078"/>
      <c r="R341" s="76"/>
      <c r="S341" s="3"/>
      <c r="T341" s="1028">
        <f t="shared" si="208"/>
        <v>0</v>
      </c>
      <c r="U341" s="1029">
        <f t="shared" si="208"/>
        <v>0</v>
      </c>
      <c r="V341" s="1035"/>
      <c r="W341" s="3"/>
      <c r="X341" s="1043" t="str">
        <f t="shared" si="198"/>
        <v>.</v>
      </c>
      <c r="Y341" s="1044" t="str">
        <f t="shared" si="199"/>
        <v>.</v>
      </c>
      <c r="Z341" s="1044" t="str">
        <f t="shared" si="200"/>
        <v>.</v>
      </c>
      <c r="AA341" s="1044" t="str">
        <f t="shared" si="201"/>
        <v>.</v>
      </c>
      <c r="AB341" s="1044" t="str">
        <f t="shared" si="202"/>
        <v>.</v>
      </c>
      <c r="AC341" s="1044" t="str">
        <f t="shared" si="203"/>
        <v>.</v>
      </c>
      <c r="AD341" s="1045" t="str">
        <f t="shared" si="204"/>
        <v>.</v>
      </c>
      <c r="AE341" s="3"/>
      <c r="AF341" s="1145" t="str">
        <f t="shared" si="191"/>
        <v>.</v>
      </c>
      <c r="AG341" s="1146" t="str">
        <f t="shared" si="178"/>
        <v>.</v>
      </c>
      <c r="AH341" s="1146" t="str">
        <f t="shared" si="179"/>
        <v>.</v>
      </c>
      <c r="AI341" s="1146" t="str">
        <f t="shared" si="180"/>
        <v>.</v>
      </c>
      <c r="AJ341" s="1146" t="str">
        <f t="shared" si="181"/>
        <v>.</v>
      </c>
      <c r="AK341" s="1146" t="str">
        <f t="shared" si="182"/>
        <v>.</v>
      </c>
      <c r="AL341" s="1147" t="str">
        <f t="shared" si="183"/>
        <v>.</v>
      </c>
      <c r="AM341" s="3"/>
      <c r="AN341" s="1043" t="str">
        <f>IF(X341=".",".",SUM($X341:X341))</f>
        <v>.</v>
      </c>
      <c r="AO341" s="1044" t="str">
        <f>IF(Y341=".",".",SUM($X341:Y341))</f>
        <v>.</v>
      </c>
      <c r="AP341" s="1044" t="str">
        <f>IF(Z341=".",".",SUM($X341:Z341))</f>
        <v>.</v>
      </c>
      <c r="AQ341" s="1044" t="str">
        <f>IF(AA341=".",".",SUM($X341:AA341))</f>
        <v>.</v>
      </c>
      <c r="AR341" s="1044" t="str">
        <f>IF(AB341=".",".",SUM($X341:AB341))</f>
        <v>.</v>
      </c>
      <c r="AS341" s="1044" t="str">
        <f>IF(AC341=".",".",SUM($X341:AC341))</f>
        <v>.</v>
      </c>
      <c r="AT341" s="1045" t="str">
        <f>IF(AD341=".",".",SUM($X341:AD341))</f>
        <v>.</v>
      </c>
      <c r="AU341" s="3"/>
      <c r="AV341" s="1145" t="str">
        <f t="shared" si="190"/>
        <v>.</v>
      </c>
      <c r="AW341" s="1146" t="str">
        <f t="shared" si="184"/>
        <v>.</v>
      </c>
      <c r="AX341" s="1146" t="str">
        <f t="shared" si="185"/>
        <v>.</v>
      </c>
      <c r="AY341" s="1146" t="str">
        <f t="shared" si="186"/>
        <v>.</v>
      </c>
      <c r="AZ341" s="1146" t="str">
        <f t="shared" si="187"/>
        <v>.</v>
      </c>
      <c r="BA341" s="1146" t="str">
        <f t="shared" si="188"/>
        <v>.</v>
      </c>
      <c r="BB341" s="1147" t="str">
        <f t="shared" si="189"/>
        <v>.</v>
      </c>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row>
    <row r="342" spans="1:97" x14ac:dyDescent="0.2">
      <c r="A342" s="620"/>
      <c r="B342" s="1587" t="str">
        <f t="shared" si="207"/>
        <v>Special rate</v>
      </c>
      <c r="C342" s="1588" t="str">
        <f t="shared" si="207"/>
        <v/>
      </c>
      <c r="D342" s="1588" t="s">
        <v>687</v>
      </c>
      <c r="E342" s="1588"/>
      <c r="F342" s="1588"/>
      <c r="G342" s="1588"/>
      <c r="H342" s="1588"/>
      <c r="I342" s="1588"/>
      <c r="J342" s="1584" t="str">
        <f t="shared" si="197"/>
        <v>.</v>
      </c>
      <c r="K342" s="1013"/>
      <c r="L342" s="1102"/>
      <c r="M342" s="1102"/>
      <c r="N342" s="1102"/>
      <c r="O342" s="1102"/>
      <c r="P342" s="1102"/>
      <c r="Q342" s="1123"/>
      <c r="R342" s="76"/>
      <c r="S342" s="3"/>
      <c r="T342" s="1028">
        <f t="shared" si="208"/>
        <v>0</v>
      </c>
      <c r="U342" s="1029">
        <f t="shared" si="208"/>
        <v>0</v>
      </c>
      <c r="V342" s="1035"/>
      <c r="W342" s="3"/>
      <c r="X342" s="1043" t="str">
        <f t="shared" si="198"/>
        <v>.</v>
      </c>
      <c r="Y342" s="1044" t="str">
        <f t="shared" si="199"/>
        <v>.</v>
      </c>
      <c r="Z342" s="1044" t="str">
        <f t="shared" si="200"/>
        <v>.</v>
      </c>
      <c r="AA342" s="1044" t="str">
        <f t="shared" si="201"/>
        <v>.</v>
      </c>
      <c r="AB342" s="1044" t="str">
        <f t="shared" si="202"/>
        <v>.</v>
      </c>
      <c r="AC342" s="1044" t="str">
        <f t="shared" si="203"/>
        <v>.</v>
      </c>
      <c r="AD342" s="1045" t="str">
        <f t="shared" si="204"/>
        <v>.</v>
      </c>
      <c r="AE342" s="3"/>
      <c r="AF342" s="1145" t="str">
        <f t="shared" si="191"/>
        <v>.</v>
      </c>
      <c r="AG342" s="1146" t="str">
        <f t="shared" si="178"/>
        <v>.</v>
      </c>
      <c r="AH342" s="1146" t="str">
        <f t="shared" si="179"/>
        <v>.</v>
      </c>
      <c r="AI342" s="1146" t="str">
        <f t="shared" si="180"/>
        <v>.</v>
      </c>
      <c r="AJ342" s="1146" t="str">
        <f t="shared" si="181"/>
        <v>.</v>
      </c>
      <c r="AK342" s="1146" t="str">
        <f t="shared" si="182"/>
        <v>.</v>
      </c>
      <c r="AL342" s="1147" t="str">
        <f t="shared" si="183"/>
        <v>.</v>
      </c>
      <c r="AM342" s="3"/>
      <c r="AN342" s="1043" t="str">
        <f>IF(X342=".",".",SUM($X342:X342))</f>
        <v>.</v>
      </c>
      <c r="AO342" s="1044" t="str">
        <f>IF(Y342=".",".",SUM($X342:Y342))</f>
        <v>.</v>
      </c>
      <c r="AP342" s="1044" t="str">
        <f>IF(Z342=".",".",SUM($X342:Z342))</f>
        <v>.</v>
      </c>
      <c r="AQ342" s="1044" t="str">
        <f>IF(AA342=".",".",SUM($X342:AA342))</f>
        <v>.</v>
      </c>
      <c r="AR342" s="1044" t="str">
        <f>IF(AB342=".",".",SUM($X342:AB342))</f>
        <v>.</v>
      </c>
      <c r="AS342" s="1044" t="str">
        <f>IF(AC342=".",".",SUM($X342:AC342))</f>
        <v>.</v>
      </c>
      <c r="AT342" s="1045" t="str">
        <f>IF(AD342=".",".",SUM($X342:AD342))</f>
        <v>.</v>
      </c>
      <c r="AU342" s="3"/>
      <c r="AV342" s="1145" t="str">
        <f t="shared" si="190"/>
        <v>.</v>
      </c>
      <c r="AW342" s="1146" t="str">
        <f t="shared" si="184"/>
        <v>.</v>
      </c>
      <c r="AX342" s="1146" t="str">
        <f t="shared" si="185"/>
        <v>.</v>
      </c>
      <c r="AY342" s="1146" t="str">
        <f t="shared" si="186"/>
        <v>.</v>
      </c>
      <c r="AZ342" s="1146" t="str">
        <f t="shared" si="187"/>
        <v>.</v>
      </c>
      <c r="BA342" s="1146" t="str">
        <f t="shared" si="188"/>
        <v>.</v>
      </c>
      <c r="BB342" s="1147" t="str">
        <f t="shared" si="189"/>
        <v>.</v>
      </c>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row>
    <row r="343" spans="1:97" s="6" customFormat="1" x14ac:dyDescent="0.2">
      <c r="A343" s="620"/>
      <c r="B343" s="977"/>
      <c r="C343" s="777" t="s">
        <v>698</v>
      </c>
      <c r="D343" s="777"/>
      <c r="E343" s="777"/>
      <c r="F343" s="777"/>
      <c r="G343" s="777"/>
      <c r="H343" s="777"/>
      <c r="I343" s="777"/>
      <c r="J343" s="1583" t="str">
        <f t="shared" si="197"/>
        <v>.</v>
      </c>
      <c r="K343" s="1584" t="str">
        <f>IF($U343=0,".",SUMPRODUCT(K323:K342,$U323:$U342)/$U343)</f>
        <v>.</v>
      </c>
      <c r="L343" s="1585" t="str">
        <f>IF($U343=0,".",SUMPRODUCT(L323:L342,$U323:$U342)/$U343)</f>
        <v>.</v>
      </c>
      <c r="M343" s="1585" t="str">
        <f t="shared" ref="M343:Q343" si="209">IF($U343=0,".",SUMPRODUCT(M323:M342,$U323:$U342)/$U343)</f>
        <v>.</v>
      </c>
      <c r="N343" s="1585" t="str">
        <f t="shared" si="209"/>
        <v>.</v>
      </c>
      <c r="O343" s="1585" t="str">
        <f t="shared" si="209"/>
        <v>.</v>
      </c>
      <c r="P343" s="1585" t="str">
        <f t="shared" si="209"/>
        <v>.</v>
      </c>
      <c r="Q343" s="1586" t="str">
        <f t="shared" si="209"/>
        <v>.</v>
      </c>
      <c r="R343" s="76"/>
      <c r="S343" s="2"/>
      <c r="T343" s="1032">
        <f t="shared" si="208"/>
        <v>0</v>
      </c>
      <c r="U343" s="1033">
        <f t="shared" si="208"/>
        <v>0</v>
      </c>
      <c r="V343" s="1036"/>
      <c r="W343" s="2"/>
      <c r="X343" s="1063" t="str">
        <f>IF(K343=".",".",K343-J343)</f>
        <v>.</v>
      </c>
      <c r="Y343" s="1064" t="str">
        <f t="shared" ref="Y343:AD343" si="210">IF(L343=".",".",L343-K343)</f>
        <v>.</v>
      </c>
      <c r="Z343" s="1064" t="str">
        <f t="shared" si="210"/>
        <v>.</v>
      </c>
      <c r="AA343" s="1064" t="str">
        <f t="shared" si="210"/>
        <v>.</v>
      </c>
      <c r="AB343" s="1064" t="str">
        <f t="shared" si="210"/>
        <v>.</v>
      </c>
      <c r="AC343" s="1064" t="str">
        <f t="shared" si="210"/>
        <v>.</v>
      </c>
      <c r="AD343" s="1065" t="str">
        <f t="shared" si="210"/>
        <v>.</v>
      </c>
      <c r="AE343" s="2"/>
      <c r="AF343" s="1148" t="str">
        <f t="shared" si="191"/>
        <v>.</v>
      </c>
      <c r="AG343" s="1149" t="str">
        <f t="shared" si="178"/>
        <v>.</v>
      </c>
      <c r="AH343" s="1149" t="str">
        <f t="shared" si="179"/>
        <v>.</v>
      </c>
      <c r="AI343" s="1149" t="str">
        <f t="shared" si="180"/>
        <v>.</v>
      </c>
      <c r="AJ343" s="1149" t="str">
        <f t="shared" si="181"/>
        <v>.</v>
      </c>
      <c r="AK343" s="1149" t="str">
        <f t="shared" si="182"/>
        <v>.</v>
      </c>
      <c r="AL343" s="1150" t="str">
        <f t="shared" si="183"/>
        <v>.</v>
      </c>
      <c r="AM343" s="2"/>
      <c r="AN343" s="1063" t="str">
        <f>IF(X343=".",".",SUM($X343:X343))</f>
        <v>.</v>
      </c>
      <c r="AO343" s="1064" t="str">
        <f>IF(Y343=".",".",SUM($X343:Y343))</f>
        <v>.</v>
      </c>
      <c r="AP343" s="1064" t="str">
        <f>IF(Z343=".",".",SUM($X343:Z343))</f>
        <v>.</v>
      </c>
      <c r="AQ343" s="1064" t="str">
        <f>IF(AA343=".",".",SUM($X343:AA343))</f>
        <v>.</v>
      </c>
      <c r="AR343" s="1064" t="str">
        <f>IF(AB343=".",".",SUM($X343:AB343))</f>
        <v>.</v>
      </c>
      <c r="AS343" s="1064" t="str">
        <f>IF(AC343=".",".",SUM($X343:AC343))</f>
        <v>.</v>
      </c>
      <c r="AT343" s="1065" t="str">
        <f>IF(AD343=".",".",SUM($X343:AD343))</f>
        <v>.</v>
      </c>
      <c r="AU343" s="3"/>
      <c r="AV343" s="1148" t="str">
        <f t="shared" si="190"/>
        <v>.</v>
      </c>
      <c r="AW343" s="1149" t="str">
        <f t="shared" si="184"/>
        <v>.</v>
      </c>
      <c r="AX343" s="1149" t="str">
        <f t="shared" si="185"/>
        <v>.</v>
      </c>
      <c r="AY343" s="1149" t="str">
        <f t="shared" si="186"/>
        <v>.</v>
      </c>
      <c r="AZ343" s="1149" t="str">
        <f t="shared" si="187"/>
        <v>.</v>
      </c>
      <c r="BA343" s="1149" t="str">
        <f t="shared" si="188"/>
        <v>.</v>
      </c>
      <c r="BB343" s="1150" t="str">
        <f t="shared" si="189"/>
        <v>.</v>
      </c>
      <c r="BC343" s="2"/>
      <c r="BD343" s="2"/>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row>
    <row r="344" spans="1:97" x14ac:dyDescent="0.2">
      <c r="A344" s="620"/>
      <c r="B344" s="3"/>
      <c r="C344" s="3"/>
      <c r="D344" s="3"/>
      <c r="E344" s="3"/>
      <c r="F344" s="3"/>
      <c r="G344" s="3"/>
      <c r="H344" s="3"/>
      <c r="I344" s="3"/>
      <c r="J344" s="16"/>
      <c r="K344" s="16"/>
      <c r="L344" s="3"/>
      <c r="M344" s="3"/>
      <c r="N344" s="3"/>
      <c r="O344" s="3"/>
      <c r="P344" s="3"/>
      <c r="Q344" s="3"/>
      <c r="R344" s="76"/>
      <c r="S344" s="3"/>
      <c r="T344" s="3"/>
      <c r="U344" s="3"/>
      <c r="V344" s="1035"/>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row>
    <row r="345" spans="1:97" x14ac:dyDescent="0.2">
      <c r="A345" s="620"/>
      <c r="B345" s="3"/>
      <c r="C345" s="3"/>
      <c r="D345" s="3"/>
      <c r="E345" s="3"/>
      <c r="F345" s="3"/>
      <c r="G345" s="3"/>
      <c r="H345" s="3"/>
      <c r="I345" s="3"/>
      <c r="J345" s="16"/>
      <c r="K345" s="16"/>
      <c r="L345" s="3"/>
      <c r="M345" s="3"/>
      <c r="N345" s="3"/>
      <c r="O345" s="3"/>
      <c r="P345" s="3"/>
      <c r="Q345" s="3"/>
      <c r="R345" s="76"/>
      <c r="S345" s="3"/>
      <c r="T345" s="3"/>
      <c r="U345" s="3"/>
      <c r="V345" s="1035"/>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row>
    <row r="346" spans="1:97" ht="12.75" x14ac:dyDescent="0.2">
      <c r="A346" s="620">
        <f>A222+1</f>
        <v>4</v>
      </c>
      <c r="B346" s="1086" t="str">
        <f>"Table "&amp;A1&amp;"."&amp;A346&amp;": Domestic Waste Management Services - Annual Charge"</f>
        <v>Table 7.4: Domestic Waste Management Services - Annual Charge</v>
      </c>
      <c r="C346" s="1067"/>
      <c r="D346" s="1067"/>
      <c r="E346" s="1067"/>
      <c r="F346" s="1067"/>
      <c r="G346" s="1067"/>
      <c r="H346" s="1067"/>
      <c r="I346" s="1067"/>
      <c r="J346" s="1068"/>
      <c r="K346" s="1068"/>
      <c r="L346" s="1087"/>
      <c r="M346" s="1070"/>
      <c r="N346" s="1069"/>
      <c r="O346" s="1069"/>
      <c r="P346" s="1069"/>
      <c r="Q346" s="1071"/>
      <c r="R346" s="76"/>
      <c r="S346" s="3"/>
      <c r="T346" s="3"/>
      <c r="U346" s="3"/>
      <c r="V346" s="1035"/>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row>
    <row r="347" spans="1:97" x14ac:dyDescent="0.2">
      <c r="A347" s="620"/>
      <c r="B347" s="1093" t="s">
        <v>700</v>
      </c>
      <c r="C347" s="18"/>
      <c r="D347" s="18"/>
      <c r="E347" s="18"/>
      <c r="F347" s="18"/>
      <c r="G347" s="18"/>
      <c r="H347" s="18"/>
      <c r="I347" s="18"/>
      <c r="J347" s="1094"/>
      <c r="K347" s="1094"/>
      <c r="L347" s="1095"/>
      <c r="M347" s="1095"/>
      <c r="N347" s="1095"/>
      <c r="O347" s="1095"/>
      <c r="P347" s="1095"/>
      <c r="Q347" s="1096"/>
      <c r="R347" s="76"/>
      <c r="S347" s="3"/>
      <c r="T347" s="3"/>
      <c r="U347" s="3"/>
      <c r="V347" s="1035"/>
      <c r="W347" s="3"/>
      <c r="X347" s="208" t="str">
        <f>X$25</f>
        <v>Annual increases (nominal $ per year)</v>
      </c>
      <c r="Y347" s="3"/>
      <c r="Z347" s="3"/>
      <c r="AA347" s="3"/>
      <c r="AB347" s="3"/>
      <c r="AC347" s="3"/>
      <c r="AD347" s="3"/>
      <c r="AE347" s="3"/>
      <c r="AF347" s="208" t="str">
        <f>AF$25</f>
        <v>Annual increases (%)</v>
      </c>
      <c r="AG347" s="3"/>
      <c r="AH347" s="3"/>
      <c r="AI347" s="3"/>
      <c r="AJ347" s="3"/>
      <c r="AK347" s="3"/>
      <c r="AL347" s="3"/>
      <c r="AM347" s="3"/>
      <c r="AN347" s="208" t="str">
        <f>AN$25</f>
        <v>Cumulative increases (nominal $ per year)</v>
      </c>
      <c r="AO347" s="3"/>
      <c r="AP347" s="3"/>
      <c r="AQ347" s="3"/>
      <c r="AR347" s="3"/>
      <c r="AS347" s="3"/>
      <c r="AT347" s="3"/>
      <c r="AU347" s="3"/>
      <c r="AV347" s="208" t="str">
        <f>AV$25</f>
        <v>Cumulative increases (%)</v>
      </c>
      <c r="AW347" s="3"/>
      <c r="AX347" s="3"/>
      <c r="AY347" s="3"/>
      <c r="AZ347" s="3"/>
      <c r="BA347" s="3"/>
      <c r="BB347" s="3"/>
      <c r="BC347" s="3"/>
      <c r="BD347" s="3"/>
      <c r="BE347" s="3"/>
      <c r="BF347" s="3"/>
      <c r="BG347" s="3"/>
      <c r="BH347" s="3"/>
      <c r="BI347" s="3"/>
      <c r="BJ347" s="3"/>
      <c r="BK347" s="3"/>
    </row>
    <row r="348" spans="1:97" ht="39" customHeight="1" x14ac:dyDescent="0.2">
      <c r="A348" s="620"/>
      <c r="B348" s="681" t="s">
        <v>701</v>
      </c>
      <c r="C348" s="999"/>
      <c r="D348" s="1074"/>
      <c r="E348" s="1072"/>
      <c r="F348" s="1072"/>
      <c r="G348" s="1072"/>
      <c r="H348" s="1072"/>
      <c r="I348" s="1072"/>
      <c r="J348" s="1084" t="s">
        <v>702</v>
      </c>
      <c r="K348" s="1084" t="s">
        <v>703</v>
      </c>
      <c r="L348" s="1084" t="s">
        <v>704</v>
      </c>
      <c r="M348" s="1084" t="s">
        <v>705</v>
      </c>
      <c r="N348" s="1084" t="s">
        <v>706</v>
      </c>
      <c r="O348" s="1084" t="s">
        <v>707</v>
      </c>
      <c r="P348" s="1084" t="s">
        <v>708</v>
      </c>
      <c r="Q348" s="1084" t="s">
        <v>709</v>
      </c>
      <c r="R348" s="76"/>
      <c r="S348" s="3"/>
      <c r="T348" s="3"/>
      <c r="U348" s="3"/>
      <c r="V348" s="1035"/>
      <c r="W348" s="3"/>
      <c r="X348" s="1049" t="str">
        <f>B346</f>
        <v>Table 7.4: Domestic Waste Management Services - Annual Charge</v>
      </c>
      <c r="Y348" s="695"/>
      <c r="Z348" s="695"/>
      <c r="AA348" s="695"/>
      <c r="AB348" s="695"/>
      <c r="AC348" s="695"/>
      <c r="AD348" s="1050"/>
      <c r="AE348" s="3"/>
      <c r="AF348" s="1049" t="str">
        <f>$X348</f>
        <v>Table 7.4: Domestic Waste Management Services - Annual Charge</v>
      </c>
      <c r="AG348" s="695"/>
      <c r="AH348" s="695"/>
      <c r="AI348" s="695"/>
      <c r="AJ348" s="695"/>
      <c r="AK348" s="695"/>
      <c r="AL348" s="1050"/>
      <c r="AM348" s="3"/>
      <c r="AN348" s="1049" t="str">
        <f>$X348</f>
        <v>Table 7.4: Domestic Waste Management Services - Annual Charge</v>
      </c>
      <c r="AO348" s="695"/>
      <c r="AP348" s="695"/>
      <c r="AQ348" s="695"/>
      <c r="AR348" s="695"/>
      <c r="AS348" s="695"/>
      <c r="AT348" s="1050"/>
      <c r="AU348" s="3"/>
      <c r="AV348" s="1049" t="str">
        <f>$X348</f>
        <v>Table 7.4: Domestic Waste Management Services - Annual Charge</v>
      </c>
      <c r="AW348" s="695"/>
      <c r="AX348" s="695"/>
      <c r="AY348" s="695"/>
      <c r="AZ348" s="695"/>
      <c r="BA348" s="695"/>
      <c r="BB348" s="1050"/>
      <c r="BC348" s="3"/>
      <c r="BD348" s="3"/>
      <c r="BE348" s="3"/>
      <c r="BF348" s="3"/>
      <c r="BG348" s="3"/>
      <c r="BH348" s="3"/>
      <c r="BI348" s="3"/>
      <c r="BJ348" s="3"/>
      <c r="BK348" s="3"/>
    </row>
    <row r="349" spans="1:97" x14ac:dyDescent="0.2">
      <c r="A349" s="620"/>
      <c r="B349" s="344"/>
      <c r="C349" s="140"/>
      <c r="D349" s="1589"/>
      <c r="E349" s="140"/>
      <c r="F349" s="140"/>
      <c r="G349" s="140"/>
      <c r="H349" s="140"/>
      <c r="I349" s="140"/>
      <c r="J349" s="1097" t="str">
        <f t="shared" ref="J349:Q349" si="211">J224</f>
        <v>2023-24</v>
      </c>
      <c r="K349" s="1097" t="str">
        <f t="shared" si="211"/>
        <v>2024-25</v>
      </c>
      <c r="L349" s="1097" t="str">
        <f t="shared" si="211"/>
        <v>2025-26</v>
      </c>
      <c r="M349" s="1097" t="str">
        <f t="shared" si="211"/>
        <v>2026-27</v>
      </c>
      <c r="N349" s="1097" t="str">
        <f t="shared" si="211"/>
        <v>2027-28</v>
      </c>
      <c r="O349" s="1097" t="str">
        <f t="shared" si="211"/>
        <v>2028-29</v>
      </c>
      <c r="P349" s="1097" t="str">
        <f t="shared" si="211"/>
        <v>2029-30</v>
      </c>
      <c r="Q349" s="1097" t="str">
        <f t="shared" si="211"/>
        <v>2030-31</v>
      </c>
      <c r="R349" s="76"/>
      <c r="S349" s="3"/>
      <c r="T349" s="3"/>
      <c r="U349" s="3"/>
      <c r="V349" s="1035"/>
      <c r="W349" s="3"/>
      <c r="X349" s="1051" t="str">
        <f>X$27</f>
        <v>Year 1</v>
      </c>
      <c r="Y349" s="1052" t="str">
        <f t="shared" ref="Y349:AD349" si="212">Y$27</f>
        <v>Year 2</v>
      </c>
      <c r="Z349" s="1052" t="str">
        <f t="shared" si="212"/>
        <v>Year 3</v>
      </c>
      <c r="AA349" s="1052" t="str">
        <f t="shared" si="212"/>
        <v>Year 4</v>
      </c>
      <c r="AB349" s="1052" t="str">
        <f t="shared" si="212"/>
        <v>Year 5</v>
      </c>
      <c r="AC349" s="1052" t="str">
        <f t="shared" si="212"/>
        <v>Year 6</v>
      </c>
      <c r="AD349" s="1053" t="str">
        <f t="shared" si="212"/>
        <v>Year 7</v>
      </c>
      <c r="AE349" s="19"/>
      <c r="AF349" s="1051" t="str">
        <f t="shared" ref="AF349:AL349" si="213">AF$27</f>
        <v>Year 1</v>
      </c>
      <c r="AG349" s="1052" t="str">
        <f t="shared" si="213"/>
        <v>Year 2</v>
      </c>
      <c r="AH349" s="1052" t="str">
        <f t="shared" si="213"/>
        <v>Year 3</v>
      </c>
      <c r="AI349" s="1052" t="str">
        <f t="shared" si="213"/>
        <v>Year 4</v>
      </c>
      <c r="AJ349" s="1052" t="str">
        <f t="shared" si="213"/>
        <v>Year 5</v>
      </c>
      <c r="AK349" s="1052" t="str">
        <f t="shared" si="213"/>
        <v>Year 6</v>
      </c>
      <c r="AL349" s="1053" t="str">
        <f t="shared" si="213"/>
        <v>Year 7</v>
      </c>
      <c r="AM349" s="19"/>
      <c r="AN349" s="1051" t="str">
        <f>AN$27</f>
        <v>Year 1</v>
      </c>
      <c r="AO349" s="1052" t="str">
        <f t="shared" ref="AO349:AT349" si="214">AO$27</f>
        <v>Year 2</v>
      </c>
      <c r="AP349" s="1052" t="str">
        <f t="shared" si="214"/>
        <v>Year 3</v>
      </c>
      <c r="AQ349" s="1052" t="str">
        <f t="shared" si="214"/>
        <v>Year 4</v>
      </c>
      <c r="AR349" s="1052" t="str">
        <f t="shared" si="214"/>
        <v>Year 5</v>
      </c>
      <c r="AS349" s="1052" t="str">
        <f t="shared" si="214"/>
        <v>Year 6</v>
      </c>
      <c r="AT349" s="1053" t="str">
        <f t="shared" si="214"/>
        <v>Year 7</v>
      </c>
      <c r="AU349" s="19"/>
      <c r="AV349" s="1051" t="str">
        <f>AV$27</f>
        <v>Year 1</v>
      </c>
      <c r="AW349" s="1052" t="str">
        <f t="shared" ref="AW349:BB349" si="215">AW$27</f>
        <v>Year 2</v>
      </c>
      <c r="AX349" s="1052" t="str">
        <f t="shared" si="215"/>
        <v>Year 3</v>
      </c>
      <c r="AY349" s="1052" t="str">
        <f t="shared" si="215"/>
        <v>Year 4</v>
      </c>
      <c r="AZ349" s="1052" t="str">
        <f t="shared" si="215"/>
        <v>Year 5</v>
      </c>
      <c r="BA349" s="1052" t="str">
        <f t="shared" si="215"/>
        <v>Year 6</v>
      </c>
      <c r="BB349" s="1053" t="str">
        <f t="shared" si="215"/>
        <v>Year 7</v>
      </c>
      <c r="BC349" s="3"/>
      <c r="BD349" s="3"/>
      <c r="BE349" s="3"/>
      <c r="BF349" s="3"/>
      <c r="BG349" s="3"/>
      <c r="BH349" s="3"/>
      <c r="BI349" s="3"/>
      <c r="BJ349" s="3"/>
      <c r="BK349" s="3"/>
    </row>
    <row r="350" spans="1:97" x14ac:dyDescent="0.2">
      <c r="A350" s="620"/>
      <c r="B350" s="1091"/>
      <c r="C350" s="456"/>
      <c r="D350" s="1079" t="s">
        <v>687</v>
      </c>
      <c r="E350" s="1099"/>
      <c r="F350" s="1099"/>
      <c r="G350" s="1099"/>
      <c r="H350" s="1099"/>
      <c r="I350" s="1099"/>
      <c r="J350" s="1081">
        <v>618</v>
      </c>
      <c r="K350" s="1081">
        <v>639.63</v>
      </c>
      <c r="L350" s="1081">
        <v>658.82</v>
      </c>
      <c r="M350" s="1081">
        <v>678.58</v>
      </c>
      <c r="N350" s="1081">
        <v>698.94</v>
      </c>
      <c r="O350" s="1081">
        <v>768.84</v>
      </c>
      <c r="P350" s="1081">
        <v>791.9</v>
      </c>
      <c r="Q350" s="1081">
        <v>815.66</v>
      </c>
      <c r="R350" s="76"/>
      <c r="S350" s="3"/>
      <c r="T350" s="3"/>
      <c r="U350" s="3"/>
      <c r="V350" s="1035"/>
      <c r="W350" s="3"/>
      <c r="X350" s="1043">
        <f t="shared" ref="X350:AD353" si="216">IF(K350="",".",K350-J350)</f>
        <v>21.629999999999995</v>
      </c>
      <c r="Y350" s="1044">
        <f t="shared" si="216"/>
        <v>19.190000000000055</v>
      </c>
      <c r="Z350" s="1044">
        <f t="shared" si="216"/>
        <v>19.759999999999991</v>
      </c>
      <c r="AA350" s="1044">
        <f t="shared" si="216"/>
        <v>20.360000000000014</v>
      </c>
      <c r="AB350" s="1044">
        <f t="shared" si="216"/>
        <v>69.899999999999977</v>
      </c>
      <c r="AC350" s="1044">
        <f t="shared" si="216"/>
        <v>23.059999999999945</v>
      </c>
      <c r="AD350" s="1045">
        <f t="shared" si="216"/>
        <v>23.759999999999991</v>
      </c>
      <c r="AE350" s="3"/>
      <c r="AF350" s="1145">
        <f t="shared" ref="AF350:AL353" si="217">IFERROR(K350/J350-1,".")</f>
        <v>3.499999999999992E-2</v>
      </c>
      <c r="AG350" s="1146">
        <f t="shared" si="217"/>
        <v>3.0001719744227273E-2</v>
      </c>
      <c r="AH350" s="1146">
        <f t="shared" si="217"/>
        <v>2.9993017819738288E-2</v>
      </c>
      <c r="AI350" s="1146">
        <f t="shared" si="217"/>
        <v>3.0003831530549085E-2</v>
      </c>
      <c r="AJ350" s="1146">
        <f t="shared" si="217"/>
        <v>0.10000858442784777</v>
      </c>
      <c r="AK350" s="1146">
        <f t="shared" si="217"/>
        <v>2.999323656417463E-2</v>
      </c>
      <c r="AL350" s="1147">
        <f t="shared" si="217"/>
        <v>3.0003788357115813E-2</v>
      </c>
      <c r="AM350" s="3"/>
      <c r="AN350" s="1043">
        <f>IF(X350=".",".",SUM($X350:X350))</f>
        <v>21.629999999999995</v>
      </c>
      <c r="AO350" s="1044">
        <f>IF(Y350=".",".",SUM($X350:Y350))</f>
        <v>40.82000000000005</v>
      </c>
      <c r="AP350" s="1044">
        <f>IF(Z350=".",".",SUM($X350:Z350))</f>
        <v>60.580000000000041</v>
      </c>
      <c r="AQ350" s="1044">
        <f>IF(AA350=".",".",SUM($X350:AA350))</f>
        <v>80.940000000000055</v>
      </c>
      <c r="AR350" s="1044">
        <f>IF(AB350=".",".",SUM($X350:AB350))</f>
        <v>150.84000000000003</v>
      </c>
      <c r="AS350" s="1044">
        <f>IF(AC350=".",".",SUM($X350:AC350))</f>
        <v>173.89999999999998</v>
      </c>
      <c r="AT350" s="1045">
        <f>IF(AD350=".",".",SUM($X350:AD350))</f>
        <v>197.65999999999997</v>
      </c>
      <c r="AU350" s="3"/>
      <c r="AV350" s="1145">
        <f t="shared" ref="AV350:BB353" si="218">IFERROR(K350/$J350-1,".")</f>
        <v>3.499999999999992E-2</v>
      </c>
      <c r="AW350" s="1146">
        <f t="shared" si="218"/>
        <v>6.6051779935275112E-2</v>
      </c>
      <c r="AX350" s="1146">
        <f t="shared" si="218"/>
        <v>9.8025889967637614E-2</v>
      </c>
      <c r="AY350" s="1146">
        <f t="shared" si="218"/>
        <v>0.13097087378640793</v>
      </c>
      <c r="AZ350" s="1146">
        <f t="shared" si="218"/>
        <v>0.24407766990291258</v>
      </c>
      <c r="BA350" s="1146">
        <f t="shared" si="218"/>
        <v>0.28139158576051782</v>
      </c>
      <c r="BB350" s="1147">
        <f t="shared" si="218"/>
        <v>0.31983818770226535</v>
      </c>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row>
    <row r="351" spans="1:97" x14ac:dyDescent="0.2">
      <c r="A351" s="620"/>
      <c r="B351" s="1091"/>
      <c r="C351" s="456"/>
      <c r="D351" s="1022" t="s">
        <v>687</v>
      </c>
      <c r="E351" s="1100"/>
      <c r="F351" s="1100"/>
      <c r="G351" s="1100"/>
      <c r="H351" s="1100"/>
      <c r="I351" s="1100"/>
      <c r="J351" s="1012"/>
      <c r="K351" s="1012"/>
      <c r="L351" s="1012"/>
      <c r="M351" s="1012"/>
      <c r="N351" s="1012"/>
      <c r="O351" s="1012"/>
      <c r="P351" s="1012"/>
      <c r="Q351" s="1012"/>
      <c r="R351" s="76"/>
      <c r="S351" s="3"/>
      <c r="T351" s="3"/>
      <c r="U351" s="3"/>
      <c r="V351" s="1035"/>
      <c r="W351" s="3"/>
      <c r="X351" s="1043" t="str">
        <f t="shared" si="216"/>
        <v>.</v>
      </c>
      <c r="Y351" s="1044" t="str">
        <f t="shared" si="216"/>
        <v>.</v>
      </c>
      <c r="Z351" s="1044" t="str">
        <f t="shared" si="216"/>
        <v>.</v>
      </c>
      <c r="AA351" s="1044" t="str">
        <f t="shared" si="216"/>
        <v>.</v>
      </c>
      <c r="AB351" s="1044" t="str">
        <f t="shared" si="216"/>
        <v>.</v>
      </c>
      <c r="AC351" s="1044" t="str">
        <f t="shared" si="216"/>
        <v>.</v>
      </c>
      <c r="AD351" s="1045" t="str">
        <f t="shared" si="216"/>
        <v>.</v>
      </c>
      <c r="AE351" s="3"/>
      <c r="AF351" s="1145" t="str">
        <f t="shared" si="217"/>
        <v>.</v>
      </c>
      <c r="AG351" s="1146" t="str">
        <f t="shared" si="217"/>
        <v>.</v>
      </c>
      <c r="AH351" s="1146" t="str">
        <f t="shared" si="217"/>
        <v>.</v>
      </c>
      <c r="AI351" s="1146" t="str">
        <f t="shared" si="217"/>
        <v>.</v>
      </c>
      <c r="AJ351" s="1146" t="str">
        <f t="shared" si="217"/>
        <v>.</v>
      </c>
      <c r="AK351" s="1146" t="str">
        <f t="shared" si="217"/>
        <v>.</v>
      </c>
      <c r="AL351" s="1147" t="str">
        <f t="shared" si="217"/>
        <v>.</v>
      </c>
      <c r="AM351" s="3"/>
      <c r="AN351" s="1043" t="str">
        <f>IF(X351=".",".",SUM($X351:X351))</f>
        <v>.</v>
      </c>
      <c r="AO351" s="1044" t="str">
        <f>IF(Y351=".",".",SUM($X351:Y351))</f>
        <v>.</v>
      </c>
      <c r="AP351" s="1044" t="str">
        <f>IF(Z351=".",".",SUM($X351:Z351))</f>
        <v>.</v>
      </c>
      <c r="AQ351" s="1044" t="str">
        <f>IF(AA351=".",".",SUM($X351:AA351))</f>
        <v>.</v>
      </c>
      <c r="AR351" s="1044" t="str">
        <f>IF(AB351=".",".",SUM($X351:AB351))</f>
        <v>.</v>
      </c>
      <c r="AS351" s="1044" t="str">
        <f>IF(AC351=".",".",SUM($X351:AC351))</f>
        <v>.</v>
      </c>
      <c r="AT351" s="1045" t="str">
        <f>IF(AD351=".",".",SUM($X351:AD351))</f>
        <v>.</v>
      </c>
      <c r="AU351" s="3"/>
      <c r="AV351" s="1145" t="str">
        <f t="shared" si="218"/>
        <v>.</v>
      </c>
      <c r="AW351" s="1146" t="str">
        <f t="shared" si="218"/>
        <v>.</v>
      </c>
      <c r="AX351" s="1146" t="str">
        <f t="shared" si="218"/>
        <v>.</v>
      </c>
      <c r="AY351" s="1146" t="str">
        <f t="shared" si="218"/>
        <v>.</v>
      </c>
      <c r="AZ351" s="1146" t="str">
        <f t="shared" si="218"/>
        <v>.</v>
      </c>
      <c r="BA351" s="1146" t="str">
        <f t="shared" si="218"/>
        <v>.</v>
      </c>
      <c r="BB351" s="1147" t="str">
        <f t="shared" si="218"/>
        <v>.</v>
      </c>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row>
    <row r="352" spans="1:97" x14ac:dyDescent="0.2">
      <c r="A352" s="620"/>
      <c r="B352" s="1091"/>
      <c r="C352" s="456"/>
      <c r="D352" s="1022" t="s">
        <v>687</v>
      </c>
      <c r="E352" s="1100"/>
      <c r="F352" s="1100"/>
      <c r="G352" s="1100"/>
      <c r="H352" s="1100"/>
      <c r="I352" s="1100"/>
      <c r="J352" s="1012"/>
      <c r="K352" s="1012"/>
      <c r="L352" s="1024"/>
      <c r="M352" s="1024"/>
      <c r="N352" s="1024"/>
      <c r="O352" s="1024"/>
      <c r="P352" s="1024"/>
      <c r="Q352" s="1024"/>
      <c r="R352" s="76"/>
      <c r="S352" s="3"/>
      <c r="T352" s="3"/>
      <c r="U352" s="3"/>
      <c r="V352" s="1035"/>
      <c r="W352" s="3"/>
      <c r="X352" s="1043" t="str">
        <f t="shared" si="216"/>
        <v>.</v>
      </c>
      <c r="Y352" s="1044" t="str">
        <f t="shared" si="216"/>
        <v>.</v>
      </c>
      <c r="Z352" s="1044" t="str">
        <f t="shared" si="216"/>
        <v>.</v>
      </c>
      <c r="AA352" s="1044" t="str">
        <f t="shared" si="216"/>
        <v>.</v>
      </c>
      <c r="AB352" s="1044" t="str">
        <f t="shared" si="216"/>
        <v>.</v>
      </c>
      <c r="AC352" s="1044" t="str">
        <f t="shared" si="216"/>
        <v>.</v>
      </c>
      <c r="AD352" s="1045" t="str">
        <f t="shared" si="216"/>
        <v>.</v>
      </c>
      <c r="AE352" s="3"/>
      <c r="AF352" s="1145" t="str">
        <f t="shared" si="217"/>
        <v>.</v>
      </c>
      <c r="AG352" s="1146" t="str">
        <f t="shared" si="217"/>
        <v>.</v>
      </c>
      <c r="AH352" s="1146" t="str">
        <f t="shared" si="217"/>
        <v>.</v>
      </c>
      <c r="AI352" s="1146" t="str">
        <f t="shared" si="217"/>
        <v>.</v>
      </c>
      <c r="AJ352" s="1146" t="str">
        <f t="shared" si="217"/>
        <v>.</v>
      </c>
      <c r="AK352" s="1146" t="str">
        <f t="shared" si="217"/>
        <v>.</v>
      </c>
      <c r="AL352" s="1147" t="str">
        <f t="shared" si="217"/>
        <v>.</v>
      </c>
      <c r="AM352" s="3"/>
      <c r="AN352" s="1043" t="str">
        <f>IF(X352=".",".",SUM($X352:X352))</f>
        <v>.</v>
      </c>
      <c r="AO352" s="1044" t="str">
        <f>IF(Y352=".",".",SUM($X352:Y352))</f>
        <v>.</v>
      </c>
      <c r="AP352" s="1044" t="str">
        <f>IF(Z352=".",".",SUM($X352:Z352))</f>
        <v>.</v>
      </c>
      <c r="AQ352" s="1044" t="str">
        <f>IF(AA352=".",".",SUM($X352:AA352))</f>
        <v>.</v>
      </c>
      <c r="AR352" s="1044" t="str">
        <f>IF(AB352=".",".",SUM($X352:AB352))</f>
        <v>.</v>
      </c>
      <c r="AS352" s="1044" t="str">
        <f>IF(AC352=".",".",SUM($X352:AC352))</f>
        <v>.</v>
      </c>
      <c r="AT352" s="1045" t="str">
        <f>IF(AD352=".",".",SUM($X352:AD352))</f>
        <v>.</v>
      </c>
      <c r="AU352" s="3"/>
      <c r="AV352" s="1145" t="str">
        <f t="shared" si="218"/>
        <v>.</v>
      </c>
      <c r="AW352" s="1146" t="str">
        <f t="shared" si="218"/>
        <v>.</v>
      </c>
      <c r="AX352" s="1146" t="str">
        <f t="shared" si="218"/>
        <v>.</v>
      </c>
      <c r="AY352" s="1146" t="str">
        <f t="shared" si="218"/>
        <v>.</v>
      </c>
      <c r="AZ352" s="1146" t="str">
        <f t="shared" si="218"/>
        <v>.</v>
      </c>
      <c r="BA352" s="1146" t="str">
        <f t="shared" si="218"/>
        <v>.</v>
      </c>
      <c r="BB352" s="1147" t="str">
        <f t="shared" si="218"/>
        <v>.</v>
      </c>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row>
    <row r="353" spans="1:97" x14ac:dyDescent="0.2">
      <c r="A353" s="620"/>
      <c r="B353" s="1091"/>
      <c r="C353" s="456"/>
      <c r="D353" s="1022" t="s">
        <v>687</v>
      </c>
      <c r="E353" s="1100"/>
      <c r="F353" s="1100"/>
      <c r="G353" s="1100"/>
      <c r="H353" s="1100"/>
      <c r="I353" s="1100"/>
      <c r="J353" s="1012"/>
      <c r="K353" s="1012"/>
      <c r="L353" s="1024"/>
      <c r="M353" s="1024"/>
      <c r="N353" s="1024"/>
      <c r="O353" s="1024"/>
      <c r="P353" s="1024"/>
      <c r="Q353" s="1024"/>
      <c r="R353" s="76"/>
      <c r="S353" s="3"/>
      <c r="T353" s="3"/>
      <c r="U353" s="3"/>
      <c r="V353" s="1035"/>
      <c r="W353" s="3"/>
      <c r="X353" s="1043" t="str">
        <f t="shared" si="216"/>
        <v>.</v>
      </c>
      <c r="Y353" s="1044" t="str">
        <f t="shared" si="216"/>
        <v>.</v>
      </c>
      <c r="Z353" s="1044" t="str">
        <f t="shared" si="216"/>
        <v>.</v>
      </c>
      <c r="AA353" s="1044" t="str">
        <f t="shared" si="216"/>
        <v>.</v>
      </c>
      <c r="AB353" s="1044" t="str">
        <f t="shared" si="216"/>
        <v>.</v>
      </c>
      <c r="AC353" s="1044" t="str">
        <f t="shared" si="216"/>
        <v>.</v>
      </c>
      <c r="AD353" s="1045" t="str">
        <f t="shared" si="216"/>
        <v>.</v>
      </c>
      <c r="AE353" s="3"/>
      <c r="AF353" s="1145" t="str">
        <f t="shared" si="217"/>
        <v>.</v>
      </c>
      <c r="AG353" s="1146" t="str">
        <f t="shared" si="217"/>
        <v>.</v>
      </c>
      <c r="AH353" s="1146" t="str">
        <f t="shared" si="217"/>
        <v>.</v>
      </c>
      <c r="AI353" s="1146" t="str">
        <f t="shared" si="217"/>
        <v>.</v>
      </c>
      <c r="AJ353" s="1146" t="str">
        <f t="shared" si="217"/>
        <v>.</v>
      </c>
      <c r="AK353" s="1146" t="str">
        <f t="shared" si="217"/>
        <v>.</v>
      </c>
      <c r="AL353" s="1147" t="str">
        <f t="shared" si="217"/>
        <v>.</v>
      </c>
      <c r="AM353" s="3"/>
      <c r="AN353" s="1043" t="str">
        <f>IF(X353=".",".",SUM($X353:X353))</f>
        <v>.</v>
      </c>
      <c r="AO353" s="1044" t="str">
        <f>IF(Y353=".",".",SUM($X353:Y353))</f>
        <v>.</v>
      </c>
      <c r="AP353" s="1044" t="str">
        <f>IF(Z353=".",".",SUM($X353:Z353))</f>
        <v>.</v>
      </c>
      <c r="AQ353" s="1044" t="str">
        <f>IF(AA353=".",".",SUM($X353:AA353))</f>
        <v>.</v>
      </c>
      <c r="AR353" s="1044" t="str">
        <f>IF(AB353=".",".",SUM($X353:AB353))</f>
        <v>.</v>
      </c>
      <c r="AS353" s="1044" t="str">
        <f>IF(AC353=".",".",SUM($X353:AC353))</f>
        <v>.</v>
      </c>
      <c r="AT353" s="1045" t="str">
        <f>IF(AD353=".",".",SUM($X353:AD353))</f>
        <v>.</v>
      </c>
      <c r="AU353" s="3"/>
      <c r="AV353" s="1145" t="str">
        <f t="shared" si="218"/>
        <v>.</v>
      </c>
      <c r="AW353" s="1146" t="str">
        <f t="shared" si="218"/>
        <v>.</v>
      </c>
      <c r="AX353" s="1146" t="str">
        <f t="shared" si="218"/>
        <v>.</v>
      </c>
      <c r="AY353" s="1146" t="str">
        <f t="shared" si="218"/>
        <v>.</v>
      </c>
      <c r="AZ353" s="1146" t="str">
        <f t="shared" si="218"/>
        <v>.</v>
      </c>
      <c r="BA353" s="1146" t="str">
        <f t="shared" si="218"/>
        <v>.</v>
      </c>
      <c r="BB353" s="1147" t="str">
        <f t="shared" si="218"/>
        <v>.</v>
      </c>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row>
    <row r="354" spans="1:97" x14ac:dyDescent="0.2">
      <c r="A354" s="620"/>
      <c r="B354" s="1091"/>
      <c r="C354" s="456"/>
      <c r="D354" s="1022" t="s">
        <v>687</v>
      </c>
      <c r="E354" s="1100"/>
      <c r="F354" s="1100"/>
      <c r="G354" s="1100"/>
      <c r="H354" s="1100"/>
      <c r="I354" s="1100"/>
      <c r="J354" s="1012"/>
      <c r="K354" s="1012"/>
      <c r="L354" s="1024"/>
      <c r="M354" s="1024"/>
      <c r="N354" s="1024"/>
      <c r="O354" s="1024"/>
      <c r="P354" s="1024"/>
      <c r="Q354" s="1024"/>
      <c r="R354" s="76"/>
      <c r="S354" s="3"/>
      <c r="T354" s="3"/>
      <c r="U354" s="3"/>
      <c r="V354" s="1035"/>
      <c r="W354" s="3"/>
      <c r="X354" s="1043" t="str">
        <f t="shared" ref="X354:X375" si="219">IF(K354="",".",K354-J354)</f>
        <v>.</v>
      </c>
      <c r="Y354" s="1044" t="str">
        <f t="shared" ref="Y354:Y375" si="220">IF(L354="",".",L354-K354)</f>
        <v>.</v>
      </c>
      <c r="Z354" s="1044" t="str">
        <f t="shared" ref="Z354:Z375" si="221">IF(M354="",".",M354-L354)</f>
        <v>.</v>
      </c>
      <c r="AA354" s="1044" t="str">
        <f t="shared" ref="AA354:AA375" si="222">IF(N354="",".",N354-M354)</f>
        <v>.</v>
      </c>
      <c r="AB354" s="1044" t="str">
        <f t="shared" ref="AB354:AB375" si="223">IF(O354="",".",O354-N354)</f>
        <v>.</v>
      </c>
      <c r="AC354" s="1044" t="str">
        <f t="shared" ref="AC354:AC375" si="224">IF(P354="",".",P354-O354)</f>
        <v>.</v>
      </c>
      <c r="AD354" s="1045" t="str">
        <f t="shared" ref="AD354:AD375" si="225">IF(Q354="",".",Q354-P354)</f>
        <v>.</v>
      </c>
      <c r="AE354" s="3"/>
      <c r="AF354" s="1145" t="str">
        <f t="shared" ref="AF354:AF375" si="226">IFERROR(K354/J354-1,".")</f>
        <v>.</v>
      </c>
      <c r="AG354" s="1146" t="str">
        <f t="shared" ref="AG354:AG375" si="227">IFERROR(L354/K354-1,".")</f>
        <v>.</v>
      </c>
      <c r="AH354" s="1146" t="str">
        <f t="shared" ref="AH354:AH375" si="228">IFERROR(M354/L354-1,".")</f>
        <v>.</v>
      </c>
      <c r="AI354" s="1146" t="str">
        <f t="shared" ref="AI354:AI375" si="229">IFERROR(N354/M354-1,".")</f>
        <v>.</v>
      </c>
      <c r="AJ354" s="1146" t="str">
        <f t="shared" ref="AJ354:AJ375" si="230">IFERROR(O354/N354-1,".")</f>
        <v>.</v>
      </c>
      <c r="AK354" s="1146" t="str">
        <f t="shared" ref="AK354:AK375" si="231">IFERROR(P354/O354-1,".")</f>
        <v>.</v>
      </c>
      <c r="AL354" s="1147" t="str">
        <f t="shared" ref="AL354:AL375" si="232">IFERROR(Q354/P354-1,".")</f>
        <v>.</v>
      </c>
      <c r="AM354" s="3"/>
      <c r="AN354" s="1043" t="str">
        <f>IF(X354=".",".",SUM($X354:X354))</f>
        <v>.</v>
      </c>
      <c r="AO354" s="1044" t="str">
        <f>IF(Y354=".",".",SUM($X354:Y354))</f>
        <v>.</v>
      </c>
      <c r="AP354" s="1044" t="str">
        <f>IF(Z354=".",".",SUM($X354:Z354))</f>
        <v>.</v>
      </c>
      <c r="AQ354" s="1044" t="str">
        <f>IF(AA354=".",".",SUM($X354:AA354))</f>
        <v>.</v>
      </c>
      <c r="AR354" s="1044" t="str">
        <f>IF(AB354=".",".",SUM($X354:AB354))</f>
        <v>.</v>
      </c>
      <c r="AS354" s="1044" t="str">
        <f>IF(AC354=".",".",SUM($X354:AC354))</f>
        <v>.</v>
      </c>
      <c r="AT354" s="1045" t="str">
        <f>IF(AD354=".",".",SUM($X354:AD354))</f>
        <v>.</v>
      </c>
      <c r="AU354" s="3"/>
      <c r="AV354" s="1145" t="str">
        <f t="shared" ref="AV354:AV375" si="233">IFERROR(K354/$J354-1,".")</f>
        <v>.</v>
      </c>
      <c r="AW354" s="1146" t="str">
        <f t="shared" ref="AW354:AW375" si="234">IFERROR(L354/$J354-1,".")</f>
        <v>.</v>
      </c>
      <c r="AX354" s="1146" t="str">
        <f t="shared" ref="AX354:AX375" si="235">IFERROR(M354/$J354-1,".")</f>
        <v>.</v>
      </c>
      <c r="AY354" s="1146" t="str">
        <f t="shared" ref="AY354:AY375" si="236">IFERROR(N354/$J354-1,".")</f>
        <v>.</v>
      </c>
      <c r="AZ354" s="1146" t="str">
        <f t="shared" ref="AZ354:AZ375" si="237">IFERROR(O354/$J354-1,".")</f>
        <v>.</v>
      </c>
      <c r="BA354" s="1146" t="str">
        <f t="shared" ref="BA354:BA375" si="238">IFERROR(P354/$J354-1,".")</f>
        <v>.</v>
      </c>
      <c r="BB354" s="1147" t="str">
        <f t="shared" ref="BB354:BB375" si="239">IFERROR(Q354/$J354-1,".")</f>
        <v>.</v>
      </c>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row>
    <row r="355" spans="1:97" x14ac:dyDescent="0.2">
      <c r="A355" s="620"/>
      <c r="B355" s="1091"/>
      <c r="C355" s="456"/>
      <c r="D355" s="1022" t="s">
        <v>687</v>
      </c>
      <c r="E355" s="1100"/>
      <c r="F355" s="1100"/>
      <c r="G355" s="1100"/>
      <c r="H355" s="1100"/>
      <c r="I355" s="1100"/>
      <c r="J355" s="1012"/>
      <c r="K355" s="1012"/>
      <c r="L355" s="1024"/>
      <c r="M355" s="1024"/>
      <c r="N355" s="1024"/>
      <c r="O355" s="1024"/>
      <c r="P355" s="1024"/>
      <c r="Q355" s="1024"/>
      <c r="R355" s="76"/>
      <c r="S355" s="3"/>
      <c r="T355" s="3"/>
      <c r="U355" s="3"/>
      <c r="V355" s="1035"/>
      <c r="W355" s="3"/>
      <c r="X355" s="1043" t="str">
        <f t="shared" si="219"/>
        <v>.</v>
      </c>
      <c r="Y355" s="1044" t="str">
        <f t="shared" si="220"/>
        <v>.</v>
      </c>
      <c r="Z355" s="1044" t="str">
        <f t="shared" si="221"/>
        <v>.</v>
      </c>
      <c r="AA355" s="1044" t="str">
        <f t="shared" si="222"/>
        <v>.</v>
      </c>
      <c r="AB355" s="1044" t="str">
        <f t="shared" si="223"/>
        <v>.</v>
      </c>
      <c r="AC355" s="1044" t="str">
        <f t="shared" si="224"/>
        <v>.</v>
      </c>
      <c r="AD355" s="1045" t="str">
        <f t="shared" si="225"/>
        <v>.</v>
      </c>
      <c r="AE355" s="3"/>
      <c r="AF355" s="1145" t="str">
        <f t="shared" si="226"/>
        <v>.</v>
      </c>
      <c r="AG355" s="1146" t="str">
        <f t="shared" si="227"/>
        <v>.</v>
      </c>
      <c r="AH355" s="1146" t="str">
        <f t="shared" si="228"/>
        <v>.</v>
      </c>
      <c r="AI355" s="1146" t="str">
        <f t="shared" si="229"/>
        <v>.</v>
      </c>
      <c r="AJ355" s="1146" t="str">
        <f t="shared" si="230"/>
        <v>.</v>
      </c>
      <c r="AK355" s="1146" t="str">
        <f t="shared" si="231"/>
        <v>.</v>
      </c>
      <c r="AL355" s="1147" t="str">
        <f t="shared" si="232"/>
        <v>.</v>
      </c>
      <c r="AM355" s="3"/>
      <c r="AN355" s="1043" t="str">
        <f>IF(X355=".",".",SUM($X355:X355))</f>
        <v>.</v>
      </c>
      <c r="AO355" s="1044" t="str">
        <f>IF(Y355=".",".",SUM($X355:Y355))</f>
        <v>.</v>
      </c>
      <c r="AP355" s="1044" t="str">
        <f>IF(Z355=".",".",SUM($X355:Z355))</f>
        <v>.</v>
      </c>
      <c r="AQ355" s="1044" t="str">
        <f>IF(AA355=".",".",SUM($X355:AA355))</f>
        <v>.</v>
      </c>
      <c r="AR355" s="1044" t="str">
        <f>IF(AB355=".",".",SUM($X355:AB355))</f>
        <v>.</v>
      </c>
      <c r="AS355" s="1044" t="str">
        <f>IF(AC355=".",".",SUM($X355:AC355))</f>
        <v>.</v>
      </c>
      <c r="AT355" s="1045" t="str">
        <f>IF(AD355=".",".",SUM($X355:AD355))</f>
        <v>.</v>
      </c>
      <c r="AU355" s="3"/>
      <c r="AV355" s="1145" t="str">
        <f t="shared" si="233"/>
        <v>.</v>
      </c>
      <c r="AW355" s="1146" t="str">
        <f t="shared" si="234"/>
        <v>.</v>
      </c>
      <c r="AX355" s="1146" t="str">
        <f t="shared" si="235"/>
        <v>.</v>
      </c>
      <c r="AY355" s="1146" t="str">
        <f t="shared" si="236"/>
        <v>.</v>
      </c>
      <c r="AZ355" s="1146" t="str">
        <f t="shared" si="237"/>
        <v>.</v>
      </c>
      <c r="BA355" s="1146" t="str">
        <f t="shared" si="238"/>
        <v>.</v>
      </c>
      <c r="BB355" s="1147" t="str">
        <f t="shared" si="239"/>
        <v>.</v>
      </c>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row>
    <row r="356" spans="1:97" x14ac:dyDescent="0.2">
      <c r="A356" s="620"/>
      <c r="B356" s="1091"/>
      <c r="C356" s="456"/>
      <c r="D356" s="1022" t="s">
        <v>687</v>
      </c>
      <c r="E356" s="1100"/>
      <c r="F356" s="1100"/>
      <c r="G356" s="1100"/>
      <c r="H356" s="1100"/>
      <c r="I356" s="1100"/>
      <c r="J356" s="1012"/>
      <c r="K356" s="1012"/>
      <c r="L356" s="1024"/>
      <c r="M356" s="1024"/>
      <c r="N356" s="1024"/>
      <c r="O356" s="1024"/>
      <c r="P356" s="1024"/>
      <c r="Q356" s="1024"/>
      <c r="R356" s="76"/>
      <c r="S356" s="3"/>
      <c r="T356" s="3"/>
      <c r="U356" s="3"/>
      <c r="V356" s="1035"/>
      <c r="W356" s="3"/>
      <c r="X356" s="1043" t="str">
        <f t="shared" si="219"/>
        <v>.</v>
      </c>
      <c r="Y356" s="1044" t="str">
        <f t="shared" si="220"/>
        <v>.</v>
      </c>
      <c r="Z356" s="1044" t="str">
        <f t="shared" si="221"/>
        <v>.</v>
      </c>
      <c r="AA356" s="1044" t="str">
        <f t="shared" si="222"/>
        <v>.</v>
      </c>
      <c r="AB356" s="1044" t="str">
        <f t="shared" si="223"/>
        <v>.</v>
      </c>
      <c r="AC356" s="1044" t="str">
        <f t="shared" si="224"/>
        <v>.</v>
      </c>
      <c r="AD356" s="1045" t="str">
        <f t="shared" si="225"/>
        <v>.</v>
      </c>
      <c r="AE356" s="3"/>
      <c r="AF356" s="1145" t="str">
        <f t="shared" si="226"/>
        <v>.</v>
      </c>
      <c r="AG356" s="1146" t="str">
        <f t="shared" si="227"/>
        <v>.</v>
      </c>
      <c r="AH356" s="1146" t="str">
        <f t="shared" si="228"/>
        <v>.</v>
      </c>
      <c r="AI356" s="1146" t="str">
        <f t="shared" si="229"/>
        <v>.</v>
      </c>
      <c r="AJ356" s="1146" t="str">
        <f t="shared" si="230"/>
        <v>.</v>
      </c>
      <c r="AK356" s="1146" t="str">
        <f t="shared" si="231"/>
        <v>.</v>
      </c>
      <c r="AL356" s="1147" t="str">
        <f t="shared" si="232"/>
        <v>.</v>
      </c>
      <c r="AM356" s="3"/>
      <c r="AN356" s="1043" t="str">
        <f>IF(X356=".",".",SUM($X356:X356))</f>
        <v>.</v>
      </c>
      <c r="AO356" s="1044" t="str">
        <f>IF(Y356=".",".",SUM($X356:Y356))</f>
        <v>.</v>
      </c>
      <c r="AP356" s="1044" t="str">
        <f>IF(Z356=".",".",SUM($X356:Z356))</f>
        <v>.</v>
      </c>
      <c r="AQ356" s="1044" t="str">
        <f>IF(AA356=".",".",SUM($X356:AA356))</f>
        <v>.</v>
      </c>
      <c r="AR356" s="1044" t="str">
        <f>IF(AB356=".",".",SUM($X356:AB356))</f>
        <v>.</v>
      </c>
      <c r="AS356" s="1044" t="str">
        <f>IF(AC356=".",".",SUM($X356:AC356))</f>
        <v>.</v>
      </c>
      <c r="AT356" s="1045" t="str">
        <f>IF(AD356=".",".",SUM($X356:AD356))</f>
        <v>.</v>
      </c>
      <c r="AU356" s="3"/>
      <c r="AV356" s="1145" t="str">
        <f t="shared" si="233"/>
        <v>.</v>
      </c>
      <c r="AW356" s="1146" t="str">
        <f t="shared" si="234"/>
        <v>.</v>
      </c>
      <c r="AX356" s="1146" t="str">
        <f t="shared" si="235"/>
        <v>.</v>
      </c>
      <c r="AY356" s="1146" t="str">
        <f t="shared" si="236"/>
        <v>.</v>
      </c>
      <c r="AZ356" s="1146" t="str">
        <f t="shared" si="237"/>
        <v>.</v>
      </c>
      <c r="BA356" s="1146" t="str">
        <f t="shared" si="238"/>
        <v>.</v>
      </c>
      <c r="BB356" s="1147" t="str">
        <f t="shared" si="239"/>
        <v>.</v>
      </c>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row>
    <row r="357" spans="1:97" x14ac:dyDescent="0.2">
      <c r="A357" s="620"/>
      <c r="B357" s="1091"/>
      <c r="C357" s="456"/>
      <c r="D357" s="1022" t="s">
        <v>687</v>
      </c>
      <c r="E357" s="1100"/>
      <c r="F357" s="1100"/>
      <c r="G357" s="1100"/>
      <c r="H357" s="1100"/>
      <c r="I357" s="1100"/>
      <c r="J357" s="1012"/>
      <c r="K357" s="1012"/>
      <c r="L357" s="1024"/>
      <c r="M357" s="1024"/>
      <c r="N357" s="1024"/>
      <c r="O357" s="1024"/>
      <c r="P357" s="1024"/>
      <c r="Q357" s="1024"/>
      <c r="R357" s="76"/>
      <c r="S357" s="3"/>
      <c r="T357" s="3"/>
      <c r="U357" s="3"/>
      <c r="V357" s="1035"/>
      <c r="W357" s="3"/>
      <c r="X357" s="1043" t="str">
        <f t="shared" si="219"/>
        <v>.</v>
      </c>
      <c r="Y357" s="1044" t="str">
        <f t="shared" si="220"/>
        <v>.</v>
      </c>
      <c r="Z357" s="1044" t="str">
        <f t="shared" si="221"/>
        <v>.</v>
      </c>
      <c r="AA357" s="1044" t="str">
        <f t="shared" si="222"/>
        <v>.</v>
      </c>
      <c r="AB357" s="1044" t="str">
        <f t="shared" si="223"/>
        <v>.</v>
      </c>
      <c r="AC357" s="1044" t="str">
        <f t="shared" si="224"/>
        <v>.</v>
      </c>
      <c r="AD357" s="1045" t="str">
        <f t="shared" si="225"/>
        <v>.</v>
      </c>
      <c r="AE357" s="3"/>
      <c r="AF357" s="1145" t="str">
        <f t="shared" si="226"/>
        <v>.</v>
      </c>
      <c r="AG357" s="1146" t="str">
        <f t="shared" si="227"/>
        <v>.</v>
      </c>
      <c r="AH357" s="1146" t="str">
        <f t="shared" si="228"/>
        <v>.</v>
      </c>
      <c r="AI357" s="1146" t="str">
        <f t="shared" si="229"/>
        <v>.</v>
      </c>
      <c r="AJ357" s="1146" t="str">
        <f t="shared" si="230"/>
        <v>.</v>
      </c>
      <c r="AK357" s="1146" t="str">
        <f t="shared" si="231"/>
        <v>.</v>
      </c>
      <c r="AL357" s="1147" t="str">
        <f t="shared" si="232"/>
        <v>.</v>
      </c>
      <c r="AM357" s="3"/>
      <c r="AN357" s="1043" t="str">
        <f>IF(X357=".",".",SUM($X357:X357))</f>
        <v>.</v>
      </c>
      <c r="AO357" s="1044" t="str">
        <f>IF(Y357=".",".",SUM($X357:Y357))</f>
        <v>.</v>
      </c>
      <c r="AP357" s="1044" t="str">
        <f>IF(Z357=".",".",SUM($X357:Z357))</f>
        <v>.</v>
      </c>
      <c r="AQ357" s="1044" t="str">
        <f>IF(AA357=".",".",SUM($X357:AA357))</f>
        <v>.</v>
      </c>
      <c r="AR357" s="1044" t="str">
        <f>IF(AB357=".",".",SUM($X357:AB357))</f>
        <v>.</v>
      </c>
      <c r="AS357" s="1044" t="str">
        <f>IF(AC357=".",".",SUM($X357:AC357))</f>
        <v>.</v>
      </c>
      <c r="AT357" s="1045" t="str">
        <f>IF(AD357=".",".",SUM($X357:AD357))</f>
        <v>.</v>
      </c>
      <c r="AU357" s="3"/>
      <c r="AV357" s="1145" t="str">
        <f t="shared" si="233"/>
        <v>.</v>
      </c>
      <c r="AW357" s="1146" t="str">
        <f t="shared" si="234"/>
        <v>.</v>
      </c>
      <c r="AX357" s="1146" t="str">
        <f t="shared" si="235"/>
        <v>.</v>
      </c>
      <c r="AY357" s="1146" t="str">
        <f t="shared" si="236"/>
        <v>.</v>
      </c>
      <c r="AZ357" s="1146" t="str">
        <f t="shared" si="237"/>
        <v>.</v>
      </c>
      <c r="BA357" s="1146" t="str">
        <f t="shared" si="238"/>
        <v>.</v>
      </c>
      <c r="BB357" s="1147" t="str">
        <f t="shared" si="239"/>
        <v>.</v>
      </c>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row>
    <row r="358" spans="1:97" x14ac:dyDescent="0.2">
      <c r="A358" s="620"/>
      <c r="B358" s="1091"/>
      <c r="C358" s="456"/>
      <c r="D358" s="1022" t="s">
        <v>687</v>
      </c>
      <c r="E358" s="1100"/>
      <c r="F358" s="1100"/>
      <c r="G358" s="1100"/>
      <c r="H358" s="1100"/>
      <c r="I358" s="1100"/>
      <c r="J358" s="1012"/>
      <c r="K358" s="1012"/>
      <c r="L358" s="1024"/>
      <c r="M358" s="1024"/>
      <c r="N358" s="1024"/>
      <c r="O358" s="1024"/>
      <c r="P358" s="1024"/>
      <c r="Q358" s="1024"/>
      <c r="R358" s="76"/>
      <c r="S358" s="3"/>
      <c r="T358" s="3"/>
      <c r="U358" s="3"/>
      <c r="V358" s="1035"/>
      <c r="W358" s="3"/>
      <c r="X358" s="1043" t="str">
        <f t="shared" si="219"/>
        <v>.</v>
      </c>
      <c r="Y358" s="1044" t="str">
        <f t="shared" si="220"/>
        <v>.</v>
      </c>
      <c r="Z358" s="1044" t="str">
        <f t="shared" si="221"/>
        <v>.</v>
      </c>
      <c r="AA358" s="1044" t="str">
        <f t="shared" si="222"/>
        <v>.</v>
      </c>
      <c r="AB358" s="1044" t="str">
        <f t="shared" si="223"/>
        <v>.</v>
      </c>
      <c r="AC358" s="1044" t="str">
        <f t="shared" si="224"/>
        <v>.</v>
      </c>
      <c r="AD358" s="1045" t="str">
        <f t="shared" si="225"/>
        <v>.</v>
      </c>
      <c r="AE358" s="3"/>
      <c r="AF358" s="1145" t="str">
        <f t="shared" si="226"/>
        <v>.</v>
      </c>
      <c r="AG358" s="1146" t="str">
        <f t="shared" si="227"/>
        <v>.</v>
      </c>
      <c r="AH358" s="1146" t="str">
        <f t="shared" si="228"/>
        <v>.</v>
      </c>
      <c r="AI358" s="1146" t="str">
        <f t="shared" si="229"/>
        <v>.</v>
      </c>
      <c r="AJ358" s="1146" t="str">
        <f t="shared" si="230"/>
        <v>.</v>
      </c>
      <c r="AK358" s="1146" t="str">
        <f t="shared" si="231"/>
        <v>.</v>
      </c>
      <c r="AL358" s="1147" t="str">
        <f t="shared" si="232"/>
        <v>.</v>
      </c>
      <c r="AM358" s="3"/>
      <c r="AN358" s="1043" t="str">
        <f>IF(X358=".",".",SUM($X358:X358))</f>
        <v>.</v>
      </c>
      <c r="AO358" s="1044" t="str">
        <f>IF(Y358=".",".",SUM($X358:Y358))</f>
        <v>.</v>
      </c>
      <c r="AP358" s="1044" t="str">
        <f>IF(Z358=".",".",SUM($X358:Z358))</f>
        <v>.</v>
      </c>
      <c r="AQ358" s="1044" t="str">
        <f>IF(AA358=".",".",SUM($X358:AA358))</f>
        <v>.</v>
      </c>
      <c r="AR358" s="1044" t="str">
        <f>IF(AB358=".",".",SUM($X358:AB358))</f>
        <v>.</v>
      </c>
      <c r="AS358" s="1044" t="str">
        <f>IF(AC358=".",".",SUM($X358:AC358))</f>
        <v>.</v>
      </c>
      <c r="AT358" s="1045" t="str">
        <f>IF(AD358=".",".",SUM($X358:AD358))</f>
        <v>.</v>
      </c>
      <c r="AU358" s="3"/>
      <c r="AV358" s="1145" t="str">
        <f t="shared" si="233"/>
        <v>.</v>
      </c>
      <c r="AW358" s="1146" t="str">
        <f t="shared" si="234"/>
        <v>.</v>
      </c>
      <c r="AX358" s="1146" t="str">
        <f t="shared" si="235"/>
        <v>.</v>
      </c>
      <c r="AY358" s="1146" t="str">
        <f t="shared" si="236"/>
        <v>.</v>
      </c>
      <c r="AZ358" s="1146" t="str">
        <f t="shared" si="237"/>
        <v>.</v>
      </c>
      <c r="BA358" s="1146" t="str">
        <f t="shared" si="238"/>
        <v>.</v>
      </c>
      <c r="BB358" s="1147" t="str">
        <f t="shared" si="239"/>
        <v>.</v>
      </c>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row>
    <row r="359" spans="1:97" x14ac:dyDescent="0.2">
      <c r="A359" s="620"/>
      <c r="B359" s="1091"/>
      <c r="C359" s="456"/>
      <c r="D359" s="1022" t="s">
        <v>687</v>
      </c>
      <c r="E359" s="1100"/>
      <c r="F359" s="1100"/>
      <c r="G359" s="1100"/>
      <c r="H359" s="1100"/>
      <c r="I359" s="1100"/>
      <c r="J359" s="1012"/>
      <c r="K359" s="1012"/>
      <c r="L359" s="1024"/>
      <c r="M359" s="1024"/>
      <c r="N359" s="1024"/>
      <c r="O359" s="1024"/>
      <c r="P359" s="1024"/>
      <c r="Q359" s="1024"/>
      <c r="R359" s="76"/>
      <c r="S359" s="3"/>
      <c r="T359" s="3"/>
      <c r="U359" s="3"/>
      <c r="V359" s="1035"/>
      <c r="W359" s="3"/>
      <c r="X359" s="1043" t="str">
        <f t="shared" si="219"/>
        <v>.</v>
      </c>
      <c r="Y359" s="1044" t="str">
        <f t="shared" si="220"/>
        <v>.</v>
      </c>
      <c r="Z359" s="1044" t="str">
        <f t="shared" si="221"/>
        <v>.</v>
      </c>
      <c r="AA359" s="1044" t="str">
        <f t="shared" si="222"/>
        <v>.</v>
      </c>
      <c r="AB359" s="1044" t="str">
        <f t="shared" si="223"/>
        <v>.</v>
      </c>
      <c r="AC359" s="1044" t="str">
        <f t="shared" si="224"/>
        <v>.</v>
      </c>
      <c r="AD359" s="1045" t="str">
        <f t="shared" si="225"/>
        <v>.</v>
      </c>
      <c r="AE359" s="3"/>
      <c r="AF359" s="1145" t="str">
        <f t="shared" si="226"/>
        <v>.</v>
      </c>
      <c r="AG359" s="1146" t="str">
        <f t="shared" si="227"/>
        <v>.</v>
      </c>
      <c r="AH359" s="1146" t="str">
        <f t="shared" si="228"/>
        <v>.</v>
      </c>
      <c r="AI359" s="1146" t="str">
        <f t="shared" si="229"/>
        <v>.</v>
      </c>
      <c r="AJ359" s="1146" t="str">
        <f t="shared" si="230"/>
        <v>.</v>
      </c>
      <c r="AK359" s="1146" t="str">
        <f t="shared" si="231"/>
        <v>.</v>
      </c>
      <c r="AL359" s="1147" t="str">
        <f t="shared" si="232"/>
        <v>.</v>
      </c>
      <c r="AM359" s="3"/>
      <c r="AN359" s="1043" t="str">
        <f>IF(X359=".",".",SUM($X359:X359))</f>
        <v>.</v>
      </c>
      <c r="AO359" s="1044" t="str">
        <f>IF(Y359=".",".",SUM($X359:Y359))</f>
        <v>.</v>
      </c>
      <c r="AP359" s="1044" t="str">
        <f>IF(Z359=".",".",SUM($X359:Z359))</f>
        <v>.</v>
      </c>
      <c r="AQ359" s="1044" t="str">
        <f>IF(AA359=".",".",SUM($X359:AA359))</f>
        <v>.</v>
      </c>
      <c r="AR359" s="1044" t="str">
        <f>IF(AB359=".",".",SUM($X359:AB359))</f>
        <v>.</v>
      </c>
      <c r="AS359" s="1044" t="str">
        <f>IF(AC359=".",".",SUM($X359:AC359))</f>
        <v>.</v>
      </c>
      <c r="AT359" s="1045" t="str">
        <f>IF(AD359=".",".",SUM($X359:AD359))</f>
        <v>.</v>
      </c>
      <c r="AU359" s="3"/>
      <c r="AV359" s="1145" t="str">
        <f t="shared" si="233"/>
        <v>.</v>
      </c>
      <c r="AW359" s="1146" t="str">
        <f t="shared" si="234"/>
        <v>.</v>
      </c>
      <c r="AX359" s="1146" t="str">
        <f t="shared" si="235"/>
        <v>.</v>
      </c>
      <c r="AY359" s="1146" t="str">
        <f t="shared" si="236"/>
        <v>.</v>
      </c>
      <c r="AZ359" s="1146" t="str">
        <f t="shared" si="237"/>
        <v>.</v>
      </c>
      <c r="BA359" s="1146" t="str">
        <f t="shared" si="238"/>
        <v>.</v>
      </c>
      <c r="BB359" s="1147" t="str">
        <f t="shared" si="239"/>
        <v>.</v>
      </c>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row>
    <row r="360" spans="1:97" x14ac:dyDescent="0.2">
      <c r="A360" s="620"/>
      <c r="B360" s="1091"/>
      <c r="C360" s="456"/>
      <c r="D360" s="1022" t="s">
        <v>687</v>
      </c>
      <c r="E360" s="1100"/>
      <c r="F360" s="1100"/>
      <c r="G360" s="1100"/>
      <c r="H360" s="1100"/>
      <c r="I360" s="1100"/>
      <c r="J360" s="1012"/>
      <c r="K360" s="1012"/>
      <c r="L360" s="1024"/>
      <c r="M360" s="1024"/>
      <c r="N360" s="1024"/>
      <c r="O360" s="1024"/>
      <c r="P360" s="1024"/>
      <c r="Q360" s="1024"/>
      <c r="R360" s="76"/>
      <c r="S360" s="3"/>
      <c r="T360" s="3"/>
      <c r="U360" s="3"/>
      <c r="V360" s="1035"/>
      <c r="W360" s="3"/>
      <c r="X360" s="1043" t="str">
        <f t="shared" si="219"/>
        <v>.</v>
      </c>
      <c r="Y360" s="1044" t="str">
        <f t="shared" si="220"/>
        <v>.</v>
      </c>
      <c r="Z360" s="1044" t="str">
        <f t="shared" si="221"/>
        <v>.</v>
      </c>
      <c r="AA360" s="1044" t="str">
        <f t="shared" si="222"/>
        <v>.</v>
      </c>
      <c r="AB360" s="1044" t="str">
        <f t="shared" si="223"/>
        <v>.</v>
      </c>
      <c r="AC360" s="1044" t="str">
        <f t="shared" si="224"/>
        <v>.</v>
      </c>
      <c r="AD360" s="1045" t="str">
        <f t="shared" si="225"/>
        <v>.</v>
      </c>
      <c r="AE360" s="3"/>
      <c r="AF360" s="1145" t="str">
        <f t="shared" si="226"/>
        <v>.</v>
      </c>
      <c r="AG360" s="1146" t="str">
        <f t="shared" si="227"/>
        <v>.</v>
      </c>
      <c r="AH360" s="1146" t="str">
        <f t="shared" si="228"/>
        <v>.</v>
      </c>
      <c r="AI360" s="1146" t="str">
        <f t="shared" si="229"/>
        <v>.</v>
      </c>
      <c r="AJ360" s="1146" t="str">
        <f t="shared" si="230"/>
        <v>.</v>
      </c>
      <c r="AK360" s="1146" t="str">
        <f t="shared" si="231"/>
        <v>.</v>
      </c>
      <c r="AL360" s="1147" t="str">
        <f t="shared" si="232"/>
        <v>.</v>
      </c>
      <c r="AM360" s="3"/>
      <c r="AN360" s="1043" t="str">
        <f>IF(X360=".",".",SUM($X360:X360))</f>
        <v>.</v>
      </c>
      <c r="AO360" s="1044" t="str">
        <f>IF(Y360=".",".",SUM($X360:Y360))</f>
        <v>.</v>
      </c>
      <c r="AP360" s="1044" t="str">
        <f>IF(Z360=".",".",SUM($X360:Z360))</f>
        <v>.</v>
      </c>
      <c r="AQ360" s="1044" t="str">
        <f>IF(AA360=".",".",SUM($X360:AA360))</f>
        <v>.</v>
      </c>
      <c r="AR360" s="1044" t="str">
        <f>IF(AB360=".",".",SUM($X360:AB360))</f>
        <v>.</v>
      </c>
      <c r="AS360" s="1044" t="str">
        <f>IF(AC360=".",".",SUM($X360:AC360))</f>
        <v>.</v>
      </c>
      <c r="AT360" s="1045" t="str">
        <f>IF(AD360=".",".",SUM($X360:AD360))</f>
        <v>.</v>
      </c>
      <c r="AU360" s="3"/>
      <c r="AV360" s="1145" t="str">
        <f t="shared" si="233"/>
        <v>.</v>
      </c>
      <c r="AW360" s="1146" t="str">
        <f t="shared" si="234"/>
        <v>.</v>
      </c>
      <c r="AX360" s="1146" t="str">
        <f t="shared" si="235"/>
        <v>.</v>
      </c>
      <c r="AY360" s="1146" t="str">
        <f t="shared" si="236"/>
        <v>.</v>
      </c>
      <c r="AZ360" s="1146" t="str">
        <f t="shared" si="237"/>
        <v>.</v>
      </c>
      <c r="BA360" s="1146" t="str">
        <f t="shared" si="238"/>
        <v>.</v>
      </c>
      <c r="BB360" s="1147" t="str">
        <f t="shared" si="239"/>
        <v>.</v>
      </c>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row>
    <row r="361" spans="1:97" x14ac:dyDescent="0.2">
      <c r="A361" s="620"/>
      <c r="B361" s="1091"/>
      <c r="C361" s="456"/>
      <c r="D361" s="1022" t="s">
        <v>687</v>
      </c>
      <c r="E361" s="1100"/>
      <c r="F361" s="1100"/>
      <c r="G361" s="1100"/>
      <c r="H361" s="1100"/>
      <c r="I361" s="1100"/>
      <c r="J361" s="1012"/>
      <c r="K361" s="1012"/>
      <c r="L361" s="1024"/>
      <c r="M361" s="1024"/>
      <c r="N361" s="1024"/>
      <c r="O361" s="1024"/>
      <c r="P361" s="1024"/>
      <c r="Q361" s="1024"/>
      <c r="R361" s="76"/>
      <c r="S361" s="3"/>
      <c r="T361" s="3"/>
      <c r="U361" s="3"/>
      <c r="V361" s="1035"/>
      <c r="W361" s="3"/>
      <c r="X361" s="1043" t="str">
        <f t="shared" si="219"/>
        <v>.</v>
      </c>
      <c r="Y361" s="1044" t="str">
        <f t="shared" si="220"/>
        <v>.</v>
      </c>
      <c r="Z361" s="1044" t="str">
        <f t="shared" si="221"/>
        <v>.</v>
      </c>
      <c r="AA361" s="1044" t="str">
        <f t="shared" si="222"/>
        <v>.</v>
      </c>
      <c r="AB361" s="1044" t="str">
        <f t="shared" si="223"/>
        <v>.</v>
      </c>
      <c r="AC361" s="1044" t="str">
        <f t="shared" si="224"/>
        <v>.</v>
      </c>
      <c r="AD361" s="1045" t="str">
        <f t="shared" si="225"/>
        <v>.</v>
      </c>
      <c r="AE361" s="3"/>
      <c r="AF361" s="1145" t="str">
        <f t="shared" si="226"/>
        <v>.</v>
      </c>
      <c r="AG361" s="1146" t="str">
        <f t="shared" si="227"/>
        <v>.</v>
      </c>
      <c r="AH361" s="1146" t="str">
        <f t="shared" si="228"/>
        <v>.</v>
      </c>
      <c r="AI361" s="1146" t="str">
        <f t="shared" si="229"/>
        <v>.</v>
      </c>
      <c r="AJ361" s="1146" t="str">
        <f t="shared" si="230"/>
        <v>.</v>
      </c>
      <c r="AK361" s="1146" t="str">
        <f t="shared" si="231"/>
        <v>.</v>
      </c>
      <c r="AL361" s="1147" t="str">
        <f t="shared" si="232"/>
        <v>.</v>
      </c>
      <c r="AM361" s="3"/>
      <c r="AN361" s="1043" t="str">
        <f>IF(X361=".",".",SUM($X361:X361))</f>
        <v>.</v>
      </c>
      <c r="AO361" s="1044" t="str">
        <f>IF(Y361=".",".",SUM($X361:Y361))</f>
        <v>.</v>
      </c>
      <c r="AP361" s="1044" t="str">
        <f>IF(Z361=".",".",SUM($X361:Z361))</f>
        <v>.</v>
      </c>
      <c r="AQ361" s="1044" t="str">
        <f>IF(AA361=".",".",SUM($X361:AA361))</f>
        <v>.</v>
      </c>
      <c r="AR361" s="1044" t="str">
        <f>IF(AB361=".",".",SUM($X361:AB361))</f>
        <v>.</v>
      </c>
      <c r="AS361" s="1044" t="str">
        <f>IF(AC361=".",".",SUM($X361:AC361))</f>
        <v>.</v>
      </c>
      <c r="AT361" s="1045" t="str">
        <f>IF(AD361=".",".",SUM($X361:AD361))</f>
        <v>.</v>
      </c>
      <c r="AU361" s="3"/>
      <c r="AV361" s="1145" t="str">
        <f t="shared" si="233"/>
        <v>.</v>
      </c>
      <c r="AW361" s="1146" t="str">
        <f t="shared" si="234"/>
        <v>.</v>
      </c>
      <c r="AX361" s="1146" t="str">
        <f t="shared" si="235"/>
        <v>.</v>
      </c>
      <c r="AY361" s="1146" t="str">
        <f t="shared" si="236"/>
        <v>.</v>
      </c>
      <c r="AZ361" s="1146" t="str">
        <f t="shared" si="237"/>
        <v>.</v>
      </c>
      <c r="BA361" s="1146" t="str">
        <f t="shared" si="238"/>
        <v>.</v>
      </c>
      <c r="BB361" s="1147" t="str">
        <f t="shared" si="239"/>
        <v>.</v>
      </c>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row>
    <row r="362" spans="1:97" x14ac:dyDescent="0.2">
      <c r="A362" s="620"/>
      <c r="B362" s="1091"/>
      <c r="C362" s="456"/>
      <c r="D362" s="1022" t="s">
        <v>687</v>
      </c>
      <c r="E362" s="1100"/>
      <c r="F362" s="1100"/>
      <c r="G362" s="1100"/>
      <c r="H362" s="1100"/>
      <c r="I362" s="1100"/>
      <c r="J362" s="1012"/>
      <c r="K362" s="1012"/>
      <c r="L362" s="1024"/>
      <c r="M362" s="1024"/>
      <c r="N362" s="1024"/>
      <c r="O362" s="1024"/>
      <c r="P362" s="1024"/>
      <c r="Q362" s="1024"/>
      <c r="R362" s="76"/>
      <c r="S362" s="3"/>
      <c r="T362" s="3"/>
      <c r="U362" s="3"/>
      <c r="V362" s="1035"/>
      <c r="W362" s="3"/>
      <c r="X362" s="1043" t="str">
        <f t="shared" si="219"/>
        <v>.</v>
      </c>
      <c r="Y362" s="1044" t="str">
        <f t="shared" si="220"/>
        <v>.</v>
      </c>
      <c r="Z362" s="1044" t="str">
        <f t="shared" si="221"/>
        <v>.</v>
      </c>
      <c r="AA362" s="1044" t="str">
        <f t="shared" si="222"/>
        <v>.</v>
      </c>
      <c r="AB362" s="1044" t="str">
        <f t="shared" si="223"/>
        <v>.</v>
      </c>
      <c r="AC362" s="1044" t="str">
        <f t="shared" si="224"/>
        <v>.</v>
      </c>
      <c r="AD362" s="1045" t="str">
        <f t="shared" si="225"/>
        <v>.</v>
      </c>
      <c r="AE362" s="3"/>
      <c r="AF362" s="1145" t="str">
        <f t="shared" si="226"/>
        <v>.</v>
      </c>
      <c r="AG362" s="1146" t="str">
        <f t="shared" si="227"/>
        <v>.</v>
      </c>
      <c r="AH362" s="1146" t="str">
        <f t="shared" si="228"/>
        <v>.</v>
      </c>
      <c r="AI362" s="1146" t="str">
        <f t="shared" si="229"/>
        <v>.</v>
      </c>
      <c r="AJ362" s="1146" t="str">
        <f t="shared" si="230"/>
        <v>.</v>
      </c>
      <c r="AK362" s="1146" t="str">
        <f t="shared" si="231"/>
        <v>.</v>
      </c>
      <c r="AL362" s="1147" t="str">
        <f t="shared" si="232"/>
        <v>.</v>
      </c>
      <c r="AM362" s="3"/>
      <c r="AN362" s="1043" t="str">
        <f>IF(X362=".",".",SUM($X362:X362))</f>
        <v>.</v>
      </c>
      <c r="AO362" s="1044" t="str">
        <f>IF(Y362=".",".",SUM($X362:Y362))</f>
        <v>.</v>
      </c>
      <c r="AP362" s="1044" t="str">
        <f>IF(Z362=".",".",SUM($X362:Z362))</f>
        <v>.</v>
      </c>
      <c r="AQ362" s="1044" t="str">
        <f>IF(AA362=".",".",SUM($X362:AA362))</f>
        <v>.</v>
      </c>
      <c r="AR362" s="1044" t="str">
        <f>IF(AB362=".",".",SUM($X362:AB362))</f>
        <v>.</v>
      </c>
      <c r="AS362" s="1044" t="str">
        <f>IF(AC362=".",".",SUM($X362:AC362))</f>
        <v>.</v>
      </c>
      <c r="AT362" s="1045" t="str">
        <f>IF(AD362=".",".",SUM($X362:AD362))</f>
        <v>.</v>
      </c>
      <c r="AU362" s="3"/>
      <c r="AV362" s="1145" t="str">
        <f t="shared" si="233"/>
        <v>.</v>
      </c>
      <c r="AW362" s="1146" t="str">
        <f t="shared" si="234"/>
        <v>.</v>
      </c>
      <c r="AX362" s="1146" t="str">
        <f t="shared" si="235"/>
        <v>.</v>
      </c>
      <c r="AY362" s="1146" t="str">
        <f t="shared" si="236"/>
        <v>.</v>
      </c>
      <c r="AZ362" s="1146" t="str">
        <f t="shared" si="237"/>
        <v>.</v>
      </c>
      <c r="BA362" s="1146" t="str">
        <f t="shared" si="238"/>
        <v>.</v>
      </c>
      <c r="BB362" s="1147" t="str">
        <f t="shared" si="239"/>
        <v>.</v>
      </c>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row>
    <row r="363" spans="1:97" x14ac:dyDescent="0.2">
      <c r="A363" s="620"/>
      <c r="B363" s="1091"/>
      <c r="C363" s="456"/>
      <c r="D363" s="1022" t="s">
        <v>687</v>
      </c>
      <c r="E363" s="1100"/>
      <c r="F363" s="1100"/>
      <c r="G363" s="1100"/>
      <c r="H363" s="1100"/>
      <c r="I363" s="1100"/>
      <c r="J363" s="1012"/>
      <c r="K363" s="1012"/>
      <c r="L363" s="1024"/>
      <c r="M363" s="1024"/>
      <c r="N363" s="1024"/>
      <c r="O363" s="1024"/>
      <c r="P363" s="1024"/>
      <c r="Q363" s="1024"/>
      <c r="R363" s="76"/>
      <c r="S363" s="3"/>
      <c r="T363" s="3"/>
      <c r="U363" s="3"/>
      <c r="V363" s="1035"/>
      <c r="W363" s="3"/>
      <c r="X363" s="1043" t="str">
        <f t="shared" si="219"/>
        <v>.</v>
      </c>
      <c r="Y363" s="1044" t="str">
        <f t="shared" si="220"/>
        <v>.</v>
      </c>
      <c r="Z363" s="1044" t="str">
        <f t="shared" si="221"/>
        <v>.</v>
      </c>
      <c r="AA363" s="1044" t="str">
        <f t="shared" si="222"/>
        <v>.</v>
      </c>
      <c r="AB363" s="1044" t="str">
        <f t="shared" si="223"/>
        <v>.</v>
      </c>
      <c r="AC363" s="1044" t="str">
        <f t="shared" si="224"/>
        <v>.</v>
      </c>
      <c r="AD363" s="1045" t="str">
        <f t="shared" si="225"/>
        <v>.</v>
      </c>
      <c r="AE363" s="3"/>
      <c r="AF363" s="1145" t="str">
        <f t="shared" si="226"/>
        <v>.</v>
      </c>
      <c r="AG363" s="1146" t="str">
        <f t="shared" si="227"/>
        <v>.</v>
      </c>
      <c r="AH363" s="1146" t="str">
        <f t="shared" si="228"/>
        <v>.</v>
      </c>
      <c r="AI363" s="1146" t="str">
        <f t="shared" si="229"/>
        <v>.</v>
      </c>
      <c r="AJ363" s="1146" t="str">
        <f t="shared" si="230"/>
        <v>.</v>
      </c>
      <c r="AK363" s="1146" t="str">
        <f t="shared" si="231"/>
        <v>.</v>
      </c>
      <c r="AL363" s="1147" t="str">
        <f t="shared" si="232"/>
        <v>.</v>
      </c>
      <c r="AM363" s="3"/>
      <c r="AN363" s="1043" t="str">
        <f>IF(X363=".",".",SUM($X363:X363))</f>
        <v>.</v>
      </c>
      <c r="AO363" s="1044" t="str">
        <f>IF(Y363=".",".",SUM($X363:Y363))</f>
        <v>.</v>
      </c>
      <c r="AP363" s="1044" t="str">
        <f>IF(Z363=".",".",SUM($X363:Z363))</f>
        <v>.</v>
      </c>
      <c r="AQ363" s="1044" t="str">
        <f>IF(AA363=".",".",SUM($X363:AA363))</f>
        <v>.</v>
      </c>
      <c r="AR363" s="1044" t="str">
        <f>IF(AB363=".",".",SUM($X363:AB363))</f>
        <v>.</v>
      </c>
      <c r="AS363" s="1044" t="str">
        <f>IF(AC363=".",".",SUM($X363:AC363))</f>
        <v>.</v>
      </c>
      <c r="AT363" s="1045" t="str">
        <f>IF(AD363=".",".",SUM($X363:AD363))</f>
        <v>.</v>
      </c>
      <c r="AU363" s="3"/>
      <c r="AV363" s="1145" t="str">
        <f t="shared" si="233"/>
        <v>.</v>
      </c>
      <c r="AW363" s="1146" t="str">
        <f t="shared" si="234"/>
        <v>.</v>
      </c>
      <c r="AX363" s="1146" t="str">
        <f t="shared" si="235"/>
        <v>.</v>
      </c>
      <c r="AY363" s="1146" t="str">
        <f t="shared" si="236"/>
        <v>.</v>
      </c>
      <c r="AZ363" s="1146" t="str">
        <f t="shared" si="237"/>
        <v>.</v>
      </c>
      <c r="BA363" s="1146" t="str">
        <f t="shared" si="238"/>
        <v>.</v>
      </c>
      <c r="BB363" s="1147" t="str">
        <f t="shared" si="239"/>
        <v>.</v>
      </c>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row>
    <row r="364" spans="1:97" x14ac:dyDescent="0.2">
      <c r="A364" s="620"/>
      <c r="B364" s="1091"/>
      <c r="C364" s="456"/>
      <c r="D364" s="1022" t="s">
        <v>687</v>
      </c>
      <c r="E364" s="1100"/>
      <c r="F364" s="1100"/>
      <c r="G364" s="1100"/>
      <c r="H364" s="1100"/>
      <c r="I364" s="1100"/>
      <c r="J364" s="1012"/>
      <c r="K364" s="1012"/>
      <c r="L364" s="1024"/>
      <c r="M364" s="1024"/>
      <c r="N364" s="1024"/>
      <c r="O364" s="1024"/>
      <c r="P364" s="1024"/>
      <c r="Q364" s="1024"/>
      <c r="R364" s="76"/>
      <c r="S364" s="3"/>
      <c r="T364" s="3"/>
      <c r="U364" s="3"/>
      <c r="V364" s="1035"/>
      <c r="W364" s="3"/>
      <c r="X364" s="1043" t="str">
        <f t="shared" si="219"/>
        <v>.</v>
      </c>
      <c r="Y364" s="1044" t="str">
        <f t="shared" si="220"/>
        <v>.</v>
      </c>
      <c r="Z364" s="1044" t="str">
        <f t="shared" si="221"/>
        <v>.</v>
      </c>
      <c r="AA364" s="1044" t="str">
        <f t="shared" si="222"/>
        <v>.</v>
      </c>
      <c r="AB364" s="1044" t="str">
        <f t="shared" si="223"/>
        <v>.</v>
      </c>
      <c r="AC364" s="1044" t="str">
        <f t="shared" si="224"/>
        <v>.</v>
      </c>
      <c r="AD364" s="1045" t="str">
        <f t="shared" si="225"/>
        <v>.</v>
      </c>
      <c r="AE364" s="3"/>
      <c r="AF364" s="1145" t="str">
        <f t="shared" si="226"/>
        <v>.</v>
      </c>
      <c r="AG364" s="1146" t="str">
        <f t="shared" si="227"/>
        <v>.</v>
      </c>
      <c r="AH364" s="1146" t="str">
        <f t="shared" si="228"/>
        <v>.</v>
      </c>
      <c r="AI364" s="1146" t="str">
        <f t="shared" si="229"/>
        <v>.</v>
      </c>
      <c r="AJ364" s="1146" t="str">
        <f t="shared" si="230"/>
        <v>.</v>
      </c>
      <c r="AK364" s="1146" t="str">
        <f t="shared" si="231"/>
        <v>.</v>
      </c>
      <c r="AL364" s="1147" t="str">
        <f t="shared" si="232"/>
        <v>.</v>
      </c>
      <c r="AM364" s="3"/>
      <c r="AN364" s="1043" t="str">
        <f>IF(X364=".",".",SUM($X364:X364))</f>
        <v>.</v>
      </c>
      <c r="AO364" s="1044" t="str">
        <f>IF(Y364=".",".",SUM($X364:Y364))</f>
        <v>.</v>
      </c>
      <c r="AP364" s="1044" t="str">
        <f>IF(Z364=".",".",SUM($X364:Z364))</f>
        <v>.</v>
      </c>
      <c r="AQ364" s="1044" t="str">
        <f>IF(AA364=".",".",SUM($X364:AA364))</f>
        <v>.</v>
      </c>
      <c r="AR364" s="1044" t="str">
        <f>IF(AB364=".",".",SUM($X364:AB364))</f>
        <v>.</v>
      </c>
      <c r="AS364" s="1044" t="str">
        <f>IF(AC364=".",".",SUM($X364:AC364))</f>
        <v>.</v>
      </c>
      <c r="AT364" s="1045" t="str">
        <f>IF(AD364=".",".",SUM($X364:AD364))</f>
        <v>.</v>
      </c>
      <c r="AU364" s="3"/>
      <c r="AV364" s="1145" t="str">
        <f t="shared" si="233"/>
        <v>.</v>
      </c>
      <c r="AW364" s="1146" t="str">
        <f t="shared" si="234"/>
        <v>.</v>
      </c>
      <c r="AX364" s="1146" t="str">
        <f t="shared" si="235"/>
        <v>.</v>
      </c>
      <c r="AY364" s="1146" t="str">
        <f t="shared" si="236"/>
        <v>.</v>
      </c>
      <c r="AZ364" s="1146" t="str">
        <f t="shared" si="237"/>
        <v>.</v>
      </c>
      <c r="BA364" s="1146" t="str">
        <f t="shared" si="238"/>
        <v>.</v>
      </c>
      <c r="BB364" s="1147" t="str">
        <f t="shared" si="239"/>
        <v>.</v>
      </c>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row>
    <row r="365" spans="1:97" x14ac:dyDescent="0.2">
      <c r="A365" s="620"/>
      <c r="B365" s="1091"/>
      <c r="C365" s="456"/>
      <c r="D365" s="1022" t="s">
        <v>687</v>
      </c>
      <c r="E365" s="1100"/>
      <c r="F365" s="1100"/>
      <c r="G365" s="1100"/>
      <c r="H365" s="1100"/>
      <c r="I365" s="1100"/>
      <c r="J365" s="1012"/>
      <c r="K365" s="1012"/>
      <c r="L365" s="1024"/>
      <c r="M365" s="1024"/>
      <c r="N365" s="1024"/>
      <c r="O365" s="1024"/>
      <c r="P365" s="1024"/>
      <c r="Q365" s="1024"/>
      <c r="R365" s="76"/>
      <c r="S365" s="3"/>
      <c r="T365" s="3"/>
      <c r="U365" s="3"/>
      <c r="V365" s="1035"/>
      <c r="W365" s="3"/>
      <c r="X365" s="1043" t="str">
        <f t="shared" si="219"/>
        <v>.</v>
      </c>
      <c r="Y365" s="1044" t="str">
        <f t="shared" si="220"/>
        <v>.</v>
      </c>
      <c r="Z365" s="1044" t="str">
        <f t="shared" si="221"/>
        <v>.</v>
      </c>
      <c r="AA365" s="1044" t="str">
        <f t="shared" si="222"/>
        <v>.</v>
      </c>
      <c r="AB365" s="1044" t="str">
        <f t="shared" si="223"/>
        <v>.</v>
      </c>
      <c r="AC365" s="1044" t="str">
        <f t="shared" si="224"/>
        <v>.</v>
      </c>
      <c r="AD365" s="1045" t="str">
        <f t="shared" si="225"/>
        <v>.</v>
      </c>
      <c r="AE365" s="3"/>
      <c r="AF365" s="1145" t="str">
        <f t="shared" si="226"/>
        <v>.</v>
      </c>
      <c r="AG365" s="1146" t="str">
        <f t="shared" si="227"/>
        <v>.</v>
      </c>
      <c r="AH365" s="1146" t="str">
        <f t="shared" si="228"/>
        <v>.</v>
      </c>
      <c r="AI365" s="1146" t="str">
        <f t="shared" si="229"/>
        <v>.</v>
      </c>
      <c r="AJ365" s="1146" t="str">
        <f t="shared" si="230"/>
        <v>.</v>
      </c>
      <c r="AK365" s="1146" t="str">
        <f t="shared" si="231"/>
        <v>.</v>
      </c>
      <c r="AL365" s="1147" t="str">
        <f t="shared" si="232"/>
        <v>.</v>
      </c>
      <c r="AM365" s="3"/>
      <c r="AN365" s="1043" t="str">
        <f>IF(X365=".",".",SUM($X365:X365))</f>
        <v>.</v>
      </c>
      <c r="AO365" s="1044" t="str">
        <f>IF(Y365=".",".",SUM($X365:Y365))</f>
        <v>.</v>
      </c>
      <c r="AP365" s="1044" t="str">
        <f>IF(Z365=".",".",SUM($X365:Z365))</f>
        <v>.</v>
      </c>
      <c r="AQ365" s="1044" t="str">
        <f>IF(AA365=".",".",SUM($X365:AA365))</f>
        <v>.</v>
      </c>
      <c r="AR365" s="1044" t="str">
        <f>IF(AB365=".",".",SUM($X365:AB365))</f>
        <v>.</v>
      </c>
      <c r="AS365" s="1044" t="str">
        <f>IF(AC365=".",".",SUM($X365:AC365))</f>
        <v>.</v>
      </c>
      <c r="AT365" s="1045" t="str">
        <f>IF(AD365=".",".",SUM($X365:AD365))</f>
        <v>.</v>
      </c>
      <c r="AU365" s="3"/>
      <c r="AV365" s="1145" t="str">
        <f t="shared" si="233"/>
        <v>.</v>
      </c>
      <c r="AW365" s="1146" t="str">
        <f t="shared" si="234"/>
        <v>.</v>
      </c>
      <c r="AX365" s="1146" t="str">
        <f t="shared" si="235"/>
        <v>.</v>
      </c>
      <c r="AY365" s="1146" t="str">
        <f t="shared" si="236"/>
        <v>.</v>
      </c>
      <c r="AZ365" s="1146" t="str">
        <f t="shared" si="237"/>
        <v>.</v>
      </c>
      <c r="BA365" s="1146" t="str">
        <f t="shared" si="238"/>
        <v>.</v>
      </c>
      <c r="BB365" s="1147" t="str">
        <f t="shared" si="239"/>
        <v>.</v>
      </c>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row>
    <row r="366" spans="1:97" x14ac:dyDescent="0.2">
      <c r="A366" s="620"/>
      <c r="B366" s="1091"/>
      <c r="C366" s="456"/>
      <c r="D366" s="1022" t="s">
        <v>687</v>
      </c>
      <c r="E366" s="1100"/>
      <c r="F366" s="1100"/>
      <c r="G366" s="1100"/>
      <c r="H366" s="1100"/>
      <c r="I366" s="1100"/>
      <c r="J366" s="1012"/>
      <c r="K366" s="1012"/>
      <c r="L366" s="1024"/>
      <c r="M366" s="1024"/>
      <c r="N366" s="1024"/>
      <c r="O366" s="1024"/>
      <c r="P366" s="1024"/>
      <c r="Q366" s="1024"/>
      <c r="R366" s="76"/>
      <c r="S366" s="3"/>
      <c r="T366" s="3"/>
      <c r="U366" s="3"/>
      <c r="V366" s="1035"/>
      <c r="W366" s="3"/>
      <c r="X366" s="1043" t="str">
        <f t="shared" si="219"/>
        <v>.</v>
      </c>
      <c r="Y366" s="1044" t="str">
        <f t="shared" si="220"/>
        <v>.</v>
      </c>
      <c r="Z366" s="1044" t="str">
        <f t="shared" si="221"/>
        <v>.</v>
      </c>
      <c r="AA366" s="1044" t="str">
        <f t="shared" si="222"/>
        <v>.</v>
      </c>
      <c r="AB366" s="1044" t="str">
        <f t="shared" si="223"/>
        <v>.</v>
      </c>
      <c r="AC366" s="1044" t="str">
        <f t="shared" si="224"/>
        <v>.</v>
      </c>
      <c r="AD366" s="1045" t="str">
        <f t="shared" si="225"/>
        <v>.</v>
      </c>
      <c r="AE366" s="3"/>
      <c r="AF366" s="1145" t="str">
        <f t="shared" si="226"/>
        <v>.</v>
      </c>
      <c r="AG366" s="1146" t="str">
        <f t="shared" si="227"/>
        <v>.</v>
      </c>
      <c r="AH366" s="1146" t="str">
        <f t="shared" si="228"/>
        <v>.</v>
      </c>
      <c r="AI366" s="1146" t="str">
        <f t="shared" si="229"/>
        <v>.</v>
      </c>
      <c r="AJ366" s="1146" t="str">
        <f t="shared" si="230"/>
        <v>.</v>
      </c>
      <c r="AK366" s="1146" t="str">
        <f t="shared" si="231"/>
        <v>.</v>
      </c>
      <c r="AL366" s="1147" t="str">
        <f t="shared" si="232"/>
        <v>.</v>
      </c>
      <c r="AM366" s="3"/>
      <c r="AN366" s="1043" t="str">
        <f>IF(X366=".",".",SUM($X366:X366))</f>
        <v>.</v>
      </c>
      <c r="AO366" s="1044" t="str">
        <f>IF(Y366=".",".",SUM($X366:Y366))</f>
        <v>.</v>
      </c>
      <c r="AP366" s="1044" t="str">
        <f>IF(Z366=".",".",SUM($X366:Z366))</f>
        <v>.</v>
      </c>
      <c r="AQ366" s="1044" t="str">
        <f>IF(AA366=".",".",SUM($X366:AA366))</f>
        <v>.</v>
      </c>
      <c r="AR366" s="1044" t="str">
        <f>IF(AB366=".",".",SUM($X366:AB366))</f>
        <v>.</v>
      </c>
      <c r="AS366" s="1044" t="str">
        <f>IF(AC366=".",".",SUM($X366:AC366))</f>
        <v>.</v>
      </c>
      <c r="AT366" s="1045" t="str">
        <f>IF(AD366=".",".",SUM($X366:AD366))</f>
        <v>.</v>
      </c>
      <c r="AU366" s="3"/>
      <c r="AV366" s="1145" t="str">
        <f t="shared" si="233"/>
        <v>.</v>
      </c>
      <c r="AW366" s="1146" t="str">
        <f t="shared" si="234"/>
        <v>.</v>
      </c>
      <c r="AX366" s="1146" t="str">
        <f t="shared" si="235"/>
        <v>.</v>
      </c>
      <c r="AY366" s="1146" t="str">
        <f t="shared" si="236"/>
        <v>.</v>
      </c>
      <c r="AZ366" s="1146" t="str">
        <f t="shared" si="237"/>
        <v>.</v>
      </c>
      <c r="BA366" s="1146" t="str">
        <f t="shared" si="238"/>
        <v>.</v>
      </c>
      <c r="BB366" s="1147" t="str">
        <f t="shared" si="239"/>
        <v>.</v>
      </c>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row>
    <row r="367" spans="1:97" x14ac:dyDescent="0.2">
      <c r="A367" s="620"/>
      <c r="B367" s="1091"/>
      <c r="C367" s="456"/>
      <c r="D367" s="1022" t="s">
        <v>687</v>
      </c>
      <c r="E367" s="1100"/>
      <c r="F367" s="1100"/>
      <c r="G367" s="1100"/>
      <c r="H367" s="1100"/>
      <c r="I367" s="1100"/>
      <c r="J367" s="1012"/>
      <c r="K367" s="1012"/>
      <c r="L367" s="1024"/>
      <c r="M367" s="1024"/>
      <c r="N367" s="1024"/>
      <c r="O367" s="1024"/>
      <c r="P367" s="1024"/>
      <c r="Q367" s="1024"/>
      <c r="R367" s="76"/>
      <c r="S367" s="3"/>
      <c r="T367" s="3"/>
      <c r="U367" s="3"/>
      <c r="V367" s="1035"/>
      <c r="W367" s="3"/>
      <c r="X367" s="1043" t="str">
        <f t="shared" si="219"/>
        <v>.</v>
      </c>
      <c r="Y367" s="1044" t="str">
        <f t="shared" si="220"/>
        <v>.</v>
      </c>
      <c r="Z367" s="1044" t="str">
        <f t="shared" si="221"/>
        <v>.</v>
      </c>
      <c r="AA367" s="1044" t="str">
        <f t="shared" si="222"/>
        <v>.</v>
      </c>
      <c r="AB367" s="1044" t="str">
        <f t="shared" si="223"/>
        <v>.</v>
      </c>
      <c r="AC367" s="1044" t="str">
        <f t="shared" si="224"/>
        <v>.</v>
      </c>
      <c r="AD367" s="1045" t="str">
        <f t="shared" si="225"/>
        <v>.</v>
      </c>
      <c r="AE367" s="3"/>
      <c r="AF367" s="1145" t="str">
        <f t="shared" si="226"/>
        <v>.</v>
      </c>
      <c r="AG367" s="1146" t="str">
        <f t="shared" si="227"/>
        <v>.</v>
      </c>
      <c r="AH367" s="1146" t="str">
        <f t="shared" si="228"/>
        <v>.</v>
      </c>
      <c r="AI367" s="1146" t="str">
        <f t="shared" si="229"/>
        <v>.</v>
      </c>
      <c r="AJ367" s="1146" t="str">
        <f t="shared" si="230"/>
        <v>.</v>
      </c>
      <c r="AK367" s="1146" t="str">
        <f t="shared" si="231"/>
        <v>.</v>
      </c>
      <c r="AL367" s="1147" t="str">
        <f t="shared" si="232"/>
        <v>.</v>
      </c>
      <c r="AM367" s="3"/>
      <c r="AN367" s="1043" t="str">
        <f>IF(X367=".",".",SUM($X367:X367))</f>
        <v>.</v>
      </c>
      <c r="AO367" s="1044" t="str">
        <f>IF(Y367=".",".",SUM($X367:Y367))</f>
        <v>.</v>
      </c>
      <c r="AP367" s="1044" t="str">
        <f>IF(Z367=".",".",SUM($X367:Z367))</f>
        <v>.</v>
      </c>
      <c r="AQ367" s="1044" t="str">
        <f>IF(AA367=".",".",SUM($X367:AA367))</f>
        <v>.</v>
      </c>
      <c r="AR367" s="1044" t="str">
        <f>IF(AB367=".",".",SUM($X367:AB367))</f>
        <v>.</v>
      </c>
      <c r="AS367" s="1044" t="str">
        <f>IF(AC367=".",".",SUM($X367:AC367))</f>
        <v>.</v>
      </c>
      <c r="AT367" s="1045" t="str">
        <f>IF(AD367=".",".",SUM($X367:AD367))</f>
        <v>.</v>
      </c>
      <c r="AU367" s="3"/>
      <c r="AV367" s="1145" t="str">
        <f t="shared" si="233"/>
        <v>.</v>
      </c>
      <c r="AW367" s="1146" t="str">
        <f t="shared" si="234"/>
        <v>.</v>
      </c>
      <c r="AX367" s="1146" t="str">
        <f t="shared" si="235"/>
        <v>.</v>
      </c>
      <c r="AY367" s="1146" t="str">
        <f t="shared" si="236"/>
        <v>.</v>
      </c>
      <c r="AZ367" s="1146" t="str">
        <f t="shared" si="237"/>
        <v>.</v>
      </c>
      <c r="BA367" s="1146" t="str">
        <f t="shared" si="238"/>
        <v>.</v>
      </c>
      <c r="BB367" s="1147" t="str">
        <f t="shared" si="239"/>
        <v>.</v>
      </c>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row>
    <row r="368" spans="1:97" x14ac:dyDescent="0.2">
      <c r="A368" s="620"/>
      <c r="B368" s="1091"/>
      <c r="C368" s="456"/>
      <c r="D368" s="1022" t="s">
        <v>687</v>
      </c>
      <c r="E368" s="1100"/>
      <c r="F368" s="1100"/>
      <c r="G368" s="1100"/>
      <c r="H368" s="1100"/>
      <c r="I368" s="1100"/>
      <c r="J368" s="1012"/>
      <c r="K368" s="1012"/>
      <c r="L368" s="1024"/>
      <c r="M368" s="1024"/>
      <c r="N368" s="1024"/>
      <c r="O368" s="1024"/>
      <c r="P368" s="1024"/>
      <c r="Q368" s="1024"/>
      <c r="R368" s="76"/>
      <c r="S368" s="3"/>
      <c r="T368" s="3"/>
      <c r="U368" s="3"/>
      <c r="V368" s="1035"/>
      <c r="W368" s="3"/>
      <c r="X368" s="1043" t="str">
        <f t="shared" si="219"/>
        <v>.</v>
      </c>
      <c r="Y368" s="1044" t="str">
        <f t="shared" si="220"/>
        <v>.</v>
      </c>
      <c r="Z368" s="1044" t="str">
        <f t="shared" si="221"/>
        <v>.</v>
      </c>
      <c r="AA368" s="1044" t="str">
        <f t="shared" si="222"/>
        <v>.</v>
      </c>
      <c r="AB368" s="1044" t="str">
        <f t="shared" si="223"/>
        <v>.</v>
      </c>
      <c r="AC368" s="1044" t="str">
        <f t="shared" si="224"/>
        <v>.</v>
      </c>
      <c r="AD368" s="1045" t="str">
        <f t="shared" si="225"/>
        <v>.</v>
      </c>
      <c r="AE368" s="3"/>
      <c r="AF368" s="1145" t="str">
        <f t="shared" si="226"/>
        <v>.</v>
      </c>
      <c r="AG368" s="1146" t="str">
        <f t="shared" si="227"/>
        <v>.</v>
      </c>
      <c r="AH368" s="1146" t="str">
        <f t="shared" si="228"/>
        <v>.</v>
      </c>
      <c r="AI368" s="1146" t="str">
        <f t="shared" si="229"/>
        <v>.</v>
      </c>
      <c r="AJ368" s="1146" t="str">
        <f t="shared" si="230"/>
        <v>.</v>
      </c>
      <c r="AK368" s="1146" t="str">
        <f t="shared" si="231"/>
        <v>.</v>
      </c>
      <c r="AL368" s="1147" t="str">
        <f t="shared" si="232"/>
        <v>.</v>
      </c>
      <c r="AM368" s="3"/>
      <c r="AN368" s="1043" t="str">
        <f>IF(X368=".",".",SUM($X368:X368))</f>
        <v>.</v>
      </c>
      <c r="AO368" s="1044" t="str">
        <f>IF(Y368=".",".",SUM($X368:Y368))</f>
        <v>.</v>
      </c>
      <c r="AP368" s="1044" t="str">
        <f>IF(Z368=".",".",SUM($X368:Z368))</f>
        <v>.</v>
      </c>
      <c r="AQ368" s="1044" t="str">
        <f>IF(AA368=".",".",SUM($X368:AA368))</f>
        <v>.</v>
      </c>
      <c r="AR368" s="1044" t="str">
        <f>IF(AB368=".",".",SUM($X368:AB368))</f>
        <v>.</v>
      </c>
      <c r="AS368" s="1044" t="str">
        <f>IF(AC368=".",".",SUM($X368:AC368))</f>
        <v>.</v>
      </c>
      <c r="AT368" s="1045" t="str">
        <f>IF(AD368=".",".",SUM($X368:AD368))</f>
        <v>.</v>
      </c>
      <c r="AU368" s="3"/>
      <c r="AV368" s="1145" t="str">
        <f t="shared" si="233"/>
        <v>.</v>
      </c>
      <c r="AW368" s="1146" t="str">
        <f t="shared" si="234"/>
        <v>.</v>
      </c>
      <c r="AX368" s="1146" t="str">
        <f t="shared" si="235"/>
        <v>.</v>
      </c>
      <c r="AY368" s="1146" t="str">
        <f t="shared" si="236"/>
        <v>.</v>
      </c>
      <c r="AZ368" s="1146" t="str">
        <f t="shared" si="237"/>
        <v>.</v>
      </c>
      <c r="BA368" s="1146" t="str">
        <f t="shared" si="238"/>
        <v>.</v>
      </c>
      <c r="BB368" s="1147" t="str">
        <f t="shared" si="239"/>
        <v>.</v>
      </c>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row>
    <row r="369" spans="1:97" x14ac:dyDescent="0.2">
      <c r="A369" s="620"/>
      <c r="B369" s="1091"/>
      <c r="C369" s="456"/>
      <c r="D369" s="1022" t="s">
        <v>687</v>
      </c>
      <c r="E369" s="1100"/>
      <c r="F369" s="1100"/>
      <c r="G369" s="1100"/>
      <c r="H369" s="1100"/>
      <c r="I369" s="1100"/>
      <c r="J369" s="1012"/>
      <c r="K369" s="1012"/>
      <c r="L369" s="1024"/>
      <c r="M369" s="1024"/>
      <c r="N369" s="1024"/>
      <c r="O369" s="1024"/>
      <c r="P369" s="1024"/>
      <c r="Q369" s="1024"/>
      <c r="R369" s="76"/>
      <c r="S369" s="3"/>
      <c r="T369" s="3"/>
      <c r="U369" s="3"/>
      <c r="V369" s="1035"/>
      <c r="W369" s="3"/>
      <c r="X369" s="1043" t="str">
        <f t="shared" si="219"/>
        <v>.</v>
      </c>
      <c r="Y369" s="1044" t="str">
        <f t="shared" si="220"/>
        <v>.</v>
      </c>
      <c r="Z369" s="1044" t="str">
        <f t="shared" si="221"/>
        <v>.</v>
      </c>
      <c r="AA369" s="1044" t="str">
        <f t="shared" si="222"/>
        <v>.</v>
      </c>
      <c r="AB369" s="1044" t="str">
        <f t="shared" si="223"/>
        <v>.</v>
      </c>
      <c r="AC369" s="1044" t="str">
        <f t="shared" si="224"/>
        <v>.</v>
      </c>
      <c r="AD369" s="1045" t="str">
        <f t="shared" si="225"/>
        <v>.</v>
      </c>
      <c r="AE369" s="3"/>
      <c r="AF369" s="1145" t="str">
        <f t="shared" si="226"/>
        <v>.</v>
      </c>
      <c r="AG369" s="1146" t="str">
        <f t="shared" si="227"/>
        <v>.</v>
      </c>
      <c r="AH369" s="1146" t="str">
        <f t="shared" si="228"/>
        <v>.</v>
      </c>
      <c r="AI369" s="1146" t="str">
        <f t="shared" si="229"/>
        <v>.</v>
      </c>
      <c r="AJ369" s="1146" t="str">
        <f t="shared" si="230"/>
        <v>.</v>
      </c>
      <c r="AK369" s="1146" t="str">
        <f t="shared" si="231"/>
        <v>.</v>
      </c>
      <c r="AL369" s="1147" t="str">
        <f t="shared" si="232"/>
        <v>.</v>
      </c>
      <c r="AM369" s="3"/>
      <c r="AN369" s="1043" t="str">
        <f>IF(X369=".",".",SUM($X369:X369))</f>
        <v>.</v>
      </c>
      <c r="AO369" s="1044" t="str">
        <f>IF(Y369=".",".",SUM($X369:Y369))</f>
        <v>.</v>
      </c>
      <c r="AP369" s="1044" t="str">
        <f>IF(Z369=".",".",SUM($X369:Z369))</f>
        <v>.</v>
      </c>
      <c r="AQ369" s="1044" t="str">
        <f>IF(AA369=".",".",SUM($X369:AA369))</f>
        <v>.</v>
      </c>
      <c r="AR369" s="1044" t="str">
        <f>IF(AB369=".",".",SUM($X369:AB369))</f>
        <v>.</v>
      </c>
      <c r="AS369" s="1044" t="str">
        <f>IF(AC369=".",".",SUM($X369:AC369))</f>
        <v>.</v>
      </c>
      <c r="AT369" s="1045" t="str">
        <f>IF(AD369=".",".",SUM($X369:AD369))</f>
        <v>.</v>
      </c>
      <c r="AU369" s="3"/>
      <c r="AV369" s="1145" t="str">
        <f t="shared" si="233"/>
        <v>.</v>
      </c>
      <c r="AW369" s="1146" t="str">
        <f t="shared" si="234"/>
        <v>.</v>
      </c>
      <c r="AX369" s="1146" t="str">
        <f t="shared" si="235"/>
        <v>.</v>
      </c>
      <c r="AY369" s="1146" t="str">
        <f t="shared" si="236"/>
        <v>.</v>
      </c>
      <c r="AZ369" s="1146" t="str">
        <f t="shared" si="237"/>
        <v>.</v>
      </c>
      <c r="BA369" s="1146" t="str">
        <f t="shared" si="238"/>
        <v>.</v>
      </c>
      <c r="BB369" s="1147" t="str">
        <f t="shared" si="239"/>
        <v>.</v>
      </c>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row>
    <row r="370" spans="1:97" x14ac:dyDescent="0.2">
      <c r="A370" s="620"/>
      <c r="B370" s="1091"/>
      <c r="C370" s="456"/>
      <c r="D370" s="1022" t="s">
        <v>687</v>
      </c>
      <c r="E370" s="1100"/>
      <c r="F370" s="1100"/>
      <c r="G370" s="1100"/>
      <c r="H370" s="1100"/>
      <c r="I370" s="1100"/>
      <c r="J370" s="1012"/>
      <c r="K370" s="1012"/>
      <c r="L370" s="1024"/>
      <c r="M370" s="1024"/>
      <c r="N370" s="1024"/>
      <c r="O370" s="1024"/>
      <c r="P370" s="1024"/>
      <c r="Q370" s="1024"/>
      <c r="R370" s="76"/>
      <c r="S370" s="3"/>
      <c r="T370" s="3"/>
      <c r="U370" s="3"/>
      <c r="V370" s="1035"/>
      <c r="W370" s="3"/>
      <c r="X370" s="1043" t="str">
        <f t="shared" si="219"/>
        <v>.</v>
      </c>
      <c r="Y370" s="1044" t="str">
        <f t="shared" si="220"/>
        <v>.</v>
      </c>
      <c r="Z370" s="1044" t="str">
        <f t="shared" si="221"/>
        <v>.</v>
      </c>
      <c r="AA370" s="1044" t="str">
        <f t="shared" si="222"/>
        <v>.</v>
      </c>
      <c r="AB370" s="1044" t="str">
        <f t="shared" si="223"/>
        <v>.</v>
      </c>
      <c r="AC370" s="1044" t="str">
        <f t="shared" si="224"/>
        <v>.</v>
      </c>
      <c r="AD370" s="1045" t="str">
        <f t="shared" si="225"/>
        <v>.</v>
      </c>
      <c r="AE370" s="3"/>
      <c r="AF370" s="1145" t="str">
        <f t="shared" si="226"/>
        <v>.</v>
      </c>
      <c r="AG370" s="1146" t="str">
        <f t="shared" si="227"/>
        <v>.</v>
      </c>
      <c r="AH370" s="1146" t="str">
        <f t="shared" si="228"/>
        <v>.</v>
      </c>
      <c r="AI370" s="1146" t="str">
        <f t="shared" si="229"/>
        <v>.</v>
      </c>
      <c r="AJ370" s="1146" t="str">
        <f t="shared" si="230"/>
        <v>.</v>
      </c>
      <c r="AK370" s="1146" t="str">
        <f t="shared" si="231"/>
        <v>.</v>
      </c>
      <c r="AL370" s="1147" t="str">
        <f t="shared" si="232"/>
        <v>.</v>
      </c>
      <c r="AM370" s="3"/>
      <c r="AN370" s="1043" t="str">
        <f>IF(X370=".",".",SUM($X370:X370))</f>
        <v>.</v>
      </c>
      <c r="AO370" s="1044" t="str">
        <f>IF(Y370=".",".",SUM($X370:Y370))</f>
        <v>.</v>
      </c>
      <c r="AP370" s="1044" t="str">
        <f>IF(Z370=".",".",SUM($X370:Z370))</f>
        <v>.</v>
      </c>
      <c r="AQ370" s="1044" t="str">
        <f>IF(AA370=".",".",SUM($X370:AA370))</f>
        <v>.</v>
      </c>
      <c r="AR370" s="1044" t="str">
        <f>IF(AB370=".",".",SUM($X370:AB370))</f>
        <v>.</v>
      </c>
      <c r="AS370" s="1044" t="str">
        <f>IF(AC370=".",".",SUM($X370:AC370))</f>
        <v>.</v>
      </c>
      <c r="AT370" s="1045" t="str">
        <f>IF(AD370=".",".",SUM($X370:AD370))</f>
        <v>.</v>
      </c>
      <c r="AU370" s="3"/>
      <c r="AV370" s="1145" t="str">
        <f t="shared" si="233"/>
        <v>.</v>
      </c>
      <c r="AW370" s="1146" t="str">
        <f t="shared" si="234"/>
        <v>.</v>
      </c>
      <c r="AX370" s="1146" t="str">
        <f t="shared" si="235"/>
        <v>.</v>
      </c>
      <c r="AY370" s="1146" t="str">
        <f t="shared" si="236"/>
        <v>.</v>
      </c>
      <c r="AZ370" s="1146" t="str">
        <f t="shared" si="237"/>
        <v>.</v>
      </c>
      <c r="BA370" s="1146" t="str">
        <f t="shared" si="238"/>
        <v>.</v>
      </c>
      <c r="BB370" s="1147" t="str">
        <f t="shared" si="239"/>
        <v>.</v>
      </c>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row>
    <row r="371" spans="1:97" x14ac:dyDescent="0.2">
      <c r="A371" s="620"/>
      <c r="B371" s="1091"/>
      <c r="C371" s="456"/>
      <c r="D371" s="1022" t="s">
        <v>687</v>
      </c>
      <c r="E371" s="1100"/>
      <c r="F371" s="1100"/>
      <c r="G371" s="1100"/>
      <c r="H371" s="1100"/>
      <c r="I371" s="1100"/>
      <c r="J371" s="1012"/>
      <c r="K371" s="1012"/>
      <c r="L371" s="1024"/>
      <c r="M371" s="1024"/>
      <c r="N371" s="1024"/>
      <c r="O371" s="1024"/>
      <c r="P371" s="1024"/>
      <c r="Q371" s="1024"/>
      <c r="R371" s="76"/>
      <c r="S371" s="3"/>
      <c r="T371" s="3"/>
      <c r="U371" s="3"/>
      <c r="V371" s="1035"/>
      <c r="W371" s="3"/>
      <c r="X371" s="1043" t="str">
        <f t="shared" si="219"/>
        <v>.</v>
      </c>
      <c r="Y371" s="1044" t="str">
        <f t="shared" si="220"/>
        <v>.</v>
      </c>
      <c r="Z371" s="1044" t="str">
        <f t="shared" si="221"/>
        <v>.</v>
      </c>
      <c r="AA371" s="1044" t="str">
        <f t="shared" si="222"/>
        <v>.</v>
      </c>
      <c r="AB371" s="1044" t="str">
        <f t="shared" si="223"/>
        <v>.</v>
      </c>
      <c r="AC371" s="1044" t="str">
        <f t="shared" si="224"/>
        <v>.</v>
      </c>
      <c r="AD371" s="1045" t="str">
        <f t="shared" si="225"/>
        <v>.</v>
      </c>
      <c r="AE371" s="3"/>
      <c r="AF371" s="1145" t="str">
        <f t="shared" si="226"/>
        <v>.</v>
      </c>
      <c r="AG371" s="1146" t="str">
        <f t="shared" si="227"/>
        <v>.</v>
      </c>
      <c r="AH371" s="1146" t="str">
        <f t="shared" si="228"/>
        <v>.</v>
      </c>
      <c r="AI371" s="1146" t="str">
        <f t="shared" si="229"/>
        <v>.</v>
      </c>
      <c r="AJ371" s="1146" t="str">
        <f t="shared" si="230"/>
        <v>.</v>
      </c>
      <c r="AK371" s="1146" t="str">
        <f t="shared" si="231"/>
        <v>.</v>
      </c>
      <c r="AL371" s="1147" t="str">
        <f t="shared" si="232"/>
        <v>.</v>
      </c>
      <c r="AM371" s="3"/>
      <c r="AN371" s="1043" t="str">
        <f>IF(X371=".",".",SUM($X371:X371))</f>
        <v>.</v>
      </c>
      <c r="AO371" s="1044" t="str">
        <f>IF(Y371=".",".",SUM($X371:Y371))</f>
        <v>.</v>
      </c>
      <c r="AP371" s="1044" t="str">
        <f>IF(Z371=".",".",SUM($X371:Z371))</f>
        <v>.</v>
      </c>
      <c r="AQ371" s="1044" t="str">
        <f>IF(AA371=".",".",SUM($X371:AA371))</f>
        <v>.</v>
      </c>
      <c r="AR371" s="1044" t="str">
        <f>IF(AB371=".",".",SUM($X371:AB371))</f>
        <v>.</v>
      </c>
      <c r="AS371" s="1044" t="str">
        <f>IF(AC371=".",".",SUM($X371:AC371))</f>
        <v>.</v>
      </c>
      <c r="AT371" s="1045" t="str">
        <f>IF(AD371=".",".",SUM($X371:AD371))</f>
        <v>.</v>
      </c>
      <c r="AU371" s="3"/>
      <c r="AV371" s="1145" t="str">
        <f t="shared" si="233"/>
        <v>.</v>
      </c>
      <c r="AW371" s="1146" t="str">
        <f t="shared" si="234"/>
        <v>.</v>
      </c>
      <c r="AX371" s="1146" t="str">
        <f t="shared" si="235"/>
        <v>.</v>
      </c>
      <c r="AY371" s="1146" t="str">
        <f t="shared" si="236"/>
        <v>.</v>
      </c>
      <c r="AZ371" s="1146" t="str">
        <f t="shared" si="237"/>
        <v>.</v>
      </c>
      <c r="BA371" s="1146" t="str">
        <f t="shared" si="238"/>
        <v>.</v>
      </c>
      <c r="BB371" s="1147" t="str">
        <f t="shared" si="239"/>
        <v>.</v>
      </c>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row>
    <row r="372" spans="1:97" x14ac:dyDescent="0.2">
      <c r="A372" s="620"/>
      <c r="B372" s="1091"/>
      <c r="C372" s="456"/>
      <c r="D372" s="1022" t="s">
        <v>687</v>
      </c>
      <c r="E372" s="1100"/>
      <c r="F372" s="1100"/>
      <c r="G372" s="1100"/>
      <c r="H372" s="1100"/>
      <c r="I372" s="1100"/>
      <c r="J372" s="1012"/>
      <c r="K372" s="1012"/>
      <c r="L372" s="1024"/>
      <c r="M372" s="1024"/>
      <c r="N372" s="1024"/>
      <c r="O372" s="1024"/>
      <c r="P372" s="1024"/>
      <c r="Q372" s="1024"/>
      <c r="R372" s="76"/>
      <c r="S372" s="3"/>
      <c r="T372" s="3"/>
      <c r="U372" s="3"/>
      <c r="V372" s="1035"/>
      <c r="W372" s="3"/>
      <c r="X372" s="1043" t="str">
        <f t="shared" si="219"/>
        <v>.</v>
      </c>
      <c r="Y372" s="1044" t="str">
        <f t="shared" si="220"/>
        <v>.</v>
      </c>
      <c r="Z372" s="1044" t="str">
        <f t="shared" si="221"/>
        <v>.</v>
      </c>
      <c r="AA372" s="1044" t="str">
        <f t="shared" si="222"/>
        <v>.</v>
      </c>
      <c r="AB372" s="1044" t="str">
        <f t="shared" si="223"/>
        <v>.</v>
      </c>
      <c r="AC372" s="1044" t="str">
        <f t="shared" si="224"/>
        <v>.</v>
      </c>
      <c r="AD372" s="1045" t="str">
        <f t="shared" si="225"/>
        <v>.</v>
      </c>
      <c r="AE372" s="3"/>
      <c r="AF372" s="1145" t="str">
        <f t="shared" si="226"/>
        <v>.</v>
      </c>
      <c r="AG372" s="1146" t="str">
        <f t="shared" si="227"/>
        <v>.</v>
      </c>
      <c r="AH372" s="1146" t="str">
        <f t="shared" si="228"/>
        <v>.</v>
      </c>
      <c r="AI372" s="1146" t="str">
        <f t="shared" si="229"/>
        <v>.</v>
      </c>
      <c r="AJ372" s="1146" t="str">
        <f t="shared" si="230"/>
        <v>.</v>
      </c>
      <c r="AK372" s="1146" t="str">
        <f t="shared" si="231"/>
        <v>.</v>
      </c>
      <c r="AL372" s="1147" t="str">
        <f t="shared" si="232"/>
        <v>.</v>
      </c>
      <c r="AM372" s="3"/>
      <c r="AN372" s="1043" t="str">
        <f>IF(X372=".",".",SUM($X372:X372))</f>
        <v>.</v>
      </c>
      <c r="AO372" s="1044" t="str">
        <f>IF(Y372=".",".",SUM($X372:Y372))</f>
        <v>.</v>
      </c>
      <c r="AP372" s="1044" t="str">
        <f>IF(Z372=".",".",SUM($X372:Z372))</f>
        <v>.</v>
      </c>
      <c r="AQ372" s="1044" t="str">
        <f>IF(AA372=".",".",SUM($X372:AA372))</f>
        <v>.</v>
      </c>
      <c r="AR372" s="1044" t="str">
        <f>IF(AB372=".",".",SUM($X372:AB372))</f>
        <v>.</v>
      </c>
      <c r="AS372" s="1044" t="str">
        <f>IF(AC372=".",".",SUM($X372:AC372))</f>
        <v>.</v>
      </c>
      <c r="AT372" s="1045" t="str">
        <f>IF(AD372=".",".",SUM($X372:AD372))</f>
        <v>.</v>
      </c>
      <c r="AU372" s="3"/>
      <c r="AV372" s="1145" t="str">
        <f t="shared" si="233"/>
        <v>.</v>
      </c>
      <c r="AW372" s="1146" t="str">
        <f t="shared" si="234"/>
        <v>.</v>
      </c>
      <c r="AX372" s="1146" t="str">
        <f t="shared" si="235"/>
        <v>.</v>
      </c>
      <c r="AY372" s="1146" t="str">
        <f t="shared" si="236"/>
        <v>.</v>
      </c>
      <c r="AZ372" s="1146" t="str">
        <f t="shared" si="237"/>
        <v>.</v>
      </c>
      <c r="BA372" s="1146" t="str">
        <f t="shared" si="238"/>
        <v>.</v>
      </c>
      <c r="BB372" s="1147" t="str">
        <f t="shared" si="239"/>
        <v>.</v>
      </c>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row>
    <row r="373" spans="1:97" x14ac:dyDescent="0.2">
      <c r="A373" s="620"/>
      <c r="B373" s="1091"/>
      <c r="C373" s="456"/>
      <c r="D373" s="1022" t="s">
        <v>687</v>
      </c>
      <c r="E373" s="1100"/>
      <c r="F373" s="1100"/>
      <c r="G373" s="1100"/>
      <c r="H373" s="1100"/>
      <c r="I373" s="1100"/>
      <c r="J373" s="1012"/>
      <c r="K373" s="1012"/>
      <c r="L373" s="1024"/>
      <c r="M373" s="1024"/>
      <c r="N373" s="1024"/>
      <c r="O373" s="1024"/>
      <c r="P373" s="1024"/>
      <c r="Q373" s="1024"/>
      <c r="R373" s="76"/>
      <c r="S373" s="3"/>
      <c r="T373" s="3"/>
      <c r="U373" s="3"/>
      <c r="V373" s="1035"/>
      <c r="W373" s="3"/>
      <c r="X373" s="1043" t="str">
        <f t="shared" si="219"/>
        <v>.</v>
      </c>
      <c r="Y373" s="1044" t="str">
        <f t="shared" si="220"/>
        <v>.</v>
      </c>
      <c r="Z373" s="1044" t="str">
        <f t="shared" si="221"/>
        <v>.</v>
      </c>
      <c r="AA373" s="1044" t="str">
        <f t="shared" si="222"/>
        <v>.</v>
      </c>
      <c r="AB373" s="1044" t="str">
        <f t="shared" si="223"/>
        <v>.</v>
      </c>
      <c r="AC373" s="1044" t="str">
        <f t="shared" si="224"/>
        <v>.</v>
      </c>
      <c r="AD373" s="1045" t="str">
        <f t="shared" si="225"/>
        <v>.</v>
      </c>
      <c r="AE373" s="3"/>
      <c r="AF373" s="1145" t="str">
        <f t="shared" si="226"/>
        <v>.</v>
      </c>
      <c r="AG373" s="1146" t="str">
        <f t="shared" si="227"/>
        <v>.</v>
      </c>
      <c r="AH373" s="1146" t="str">
        <f t="shared" si="228"/>
        <v>.</v>
      </c>
      <c r="AI373" s="1146" t="str">
        <f t="shared" si="229"/>
        <v>.</v>
      </c>
      <c r="AJ373" s="1146" t="str">
        <f t="shared" si="230"/>
        <v>.</v>
      </c>
      <c r="AK373" s="1146" t="str">
        <f t="shared" si="231"/>
        <v>.</v>
      </c>
      <c r="AL373" s="1147" t="str">
        <f t="shared" si="232"/>
        <v>.</v>
      </c>
      <c r="AM373" s="3"/>
      <c r="AN373" s="1043" t="str">
        <f>IF(X373=".",".",SUM($X373:X373))</f>
        <v>.</v>
      </c>
      <c r="AO373" s="1044" t="str">
        <f>IF(Y373=".",".",SUM($X373:Y373))</f>
        <v>.</v>
      </c>
      <c r="AP373" s="1044" t="str">
        <f>IF(Z373=".",".",SUM($X373:Z373))</f>
        <v>.</v>
      </c>
      <c r="AQ373" s="1044" t="str">
        <f>IF(AA373=".",".",SUM($X373:AA373))</f>
        <v>.</v>
      </c>
      <c r="AR373" s="1044" t="str">
        <f>IF(AB373=".",".",SUM($X373:AB373))</f>
        <v>.</v>
      </c>
      <c r="AS373" s="1044" t="str">
        <f>IF(AC373=".",".",SUM($X373:AC373))</f>
        <v>.</v>
      </c>
      <c r="AT373" s="1045" t="str">
        <f>IF(AD373=".",".",SUM($X373:AD373))</f>
        <v>.</v>
      </c>
      <c r="AU373" s="3"/>
      <c r="AV373" s="1145" t="str">
        <f t="shared" si="233"/>
        <v>.</v>
      </c>
      <c r="AW373" s="1146" t="str">
        <f t="shared" si="234"/>
        <v>.</v>
      </c>
      <c r="AX373" s="1146" t="str">
        <f t="shared" si="235"/>
        <v>.</v>
      </c>
      <c r="AY373" s="1146" t="str">
        <f t="shared" si="236"/>
        <v>.</v>
      </c>
      <c r="AZ373" s="1146" t="str">
        <f t="shared" si="237"/>
        <v>.</v>
      </c>
      <c r="BA373" s="1146" t="str">
        <f t="shared" si="238"/>
        <v>.</v>
      </c>
      <c r="BB373" s="1147" t="str">
        <f t="shared" si="239"/>
        <v>.</v>
      </c>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row>
    <row r="374" spans="1:97" x14ac:dyDescent="0.2">
      <c r="A374" s="620"/>
      <c r="B374" s="1091"/>
      <c r="C374" s="456"/>
      <c r="D374" s="1022" t="s">
        <v>687</v>
      </c>
      <c r="E374" s="1100"/>
      <c r="F374" s="1100"/>
      <c r="G374" s="1100"/>
      <c r="H374" s="1100"/>
      <c r="I374" s="1100"/>
      <c r="J374" s="1012"/>
      <c r="K374" s="1012"/>
      <c r="L374" s="1024"/>
      <c r="M374" s="1024"/>
      <c r="N374" s="1024"/>
      <c r="O374" s="1024"/>
      <c r="P374" s="1024"/>
      <c r="Q374" s="1024"/>
      <c r="R374" s="76"/>
      <c r="S374" s="3"/>
      <c r="T374" s="3"/>
      <c r="U374" s="3"/>
      <c r="V374" s="1035"/>
      <c r="W374" s="3"/>
      <c r="X374" s="1043" t="str">
        <f t="shared" si="219"/>
        <v>.</v>
      </c>
      <c r="Y374" s="1044" t="str">
        <f t="shared" si="220"/>
        <v>.</v>
      </c>
      <c r="Z374" s="1044" t="str">
        <f t="shared" si="221"/>
        <v>.</v>
      </c>
      <c r="AA374" s="1044" t="str">
        <f t="shared" si="222"/>
        <v>.</v>
      </c>
      <c r="AB374" s="1044" t="str">
        <f t="shared" si="223"/>
        <v>.</v>
      </c>
      <c r="AC374" s="1044" t="str">
        <f t="shared" si="224"/>
        <v>.</v>
      </c>
      <c r="AD374" s="1045" t="str">
        <f t="shared" si="225"/>
        <v>.</v>
      </c>
      <c r="AE374" s="3"/>
      <c r="AF374" s="1145" t="str">
        <f t="shared" si="226"/>
        <v>.</v>
      </c>
      <c r="AG374" s="1146" t="str">
        <f t="shared" si="227"/>
        <v>.</v>
      </c>
      <c r="AH374" s="1146" t="str">
        <f t="shared" si="228"/>
        <v>.</v>
      </c>
      <c r="AI374" s="1146" t="str">
        <f t="shared" si="229"/>
        <v>.</v>
      </c>
      <c r="AJ374" s="1146" t="str">
        <f t="shared" si="230"/>
        <v>.</v>
      </c>
      <c r="AK374" s="1146" t="str">
        <f t="shared" si="231"/>
        <v>.</v>
      </c>
      <c r="AL374" s="1147" t="str">
        <f t="shared" si="232"/>
        <v>.</v>
      </c>
      <c r="AM374" s="3"/>
      <c r="AN374" s="1043" t="str">
        <f>IF(X374=".",".",SUM($X374:X374))</f>
        <v>.</v>
      </c>
      <c r="AO374" s="1044" t="str">
        <f>IF(Y374=".",".",SUM($X374:Y374))</f>
        <v>.</v>
      </c>
      <c r="AP374" s="1044" t="str">
        <f>IF(Z374=".",".",SUM($X374:Z374))</f>
        <v>.</v>
      </c>
      <c r="AQ374" s="1044" t="str">
        <f>IF(AA374=".",".",SUM($X374:AA374))</f>
        <v>.</v>
      </c>
      <c r="AR374" s="1044" t="str">
        <f>IF(AB374=".",".",SUM($X374:AB374))</f>
        <v>.</v>
      </c>
      <c r="AS374" s="1044" t="str">
        <f>IF(AC374=".",".",SUM($X374:AC374))</f>
        <v>.</v>
      </c>
      <c r="AT374" s="1045" t="str">
        <f>IF(AD374=".",".",SUM($X374:AD374))</f>
        <v>.</v>
      </c>
      <c r="AU374" s="3"/>
      <c r="AV374" s="1145" t="str">
        <f t="shared" si="233"/>
        <v>.</v>
      </c>
      <c r="AW374" s="1146" t="str">
        <f t="shared" si="234"/>
        <v>.</v>
      </c>
      <c r="AX374" s="1146" t="str">
        <f t="shared" si="235"/>
        <v>.</v>
      </c>
      <c r="AY374" s="1146" t="str">
        <f t="shared" si="236"/>
        <v>.</v>
      </c>
      <c r="AZ374" s="1146" t="str">
        <f t="shared" si="237"/>
        <v>.</v>
      </c>
      <c r="BA374" s="1146" t="str">
        <f t="shared" si="238"/>
        <v>.</v>
      </c>
      <c r="BB374" s="1147" t="str">
        <f t="shared" si="239"/>
        <v>.</v>
      </c>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row>
    <row r="375" spans="1:97" x14ac:dyDescent="0.2">
      <c r="A375" s="620"/>
      <c r="B375" s="1092"/>
      <c r="C375" s="1098"/>
      <c r="D375" s="1101" t="s">
        <v>687</v>
      </c>
      <c r="E375" s="1101"/>
      <c r="F375" s="1101"/>
      <c r="G375" s="1101"/>
      <c r="H375" s="1101"/>
      <c r="I375" s="1101"/>
      <c r="J375" s="1013"/>
      <c r="K375" s="1013"/>
      <c r="L375" s="1102"/>
      <c r="M375" s="1102"/>
      <c r="N375" s="1102"/>
      <c r="O375" s="1102"/>
      <c r="P375" s="1102"/>
      <c r="Q375" s="1102"/>
      <c r="R375" s="76"/>
      <c r="S375" s="3"/>
      <c r="T375" s="3"/>
      <c r="U375" s="3"/>
      <c r="V375" s="1035"/>
      <c r="W375" s="3"/>
      <c r="X375" s="1046" t="str">
        <f t="shared" si="219"/>
        <v>.</v>
      </c>
      <c r="Y375" s="1047" t="str">
        <f t="shared" si="220"/>
        <v>.</v>
      </c>
      <c r="Z375" s="1047" t="str">
        <f t="shared" si="221"/>
        <v>.</v>
      </c>
      <c r="AA375" s="1047" t="str">
        <f t="shared" si="222"/>
        <v>.</v>
      </c>
      <c r="AB375" s="1047" t="str">
        <f t="shared" si="223"/>
        <v>.</v>
      </c>
      <c r="AC375" s="1047" t="str">
        <f t="shared" si="224"/>
        <v>.</v>
      </c>
      <c r="AD375" s="1048" t="str">
        <f t="shared" si="225"/>
        <v>.</v>
      </c>
      <c r="AE375" s="3"/>
      <c r="AF375" s="1151" t="str">
        <f t="shared" si="226"/>
        <v>.</v>
      </c>
      <c r="AG375" s="1152" t="str">
        <f t="shared" si="227"/>
        <v>.</v>
      </c>
      <c r="AH375" s="1152" t="str">
        <f t="shared" si="228"/>
        <v>.</v>
      </c>
      <c r="AI375" s="1152" t="str">
        <f t="shared" si="229"/>
        <v>.</v>
      </c>
      <c r="AJ375" s="1152" t="str">
        <f t="shared" si="230"/>
        <v>.</v>
      </c>
      <c r="AK375" s="1152" t="str">
        <f t="shared" si="231"/>
        <v>.</v>
      </c>
      <c r="AL375" s="1153" t="str">
        <f t="shared" si="232"/>
        <v>.</v>
      </c>
      <c r="AM375" s="3"/>
      <c r="AN375" s="1046" t="str">
        <f>IF(X375=".",".",SUM($X375:X375))</f>
        <v>.</v>
      </c>
      <c r="AO375" s="1047" t="str">
        <f>IF(Y375=".",".",SUM($X375:Y375))</f>
        <v>.</v>
      </c>
      <c r="AP375" s="1047" t="str">
        <f>IF(Z375=".",".",SUM($X375:Z375))</f>
        <v>.</v>
      </c>
      <c r="AQ375" s="1047" t="str">
        <f>IF(AA375=".",".",SUM($X375:AA375))</f>
        <v>.</v>
      </c>
      <c r="AR375" s="1047" t="str">
        <f>IF(AB375=".",".",SUM($X375:AB375))</f>
        <v>.</v>
      </c>
      <c r="AS375" s="1047" t="str">
        <f>IF(AC375=".",".",SUM($X375:AC375))</f>
        <v>.</v>
      </c>
      <c r="AT375" s="1048" t="str">
        <f>IF(AD375=".",".",SUM($X375:AD375))</f>
        <v>.</v>
      </c>
      <c r="AU375" s="3"/>
      <c r="AV375" s="1151" t="str">
        <f t="shared" si="233"/>
        <v>.</v>
      </c>
      <c r="AW375" s="1152" t="str">
        <f t="shared" si="234"/>
        <v>.</v>
      </c>
      <c r="AX375" s="1152" t="str">
        <f t="shared" si="235"/>
        <v>.</v>
      </c>
      <c r="AY375" s="1152" t="str">
        <f t="shared" si="236"/>
        <v>.</v>
      </c>
      <c r="AZ375" s="1152" t="str">
        <f t="shared" si="237"/>
        <v>.</v>
      </c>
      <c r="BA375" s="1152" t="str">
        <f t="shared" si="238"/>
        <v>.</v>
      </c>
      <c r="BB375" s="1153" t="str">
        <f t="shared" si="239"/>
        <v>.</v>
      </c>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row>
    <row r="376" spans="1:97" x14ac:dyDescent="0.2">
      <c r="A376" s="620"/>
      <c r="B376" s="3"/>
      <c r="C376" s="3"/>
      <c r="D376" s="3"/>
      <c r="E376" s="3"/>
      <c r="F376" s="3"/>
      <c r="G376" s="3"/>
      <c r="H376" s="3"/>
      <c r="I376" s="3"/>
      <c r="J376" s="16"/>
      <c r="K376" s="16"/>
      <c r="L376" s="3"/>
      <c r="M376" s="3"/>
      <c r="N376" s="3"/>
      <c r="O376" s="3"/>
      <c r="P376" s="3"/>
      <c r="Q376" s="3"/>
      <c r="R376" s="76"/>
      <c r="S376" s="3"/>
      <c r="T376" s="3"/>
      <c r="U376" s="3"/>
      <c r="V376" s="1035"/>
      <c r="W376" s="3"/>
      <c r="X376" s="3"/>
      <c r="Y376" s="3"/>
      <c r="Z376" s="3"/>
      <c r="AA376" s="3"/>
      <c r="AB376" s="3"/>
      <c r="AC376" s="3"/>
      <c r="AD376" s="3"/>
      <c r="AE376" s="3"/>
      <c r="AF376" s="282"/>
      <c r="AG376" s="282"/>
      <c r="AH376" s="282"/>
      <c r="AI376" s="282"/>
      <c r="AJ376" s="282"/>
      <c r="AK376" s="282"/>
      <c r="AL376" s="282"/>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row>
    <row r="377" spans="1:97" x14ac:dyDescent="0.2">
      <c r="A377" s="620"/>
      <c r="B377" s="3"/>
      <c r="C377" s="3"/>
      <c r="D377" s="3"/>
      <c r="E377" s="3"/>
      <c r="F377" s="3"/>
      <c r="G377" s="3"/>
      <c r="H377" s="3"/>
      <c r="I377" s="3"/>
      <c r="J377" s="16"/>
      <c r="K377" s="16"/>
      <c r="L377" s="3"/>
      <c r="M377" s="3"/>
      <c r="N377" s="3"/>
      <c r="O377" s="3"/>
      <c r="P377" s="3"/>
      <c r="Q377" s="3"/>
      <c r="R377" s="76"/>
      <c r="S377" s="3"/>
      <c r="T377" s="3"/>
      <c r="U377" s="3"/>
      <c r="V377" s="1035"/>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row>
    <row r="378" spans="1:97" ht="12.75" x14ac:dyDescent="0.2">
      <c r="A378" s="620">
        <f>A346+1</f>
        <v>5</v>
      </c>
      <c r="B378" s="1086" t="str">
        <f>"Table "&amp;A1&amp;"."&amp;A378&amp;": Water Supply Services - Annual Charge"</f>
        <v>Table 7.5: Water Supply Services - Annual Charge</v>
      </c>
      <c r="C378" s="1067"/>
      <c r="D378" s="1067"/>
      <c r="E378" s="1067"/>
      <c r="F378" s="1067"/>
      <c r="G378" s="1067"/>
      <c r="H378" s="1067"/>
      <c r="I378" s="1067"/>
      <c r="J378" s="1068"/>
      <c r="K378" s="1103"/>
      <c r="L378" s="1069"/>
      <c r="M378" s="1069"/>
      <c r="N378" s="1069"/>
      <c r="O378" s="1069"/>
      <c r="P378" s="1069"/>
      <c r="Q378" s="1071"/>
      <c r="R378" s="76"/>
      <c r="S378" s="3"/>
      <c r="T378" s="3"/>
      <c r="U378" s="3"/>
      <c r="V378" s="1035"/>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row>
    <row r="379" spans="1:97" x14ac:dyDescent="0.2">
      <c r="A379" s="620"/>
      <c r="B379" s="1109" t="s">
        <v>700</v>
      </c>
      <c r="C379" s="1110"/>
      <c r="D379" s="1110"/>
      <c r="E379" s="1110"/>
      <c r="F379" s="1110"/>
      <c r="G379" s="1110"/>
      <c r="H379" s="1110"/>
      <c r="I379" s="1110"/>
      <c r="J379" s="1111"/>
      <c r="K379" s="1112"/>
      <c r="L379" s="1113"/>
      <c r="M379" s="1113"/>
      <c r="N379" s="1113"/>
      <c r="O379" s="1113"/>
      <c r="P379" s="1113"/>
      <c r="Q379" s="1114"/>
      <c r="R379" s="76"/>
      <c r="S379" s="3"/>
      <c r="T379" s="3"/>
      <c r="U379" s="3"/>
      <c r="V379" s="1035"/>
      <c r="W379" s="3"/>
      <c r="X379" s="208" t="str">
        <f>X$25</f>
        <v>Annual increases (nominal $ per year)</v>
      </c>
      <c r="Y379" s="3"/>
      <c r="Z379" s="3"/>
      <c r="AA379" s="3"/>
      <c r="AB379" s="3"/>
      <c r="AC379" s="3"/>
      <c r="AD379" s="3"/>
      <c r="AE379" s="3"/>
      <c r="AF379" s="208" t="str">
        <f>AF$25</f>
        <v>Annual increases (%)</v>
      </c>
      <c r="AG379" s="3"/>
      <c r="AH379" s="3"/>
      <c r="AI379" s="3"/>
      <c r="AJ379" s="3"/>
      <c r="AK379" s="3"/>
      <c r="AL379" s="3"/>
      <c r="AM379" s="3"/>
      <c r="AN379" s="208" t="str">
        <f>AN$25</f>
        <v>Cumulative increases (nominal $ per year)</v>
      </c>
      <c r="AO379" s="3"/>
      <c r="AP379" s="3"/>
      <c r="AQ379" s="3"/>
      <c r="AR379" s="3"/>
      <c r="AS379" s="3"/>
      <c r="AT379" s="3"/>
      <c r="AU379" s="3"/>
      <c r="AV379" s="208" t="str">
        <f>AV$25</f>
        <v>Cumulative increases (%)</v>
      </c>
      <c r="AW379" s="3"/>
      <c r="AX379" s="3"/>
      <c r="AY379" s="3"/>
      <c r="AZ379" s="3"/>
      <c r="BA379" s="3"/>
      <c r="BB379" s="3"/>
      <c r="BC379" s="3"/>
      <c r="BD379" s="3"/>
      <c r="BE379" s="3"/>
      <c r="BF379" s="3"/>
      <c r="BG379" s="3"/>
      <c r="BH379" s="3"/>
      <c r="BI379" s="3"/>
      <c r="BJ379" s="3"/>
      <c r="BK379" s="3"/>
    </row>
    <row r="380" spans="1:97" ht="39" customHeight="1" x14ac:dyDescent="0.2">
      <c r="A380" s="620"/>
      <c r="B380" s="685" t="s">
        <v>701</v>
      </c>
      <c r="C380" s="421"/>
      <c r="D380" s="1003"/>
      <c r="E380" s="1003"/>
      <c r="F380" s="1003"/>
      <c r="G380" s="1003"/>
      <c r="H380" s="1003"/>
      <c r="I380" s="1003"/>
      <c r="J380" s="1014" t="s">
        <v>702</v>
      </c>
      <c r="K380" s="1014" t="s">
        <v>703</v>
      </c>
      <c r="L380" s="1014" t="s">
        <v>704</v>
      </c>
      <c r="M380" s="1014" t="s">
        <v>705</v>
      </c>
      <c r="N380" s="1014" t="s">
        <v>706</v>
      </c>
      <c r="O380" s="1014" t="s">
        <v>707</v>
      </c>
      <c r="P380" s="1014" t="s">
        <v>708</v>
      </c>
      <c r="Q380" s="1014" t="s">
        <v>709</v>
      </c>
      <c r="R380" s="76"/>
      <c r="S380" s="3"/>
      <c r="T380" s="3"/>
      <c r="U380" s="3"/>
      <c r="V380" s="1035"/>
      <c r="W380" s="3"/>
      <c r="X380" s="1049" t="str">
        <f>B378</f>
        <v>Table 7.5: Water Supply Services - Annual Charge</v>
      </c>
      <c r="Y380" s="695"/>
      <c r="Z380" s="695"/>
      <c r="AA380" s="695"/>
      <c r="AB380" s="695"/>
      <c r="AC380" s="695"/>
      <c r="AD380" s="1050"/>
      <c r="AE380" s="3"/>
      <c r="AF380" s="1049" t="str">
        <f>$X380</f>
        <v>Table 7.5: Water Supply Services - Annual Charge</v>
      </c>
      <c r="AG380" s="695"/>
      <c r="AH380" s="695"/>
      <c r="AI380" s="695"/>
      <c r="AJ380" s="695"/>
      <c r="AK380" s="695"/>
      <c r="AL380" s="1050"/>
      <c r="AM380" s="3"/>
      <c r="AN380" s="1049" t="str">
        <f>$X380</f>
        <v>Table 7.5: Water Supply Services - Annual Charge</v>
      </c>
      <c r="AO380" s="695"/>
      <c r="AP380" s="695"/>
      <c r="AQ380" s="695"/>
      <c r="AR380" s="695"/>
      <c r="AS380" s="695"/>
      <c r="AT380" s="1050"/>
      <c r="AU380" s="3"/>
      <c r="AV380" s="1049" t="str">
        <f>$X380</f>
        <v>Table 7.5: Water Supply Services - Annual Charge</v>
      </c>
      <c r="AW380" s="695"/>
      <c r="AX380" s="695"/>
      <c r="AY380" s="695"/>
      <c r="AZ380" s="695"/>
      <c r="BA380" s="695"/>
      <c r="BB380" s="1050"/>
      <c r="BC380" s="3"/>
      <c r="BD380" s="3"/>
      <c r="BE380" s="3"/>
      <c r="BF380" s="3"/>
      <c r="BG380" s="3"/>
      <c r="BH380" s="3"/>
      <c r="BI380" s="3"/>
      <c r="BJ380" s="3"/>
      <c r="BK380" s="3"/>
    </row>
    <row r="381" spans="1:97" x14ac:dyDescent="0.2">
      <c r="A381" s="620"/>
      <c r="B381" s="299"/>
      <c r="C381" s="3"/>
      <c r="D381" s="290"/>
      <c r="E381" s="1005"/>
      <c r="F381" s="1005"/>
      <c r="G381" s="1005"/>
      <c r="H381" s="1005"/>
      <c r="I381" s="1005"/>
      <c r="J381" s="1018" t="str">
        <f t="shared" ref="J381:Q381" si="240">J349</f>
        <v>2023-24</v>
      </c>
      <c r="K381" s="1018" t="str">
        <f t="shared" si="240"/>
        <v>2024-25</v>
      </c>
      <c r="L381" s="1018" t="str">
        <f t="shared" si="240"/>
        <v>2025-26</v>
      </c>
      <c r="M381" s="1018" t="str">
        <f t="shared" si="240"/>
        <v>2026-27</v>
      </c>
      <c r="N381" s="1018" t="str">
        <f t="shared" si="240"/>
        <v>2027-28</v>
      </c>
      <c r="O381" s="1018" t="str">
        <f t="shared" si="240"/>
        <v>2028-29</v>
      </c>
      <c r="P381" s="1018" t="str">
        <f t="shared" si="240"/>
        <v>2029-30</v>
      </c>
      <c r="Q381" s="1018" t="str">
        <f t="shared" si="240"/>
        <v>2030-31</v>
      </c>
      <c r="R381" s="76"/>
      <c r="S381" s="3"/>
      <c r="T381" s="3"/>
      <c r="U381" s="3"/>
      <c r="V381" s="1035"/>
      <c r="W381" s="3"/>
      <c r="X381" s="1051" t="str">
        <f>X$27</f>
        <v>Year 1</v>
      </c>
      <c r="Y381" s="1052" t="str">
        <f t="shared" ref="Y381:AD381" si="241">Y$27</f>
        <v>Year 2</v>
      </c>
      <c r="Z381" s="1052" t="str">
        <f t="shared" si="241"/>
        <v>Year 3</v>
      </c>
      <c r="AA381" s="1052" t="str">
        <f t="shared" si="241"/>
        <v>Year 4</v>
      </c>
      <c r="AB381" s="1052" t="str">
        <f t="shared" si="241"/>
        <v>Year 5</v>
      </c>
      <c r="AC381" s="1052" t="str">
        <f t="shared" si="241"/>
        <v>Year 6</v>
      </c>
      <c r="AD381" s="1053" t="str">
        <f t="shared" si="241"/>
        <v>Year 7</v>
      </c>
      <c r="AE381" s="19"/>
      <c r="AF381" s="1051" t="str">
        <f t="shared" ref="AF381:AL381" si="242">AF$27</f>
        <v>Year 1</v>
      </c>
      <c r="AG381" s="1052" t="str">
        <f t="shared" si="242"/>
        <v>Year 2</v>
      </c>
      <c r="AH381" s="1052" t="str">
        <f t="shared" si="242"/>
        <v>Year 3</v>
      </c>
      <c r="AI381" s="1052" t="str">
        <f t="shared" si="242"/>
        <v>Year 4</v>
      </c>
      <c r="AJ381" s="1052" t="str">
        <f t="shared" si="242"/>
        <v>Year 5</v>
      </c>
      <c r="AK381" s="1052" t="str">
        <f t="shared" si="242"/>
        <v>Year 6</v>
      </c>
      <c r="AL381" s="1053" t="str">
        <f t="shared" si="242"/>
        <v>Year 7</v>
      </c>
      <c r="AM381" s="19"/>
      <c r="AN381" s="1051" t="str">
        <f>AN$27</f>
        <v>Year 1</v>
      </c>
      <c r="AO381" s="1052" t="str">
        <f t="shared" ref="AO381:AT381" si="243">AO$27</f>
        <v>Year 2</v>
      </c>
      <c r="AP381" s="1052" t="str">
        <f t="shared" si="243"/>
        <v>Year 3</v>
      </c>
      <c r="AQ381" s="1052" t="str">
        <f t="shared" si="243"/>
        <v>Year 4</v>
      </c>
      <c r="AR381" s="1052" t="str">
        <f t="shared" si="243"/>
        <v>Year 5</v>
      </c>
      <c r="AS381" s="1052" t="str">
        <f t="shared" si="243"/>
        <v>Year 6</v>
      </c>
      <c r="AT381" s="1053" t="str">
        <f t="shared" si="243"/>
        <v>Year 7</v>
      </c>
      <c r="AU381" s="19"/>
      <c r="AV381" s="1051" t="str">
        <f>AV$27</f>
        <v>Year 1</v>
      </c>
      <c r="AW381" s="1052" t="str">
        <f t="shared" ref="AW381:BB381" si="244">AW$27</f>
        <v>Year 2</v>
      </c>
      <c r="AX381" s="1052" t="str">
        <f t="shared" si="244"/>
        <v>Year 3</v>
      </c>
      <c r="AY381" s="1052" t="str">
        <f t="shared" si="244"/>
        <v>Year 4</v>
      </c>
      <c r="AZ381" s="1052" t="str">
        <f t="shared" si="244"/>
        <v>Year 5</v>
      </c>
      <c r="BA381" s="1052" t="str">
        <f t="shared" si="244"/>
        <v>Year 6</v>
      </c>
      <c r="BB381" s="1053" t="str">
        <f t="shared" si="244"/>
        <v>Year 7</v>
      </c>
      <c r="BC381" s="3"/>
      <c r="BD381" s="3"/>
      <c r="BE381" s="3"/>
      <c r="BF381" s="3"/>
      <c r="BG381" s="3"/>
      <c r="BH381" s="3"/>
      <c r="BI381" s="3"/>
      <c r="BJ381" s="3"/>
      <c r="BK381" s="3"/>
    </row>
    <row r="382" spans="1:97" x14ac:dyDescent="0.2">
      <c r="A382" s="620"/>
      <c r="B382" s="1118"/>
      <c r="C382" s="1119"/>
      <c r="D382" s="1079" t="s">
        <v>687</v>
      </c>
      <c r="E382" s="1100"/>
      <c r="F382" s="1100"/>
      <c r="G382" s="1100"/>
      <c r="H382" s="1100"/>
      <c r="I382" s="1100"/>
      <c r="J382" s="1012"/>
      <c r="K382" s="1012"/>
      <c r="L382" s="1024"/>
      <c r="M382" s="1024"/>
      <c r="N382" s="1024"/>
      <c r="O382" s="1024"/>
      <c r="P382" s="1024"/>
      <c r="Q382" s="1024"/>
      <c r="R382" s="76"/>
      <c r="S382" s="3"/>
      <c r="T382" s="3"/>
      <c r="U382" s="3"/>
      <c r="V382" s="1035"/>
      <c r="W382" s="3"/>
      <c r="X382" s="1043" t="str">
        <f t="shared" ref="X382:X401" si="245">IF(K382="",".",K382-J382)</f>
        <v>.</v>
      </c>
      <c r="Y382" s="1044" t="str">
        <f t="shared" ref="Y382:Y401" si="246">IF(L382="",".",L382-K382)</f>
        <v>.</v>
      </c>
      <c r="Z382" s="1044" t="str">
        <f t="shared" ref="Z382:Z401" si="247">IF(M382="",".",M382-L382)</f>
        <v>.</v>
      </c>
      <c r="AA382" s="1044" t="str">
        <f t="shared" ref="AA382:AA401" si="248">IF(N382="",".",N382-M382)</f>
        <v>.</v>
      </c>
      <c r="AB382" s="1044" t="str">
        <f t="shared" ref="AB382:AB401" si="249">IF(O382="",".",O382-N382)</f>
        <v>.</v>
      </c>
      <c r="AC382" s="1044" t="str">
        <f t="shared" ref="AC382:AC401" si="250">IF(P382="",".",P382-O382)</f>
        <v>.</v>
      </c>
      <c r="AD382" s="1045" t="str">
        <f t="shared" ref="AD382:AD401" si="251">IF(Q382="",".",Q382-P382)</f>
        <v>.</v>
      </c>
      <c r="AE382" s="3"/>
      <c r="AF382" s="1145" t="str">
        <f t="shared" ref="AF382:AF401" si="252">IFERROR(K382/J382-1,".")</f>
        <v>.</v>
      </c>
      <c r="AG382" s="1146" t="str">
        <f t="shared" ref="AG382:AG401" si="253">IFERROR(L382/K382-1,".")</f>
        <v>.</v>
      </c>
      <c r="AH382" s="1146" t="str">
        <f t="shared" ref="AH382:AH401" si="254">IFERROR(M382/L382-1,".")</f>
        <v>.</v>
      </c>
      <c r="AI382" s="1146" t="str">
        <f t="shared" ref="AI382:AI401" si="255">IFERROR(N382/M382-1,".")</f>
        <v>.</v>
      </c>
      <c r="AJ382" s="1146" t="str">
        <f t="shared" ref="AJ382:AJ401" si="256">IFERROR(O382/N382-1,".")</f>
        <v>.</v>
      </c>
      <c r="AK382" s="1146" t="str">
        <f t="shared" ref="AK382:AK401" si="257">IFERROR(P382/O382-1,".")</f>
        <v>.</v>
      </c>
      <c r="AL382" s="1147" t="str">
        <f t="shared" ref="AL382:AL401" si="258">IFERROR(Q382/P382-1,".")</f>
        <v>.</v>
      </c>
      <c r="AM382" s="3"/>
      <c r="AN382" s="1043" t="str">
        <f>IF(X382=".",".",SUM($X382:X382))</f>
        <v>.</v>
      </c>
      <c r="AO382" s="1044" t="str">
        <f>IF(Y382=".",".",SUM($X382:Y382))</f>
        <v>.</v>
      </c>
      <c r="AP382" s="1044" t="str">
        <f>IF(Z382=".",".",SUM($X382:Z382))</f>
        <v>.</v>
      </c>
      <c r="AQ382" s="1044" t="str">
        <f>IF(AA382=".",".",SUM($X382:AA382))</f>
        <v>.</v>
      </c>
      <c r="AR382" s="1044" t="str">
        <f>IF(AB382=".",".",SUM($X382:AB382))</f>
        <v>.</v>
      </c>
      <c r="AS382" s="1044" t="str">
        <f>IF(AC382=".",".",SUM($X382:AC382))</f>
        <v>.</v>
      </c>
      <c r="AT382" s="1045" t="str">
        <f>IF(AD382=".",".",SUM($X382:AD382))</f>
        <v>.</v>
      </c>
      <c r="AU382" s="3"/>
      <c r="AV382" s="1145" t="str">
        <f t="shared" ref="AV382:AV401" si="259">IFERROR(K382/$J382-1,".")</f>
        <v>.</v>
      </c>
      <c r="AW382" s="1146" t="str">
        <f t="shared" ref="AW382:AW401" si="260">IFERROR(L382/$J382-1,".")</f>
        <v>.</v>
      </c>
      <c r="AX382" s="1146" t="str">
        <f t="shared" ref="AX382:AX401" si="261">IFERROR(M382/$J382-1,".")</f>
        <v>.</v>
      </c>
      <c r="AY382" s="1146" t="str">
        <f t="shared" ref="AY382:AY401" si="262">IFERROR(N382/$J382-1,".")</f>
        <v>.</v>
      </c>
      <c r="AZ382" s="1146" t="str">
        <f t="shared" ref="AZ382:AZ401" si="263">IFERROR(O382/$J382-1,".")</f>
        <v>.</v>
      </c>
      <c r="BA382" s="1146" t="str">
        <f t="shared" ref="BA382:BA401" si="264">IFERROR(P382/$J382-1,".")</f>
        <v>.</v>
      </c>
      <c r="BB382" s="1147" t="str">
        <f t="shared" ref="BB382:BB401" si="265">IFERROR(Q382/$J382-1,".")</f>
        <v>.</v>
      </c>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1:97" x14ac:dyDescent="0.2">
      <c r="A383" s="620"/>
      <c r="B383" s="1091"/>
      <c r="C383" s="456"/>
      <c r="D383" s="1022" t="s">
        <v>687</v>
      </c>
      <c r="E383" s="1100"/>
      <c r="F383" s="1100"/>
      <c r="G383" s="1100"/>
      <c r="H383" s="1100"/>
      <c r="I383" s="1100"/>
      <c r="J383" s="1012"/>
      <c r="K383" s="1012"/>
      <c r="L383" s="1024"/>
      <c r="M383" s="1024"/>
      <c r="N383" s="1024"/>
      <c r="O383" s="1024"/>
      <c r="P383" s="1024"/>
      <c r="Q383" s="1024"/>
      <c r="R383" s="76"/>
      <c r="S383" s="3"/>
      <c r="T383" s="3"/>
      <c r="U383" s="3"/>
      <c r="V383" s="1035"/>
      <c r="W383" s="3"/>
      <c r="X383" s="1043" t="str">
        <f t="shared" si="245"/>
        <v>.</v>
      </c>
      <c r="Y383" s="1044" t="str">
        <f t="shared" si="246"/>
        <v>.</v>
      </c>
      <c r="Z383" s="1044" t="str">
        <f t="shared" si="247"/>
        <v>.</v>
      </c>
      <c r="AA383" s="1044" t="str">
        <f t="shared" si="248"/>
        <v>.</v>
      </c>
      <c r="AB383" s="1044" t="str">
        <f t="shared" si="249"/>
        <v>.</v>
      </c>
      <c r="AC383" s="1044" t="str">
        <f t="shared" si="250"/>
        <v>.</v>
      </c>
      <c r="AD383" s="1045" t="str">
        <f t="shared" si="251"/>
        <v>.</v>
      </c>
      <c r="AE383" s="3"/>
      <c r="AF383" s="1145" t="str">
        <f t="shared" si="252"/>
        <v>.</v>
      </c>
      <c r="AG383" s="1146" t="str">
        <f t="shared" si="253"/>
        <v>.</v>
      </c>
      <c r="AH383" s="1146" t="str">
        <f t="shared" si="254"/>
        <v>.</v>
      </c>
      <c r="AI383" s="1146" t="str">
        <f t="shared" si="255"/>
        <v>.</v>
      </c>
      <c r="AJ383" s="1146" t="str">
        <f t="shared" si="256"/>
        <v>.</v>
      </c>
      <c r="AK383" s="1146" t="str">
        <f t="shared" si="257"/>
        <v>.</v>
      </c>
      <c r="AL383" s="1147" t="str">
        <f t="shared" si="258"/>
        <v>.</v>
      </c>
      <c r="AM383" s="3"/>
      <c r="AN383" s="1043" t="str">
        <f>IF(X383=".",".",SUM($X383:X383))</f>
        <v>.</v>
      </c>
      <c r="AO383" s="1044" t="str">
        <f>IF(Y383=".",".",SUM($X383:Y383))</f>
        <v>.</v>
      </c>
      <c r="AP383" s="1044" t="str">
        <f>IF(Z383=".",".",SUM($X383:Z383))</f>
        <v>.</v>
      </c>
      <c r="AQ383" s="1044" t="str">
        <f>IF(AA383=".",".",SUM($X383:AA383))</f>
        <v>.</v>
      </c>
      <c r="AR383" s="1044" t="str">
        <f>IF(AB383=".",".",SUM($X383:AB383))</f>
        <v>.</v>
      </c>
      <c r="AS383" s="1044" t="str">
        <f>IF(AC383=".",".",SUM($X383:AC383))</f>
        <v>.</v>
      </c>
      <c r="AT383" s="1045" t="str">
        <f>IF(AD383=".",".",SUM($X383:AD383))</f>
        <v>.</v>
      </c>
      <c r="AU383" s="3"/>
      <c r="AV383" s="1145" t="str">
        <f t="shared" si="259"/>
        <v>.</v>
      </c>
      <c r="AW383" s="1146" t="str">
        <f t="shared" si="260"/>
        <v>.</v>
      </c>
      <c r="AX383" s="1146" t="str">
        <f t="shared" si="261"/>
        <v>.</v>
      </c>
      <c r="AY383" s="1146" t="str">
        <f t="shared" si="262"/>
        <v>.</v>
      </c>
      <c r="AZ383" s="1146" t="str">
        <f t="shared" si="263"/>
        <v>.</v>
      </c>
      <c r="BA383" s="1146" t="str">
        <f t="shared" si="264"/>
        <v>.</v>
      </c>
      <c r="BB383" s="1147" t="str">
        <f t="shared" si="265"/>
        <v>.</v>
      </c>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1:97" x14ac:dyDescent="0.2">
      <c r="A384" s="620"/>
      <c r="B384" s="1091"/>
      <c r="C384" s="456"/>
      <c r="D384" s="1022" t="s">
        <v>687</v>
      </c>
      <c r="E384" s="1100"/>
      <c r="F384" s="1100"/>
      <c r="G384" s="1100"/>
      <c r="H384" s="1100"/>
      <c r="I384" s="1100"/>
      <c r="J384" s="1012"/>
      <c r="K384" s="1012"/>
      <c r="L384" s="1024"/>
      <c r="M384" s="1024"/>
      <c r="N384" s="1024"/>
      <c r="O384" s="1024"/>
      <c r="P384" s="1024"/>
      <c r="Q384" s="1024"/>
      <c r="R384" s="76"/>
      <c r="S384" s="3"/>
      <c r="T384" s="3"/>
      <c r="U384" s="3"/>
      <c r="V384" s="1035"/>
      <c r="W384" s="3"/>
      <c r="X384" s="1043" t="str">
        <f t="shared" si="245"/>
        <v>.</v>
      </c>
      <c r="Y384" s="1044" t="str">
        <f t="shared" si="246"/>
        <v>.</v>
      </c>
      <c r="Z384" s="1044" t="str">
        <f t="shared" si="247"/>
        <v>.</v>
      </c>
      <c r="AA384" s="1044" t="str">
        <f t="shared" si="248"/>
        <v>.</v>
      </c>
      <c r="AB384" s="1044" t="str">
        <f t="shared" si="249"/>
        <v>.</v>
      </c>
      <c r="AC384" s="1044" t="str">
        <f t="shared" si="250"/>
        <v>.</v>
      </c>
      <c r="AD384" s="1045" t="str">
        <f t="shared" si="251"/>
        <v>.</v>
      </c>
      <c r="AE384" s="3"/>
      <c r="AF384" s="1145" t="str">
        <f t="shared" si="252"/>
        <v>.</v>
      </c>
      <c r="AG384" s="1146" t="str">
        <f t="shared" si="253"/>
        <v>.</v>
      </c>
      <c r="AH384" s="1146" t="str">
        <f t="shared" si="254"/>
        <v>.</v>
      </c>
      <c r="AI384" s="1146" t="str">
        <f t="shared" si="255"/>
        <v>.</v>
      </c>
      <c r="AJ384" s="1146" t="str">
        <f t="shared" si="256"/>
        <v>.</v>
      </c>
      <c r="AK384" s="1146" t="str">
        <f t="shared" si="257"/>
        <v>.</v>
      </c>
      <c r="AL384" s="1147" t="str">
        <f t="shared" si="258"/>
        <v>.</v>
      </c>
      <c r="AM384" s="3"/>
      <c r="AN384" s="1043" t="str">
        <f>IF(X384=".",".",SUM($X384:X384))</f>
        <v>.</v>
      </c>
      <c r="AO384" s="1044" t="str">
        <f>IF(Y384=".",".",SUM($X384:Y384))</f>
        <v>.</v>
      </c>
      <c r="AP384" s="1044" t="str">
        <f>IF(Z384=".",".",SUM($X384:Z384))</f>
        <v>.</v>
      </c>
      <c r="AQ384" s="1044" t="str">
        <f>IF(AA384=".",".",SUM($X384:AA384))</f>
        <v>.</v>
      </c>
      <c r="AR384" s="1044" t="str">
        <f>IF(AB384=".",".",SUM($X384:AB384))</f>
        <v>.</v>
      </c>
      <c r="AS384" s="1044" t="str">
        <f>IF(AC384=".",".",SUM($X384:AC384))</f>
        <v>.</v>
      </c>
      <c r="AT384" s="1045" t="str">
        <f>IF(AD384=".",".",SUM($X384:AD384))</f>
        <v>.</v>
      </c>
      <c r="AU384" s="3"/>
      <c r="AV384" s="1145" t="str">
        <f t="shared" si="259"/>
        <v>.</v>
      </c>
      <c r="AW384" s="1146" t="str">
        <f t="shared" si="260"/>
        <v>.</v>
      </c>
      <c r="AX384" s="1146" t="str">
        <f t="shared" si="261"/>
        <v>.</v>
      </c>
      <c r="AY384" s="1146" t="str">
        <f t="shared" si="262"/>
        <v>.</v>
      </c>
      <c r="AZ384" s="1146" t="str">
        <f t="shared" si="263"/>
        <v>.</v>
      </c>
      <c r="BA384" s="1146" t="str">
        <f t="shared" si="264"/>
        <v>.</v>
      </c>
      <c r="BB384" s="1147" t="str">
        <f t="shared" si="265"/>
        <v>.</v>
      </c>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1:89" x14ac:dyDescent="0.2">
      <c r="A385" s="620"/>
      <c r="B385" s="1091"/>
      <c r="C385" s="456"/>
      <c r="D385" s="1022" t="s">
        <v>687</v>
      </c>
      <c r="E385" s="1100"/>
      <c r="F385" s="1100"/>
      <c r="G385" s="1100"/>
      <c r="H385" s="1100"/>
      <c r="I385" s="1100"/>
      <c r="J385" s="1012"/>
      <c r="K385" s="1012"/>
      <c r="L385" s="1024"/>
      <c r="M385" s="1024"/>
      <c r="N385" s="1024"/>
      <c r="O385" s="1024"/>
      <c r="P385" s="1024"/>
      <c r="Q385" s="1024"/>
      <c r="R385" s="76"/>
      <c r="S385" s="3"/>
      <c r="T385" s="3"/>
      <c r="U385" s="3"/>
      <c r="V385" s="1035"/>
      <c r="W385" s="3"/>
      <c r="X385" s="1043" t="str">
        <f t="shared" si="245"/>
        <v>.</v>
      </c>
      <c r="Y385" s="1044" t="str">
        <f t="shared" si="246"/>
        <v>.</v>
      </c>
      <c r="Z385" s="1044" t="str">
        <f t="shared" si="247"/>
        <v>.</v>
      </c>
      <c r="AA385" s="1044" t="str">
        <f t="shared" si="248"/>
        <v>.</v>
      </c>
      <c r="AB385" s="1044" t="str">
        <f t="shared" si="249"/>
        <v>.</v>
      </c>
      <c r="AC385" s="1044" t="str">
        <f t="shared" si="250"/>
        <v>.</v>
      </c>
      <c r="AD385" s="1045" t="str">
        <f t="shared" si="251"/>
        <v>.</v>
      </c>
      <c r="AE385" s="3"/>
      <c r="AF385" s="1145" t="str">
        <f t="shared" si="252"/>
        <v>.</v>
      </c>
      <c r="AG385" s="1146" t="str">
        <f t="shared" si="253"/>
        <v>.</v>
      </c>
      <c r="AH385" s="1146" t="str">
        <f t="shared" si="254"/>
        <v>.</v>
      </c>
      <c r="AI385" s="1146" t="str">
        <f t="shared" si="255"/>
        <v>.</v>
      </c>
      <c r="AJ385" s="1146" t="str">
        <f t="shared" si="256"/>
        <v>.</v>
      </c>
      <c r="AK385" s="1146" t="str">
        <f t="shared" si="257"/>
        <v>.</v>
      </c>
      <c r="AL385" s="1147" t="str">
        <f t="shared" si="258"/>
        <v>.</v>
      </c>
      <c r="AM385" s="3"/>
      <c r="AN385" s="1043" t="str">
        <f>IF(X385=".",".",SUM($X385:X385))</f>
        <v>.</v>
      </c>
      <c r="AO385" s="1044" t="str">
        <f>IF(Y385=".",".",SUM($X385:Y385))</f>
        <v>.</v>
      </c>
      <c r="AP385" s="1044" t="str">
        <f>IF(Z385=".",".",SUM($X385:Z385))</f>
        <v>.</v>
      </c>
      <c r="AQ385" s="1044" t="str">
        <f>IF(AA385=".",".",SUM($X385:AA385))</f>
        <v>.</v>
      </c>
      <c r="AR385" s="1044" t="str">
        <f>IF(AB385=".",".",SUM($X385:AB385))</f>
        <v>.</v>
      </c>
      <c r="AS385" s="1044" t="str">
        <f>IF(AC385=".",".",SUM($X385:AC385))</f>
        <v>.</v>
      </c>
      <c r="AT385" s="1045" t="str">
        <f>IF(AD385=".",".",SUM($X385:AD385))</f>
        <v>.</v>
      </c>
      <c r="AU385" s="3"/>
      <c r="AV385" s="1145" t="str">
        <f t="shared" si="259"/>
        <v>.</v>
      </c>
      <c r="AW385" s="1146" t="str">
        <f t="shared" si="260"/>
        <v>.</v>
      </c>
      <c r="AX385" s="1146" t="str">
        <f t="shared" si="261"/>
        <v>.</v>
      </c>
      <c r="AY385" s="1146" t="str">
        <f t="shared" si="262"/>
        <v>.</v>
      </c>
      <c r="AZ385" s="1146" t="str">
        <f t="shared" si="263"/>
        <v>.</v>
      </c>
      <c r="BA385" s="1146" t="str">
        <f t="shared" si="264"/>
        <v>.</v>
      </c>
      <c r="BB385" s="1147" t="str">
        <f t="shared" si="265"/>
        <v>.</v>
      </c>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1:89" x14ac:dyDescent="0.2">
      <c r="A386" s="620"/>
      <c r="B386" s="1091"/>
      <c r="C386" s="456"/>
      <c r="D386" s="1022" t="s">
        <v>687</v>
      </c>
      <c r="E386" s="1100"/>
      <c r="F386" s="1100"/>
      <c r="G386" s="1100"/>
      <c r="H386" s="1100"/>
      <c r="I386" s="1100"/>
      <c r="J386" s="1012"/>
      <c r="K386" s="1012"/>
      <c r="L386" s="1024"/>
      <c r="M386" s="1024"/>
      <c r="N386" s="1024"/>
      <c r="O386" s="1024"/>
      <c r="P386" s="1024"/>
      <c r="Q386" s="1024"/>
      <c r="R386" s="76"/>
      <c r="S386" s="3"/>
      <c r="T386" s="3"/>
      <c r="U386" s="3"/>
      <c r="V386" s="1035"/>
      <c r="W386" s="3"/>
      <c r="X386" s="1043" t="str">
        <f t="shared" si="245"/>
        <v>.</v>
      </c>
      <c r="Y386" s="1044" t="str">
        <f t="shared" si="246"/>
        <v>.</v>
      </c>
      <c r="Z386" s="1044" t="str">
        <f t="shared" si="247"/>
        <v>.</v>
      </c>
      <c r="AA386" s="1044" t="str">
        <f t="shared" si="248"/>
        <v>.</v>
      </c>
      <c r="AB386" s="1044" t="str">
        <f t="shared" si="249"/>
        <v>.</v>
      </c>
      <c r="AC386" s="1044" t="str">
        <f t="shared" si="250"/>
        <v>.</v>
      </c>
      <c r="AD386" s="1045" t="str">
        <f t="shared" si="251"/>
        <v>.</v>
      </c>
      <c r="AE386" s="3"/>
      <c r="AF386" s="1145" t="str">
        <f t="shared" si="252"/>
        <v>.</v>
      </c>
      <c r="AG386" s="1146" t="str">
        <f t="shared" si="253"/>
        <v>.</v>
      </c>
      <c r="AH386" s="1146" t="str">
        <f t="shared" si="254"/>
        <v>.</v>
      </c>
      <c r="AI386" s="1146" t="str">
        <f t="shared" si="255"/>
        <v>.</v>
      </c>
      <c r="AJ386" s="1146" t="str">
        <f t="shared" si="256"/>
        <v>.</v>
      </c>
      <c r="AK386" s="1146" t="str">
        <f t="shared" si="257"/>
        <v>.</v>
      </c>
      <c r="AL386" s="1147" t="str">
        <f t="shared" si="258"/>
        <v>.</v>
      </c>
      <c r="AM386" s="3"/>
      <c r="AN386" s="1043" t="str">
        <f>IF(X386=".",".",SUM($X386:X386))</f>
        <v>.</v>
      </c>
      <c r="AO386" s="1044" t="str">
        <f>IF(Y386=".",".",SUM($X386:Y386))</f>
        <v>.</v>
      </c>
      <c r="AP386" s="1044" t="str">
        <f>IF(Z386=".",".",SUM($X386:Z386))</f>
        <v>.</v>
      </c>
      <c r="AQ386" s="1044" t="str">
        <f>IF(AA386=".",".",SUM($X386:AA386))</f>
        <v>.</v>
      </c>
      <c r="AR386" s="1044" t="str">
        <f>IF(AB386=".",".",SUM($X386:AB386))</f>
        <v>.</v>
      </c>
      <c r="AS386" s="1044" t="str">
        <f>IF(AC386=".",".",SUM($X386:AC386))</f>
        <v>.</v>
      </c>
      <c r="AT386" s="1045" t="str">
        <f>IF(AD386=".",".",SUM($X386:AD386))</f>
        <v>.</v>
      </c>
      <c r="AU386" s="3"/>
      <c r="AV386" s="1145" t="str">
        <f t="shared" si="259"/>
        <v>.</v>
      </c>
      <c r="AW386" s="1146" t="str">
        <f t="shared" si="260"/>
        <v>.</v>
      </c>
      <c r="AX386" s="1146" t="str">
        <f t="shared" si="261"/>
        <v>.</v>
      </c>
      <c r="AY386" s="1146" t="str">
        <f t="shared" si="262"/>
        <v>.</v>
      </c>
      <c r="AZ386" s="1146" t="str">
        <f t="shared" si="263"/>
        <v>.</v>
      </c>
      <c r="BA386" s="1146" t="str">
        <f t="shared" si="264"/>
        <v>.</v>
      </c>
      <c r="BB386" s="1147" t="str">
        <f t="shared" si="265"/>
        <v>.</v>
      </c>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1:89" x14ac:dyDescent="0.2">
      <c r="A387" s="620"/>
      <c r="B387" s="1091"/>
      <c r="C387" s="456"/>
      <c r="D387" s="1022" t="s">
        <v>687</v>
      </c>
      <c r="E387" s="1100"/>
      <c r="F387" s="1100"/>
      <c r="G387" s="1100"/>
      <c r="H387" s="1100"/>
      <c r="I387" s="1100"/>
      <c r="J387" s="1012"/>
      <c r="K387" s="1012"/>
      <c r="L387" s="1024"/>
      <c r="M387" s="1024"/>
      <c r="N387" s="1024"/>
      <c r="O387" s="1024"/>
      <c r="P387" s="1024"/>
      <c r="Q387" s="1024"/>
      <c r="R387" s="76"/>
      <c r="S387" s="3"/>
      <c r="T387" s="3"/>
      <c r="U387" s="3"/>
      <c r="V387" s="1035"/>
      <c r="W387" s="3"/>
      <c r="X387" s="1043" t="str">
        <f t="shared" si="245"/>
        <v>.</v>
      </c>
      <c r="Y387" s="1044" t="str">
        <f t="shared" si="246"/>
        <v>.</v>
      </c>
      <c r="Z387" s="1044" t="str">
        <f t="shared" si="247"/>
        <v>.</v>
      </c>
      <c r="AA387" s="1044" t="str">
        <f t="shared" si="248"/>
        <v>.</v>
      </c>
      <c r="AB387" s="1044" t="str">
        <f t="shared" si="249"/>
        <v>.</v>
      </c>
      <c r="AC387" s="1044" t="str">
        <f t="shared" si="250"/>
        <v>.</v>
      </c>
      <c r="AD387" s="1045" t="str">
        <f t="shared" si="251"/>
        <v>.</v>
      </c>
      <c r="AE387" s="3"/>
      <c r="AF387" s="1145" t="str">
        <f t="shared" si="252"/>
        <v>.</v>
      </c>
      <c r="AG387" s="1146" t="str">
        <f t="shared" si="253"/>
        <v>.</v>
      </c>
      <c r="AH387" s="1146" t="str">
        <f t="shared" si="254"/>
        <v>.</v>
      </c>
      <c r="AI387" s="1146" t="str">
        <f t="shared" si="255"/>
        <v>.</v>
      </c>
      <c r="AJ387" s="1146" t="str">
        <f t="shared" si="256"/>
        <v>.</v>
      </c>
      <c r="AK387" s="1146" t="str">
        <f t="shared" si="257"/>
        <v>.</v>
      </c>
      <c r="AL387" s="1147" t="str">
        <f t="shared" si="258"/>
        <v>.</v>
      </c>
      <c r="AM387" s="3"/>
      <c r="AN387" s="1043" t="str">
        <f>IF(X387=".",".",SUM($X387:X387))</f>
        <v>.</v>
      </c>
      <c r="AO387" s="1044" t="str">
        <f>IF(Y387=".",".",SUM($X387:Y387))</f>
        <v>.</v>
      </c>
      <c r="AP387" s="1044" t="str">
        <f>IF(Z387=".",".",SUM($X387:Z387))</f>
        <v>.</v>
      </c>
      <c r="AQ387" s="1044" t="str">
        <f>IF(AA387=".",".",SUM($X387:AA387))</f>
        <v>.</v>
      </c>
      <c r="AR387" s="1044" t="str">
        <f>IF(AB387=".",".",SUM($X387:AB387))</f>
        <v>.</v>
      </c>
      <c r="AS387" s="1044" t="str">
        <f>IF(AC387=".",".",SUM($X387:AC387))</f>
        <v>.</v>
      </c>
      <c r="AT387" s="1045" t="str">
        <f>IF(AD387=".",".",SUM($X387:AD387))</f>
        <v>.</v>
      </c>
      <c r="AU387" s="3"/>
      <c r="AV387" s="1145" t="str">
        <f t="shared" si="259"/>
        <v>.</v>
      </c>
      <c r="AW387" s="1146" t="str">
        <f t="shared" si="260"/>
        <v>.</v>
      </c>
      <c r="AX387" s="1146" t="str">
        <f t="shared" si="261"/>
        <v>.</v>
      </c>
      <c r="AY387" s="1146" t="str">
        <f t="shared" si="262"/>
        <v>.</v>
      </c>
      <c r="AZ387" s="1146" t="str">
        <f t="shared" si="263"/>
        <v>.</v>
      </c>
      <c r="BA387" s="1146" t="str">
        <f t="shared" si="264"/>
        <v>.</v>
      </c>
      <c r="BB387" s="1147" t="str">
        <f t="shared" si="265"/>
        <v>.</v>
      </c>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1:89" x14ac:dyDescent="0.2">
      <c r="A388" s="620"/>
      <c r="B388" s="1091"/>
      <c r="C388" s="456"/>
      <c r="D388" s="1022" t="s">
        <v>687</v>
      </c>
      <c r="E388" s="1100"/>
      <c r="F388" s="1100"/>
      <c r="G388" s="1100"/>
      <c r="H388" s="1100"/>
      <c r="I388" s="1100"/>
      <c r="J388" s="1012"/>
      <c r="K388" s="1012"/>
      <c r="L388" s="1024"/>
      <c r="M388" s="1024"/>
      <c r="N388" s="1024"/>
      <c r="O388" s="1024"/>
      <c r="P388" s="1024"/>
      <c r="Q388" s="1024"/>
      <c r="R388" s="76"/>
      <c r="S388" s="3"/>
      <c r="T388" s="3"/>
      <c r="U388" s="3"/>
      <c r="V388" s="1035"/>
      <c r="W388" s="3"/>
      <c r="X388" s="1043" t="str">
        <f t="shared" si="245"/>
        <v>.</v>
      </c>
      <c r="Y388" s="1044" t="str">
        <f t="shared" si="246"/>
        <v>.</v>
      </c>
      <c r="Z388" s="1044" t="str">
        <f t="shared" si="247"/>
        <v>.</v>
      </c>
      <c r="AA388" s="1044" t="str">
        <f t="shared" si="248"/>
        <v>.</v>
      </c>
      <c r="AB388" s="1044" t="str">
        <f t="shared" si="249"/>
        <v>.</v>
      </c>
      <c r="AC388" s="1044" t="str">
        <f t="shared" si="250"/>
        <v>.</v>
      </c>
      <c r="AD388" s="1045" t="str">
        <f t="shared" si="251"/>
        <v>.</v>
      </c>
      <c r="AE388" s="3"/>
      <c r="AF388" s="1145" t="str">
        <f t="shared" si="252"/>
        <v>.</v>
      </c>
      <c r="AG388" s="1146" t="str">
        <f t="shared" si="253"/>
        <v>.</v>
      </c>
      <c r="AH388" s="1146" t="str">
        <f t="shared" si="254"/>
        <v>.</v>
      </c>
      <c r="AI388" s="1146" t="str">
        <f t="shared" si="255"/>
        <v>.</v>
      </c>
      <c r="AJ388" s="1146" t="str">
        <f t="shared" si="256"/>
        <v>.</v>
      </c>
      <c r="AK388" s="1146" t="str">
        <f t="shared" si="257"/>
        <v>.</v>
      </c>
      <c r="AL388" s="1147" t="str">
        <f t="shared" si="258"/>
        <v>.</v>
      </c>
      <c r="AM388" s="3"/>
      <c r="AN388" s="1043" t="str">
        <f>IF(X388=".",".",SUM($X388:X388))</f>
        <v>.</v>
      </c>
      <c r="AO388" s="1044" t="str">
        <f>IF(Y388=".",".",SUM($X388:Y388))</f>
        <v>.</v>
      </c>
      <c r="AP388" s="1044" t="str">
        <f>IF(Z388=".",".",SUM($X388:Z388))</f>
        <v>.</v>
      </c>
      <c r="AQ388" s="1044" t="str">
        <f>IF(AA388=".",".",SUM($X388:AA388))</f>
        <v>.</v>
      </c>
      <c r="AR388" s="1044" t="str">
        <f>IF(AB388=".",".",SUM($X388:AB388))</f>
        <v>.</v>
      </c>
      <c r="AS388" s="1044" t="str">
        <f>IF(AC388=".",".",SUM($X388:AC388))</f>
        <v>.</v>
      </c>
      <c r="AT388" s="1045" t="str">
        <f>IF(AD388=".",".",SUM($X388:AD388))</f>
        <v>.</v>
      </c>
      <c r="AU388" s="3"/>
      <c r="AV388" s="1145" t="str">
        <f t="shared" si="259"/>
        <v>.</v>
      </c>
      <c r="AW388" s="1146" t="str">
        <f t="shared" si="260"/>
        <v>.</v>
      </c>
      <c r="AX388" s="1146" t="str">
        <f t="shared" si="261"/>
        <v>.</v>
      </c>
      <c r="AY388" s="1146" t="str">
        <f t="shared" si="262"/>
        <v>.</v>
      </c>
      <c r="AZ388" s="1146" t="str">
        <f t="shared" si="263"/>
        <v>.</v>
      </c>
      <c r="BA388" s="1146" t="str">
        <f t="shared" si="264"/>
        <v>.</v>
      </c>
      <c r="BB388" s="1147" t="str">
        <f t="shared" si="265"/>
        <v>.</v>
      </c>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1:89" x14ac:dyDescent="0.2">
      <c r="A389" s="620"/>
      <c r="B389" s="1091"/>
      <c r="C389" s="456"/>
      <c r="D389" s="1022" t="s">
        <v>687</v>
      </c>
      <c r="E389" s="1100"/>
      <c r="F389" s="1100"/>
      <c r="G389" s="1100"/>
      <c r="H389" s="1100"/>
      <c r="I389" s="1100"/>
      <c r="J389" s="1012"/>
      <c r="K389" s="1012"/>
      <c r="L389" s="1024"/>
      <c r="M389" s="1024"/>
      <c r="N389" s="1024"/>
      <c r="O389" s="1024"/>
      <c r="P389" s="1024"/>
      <c r="Q389" s="1024"/>
      <c r="R389" s="76"/>
      <c r="S389" s="3"/>
      <c r="T389" s="3"/>
      <c r="U389" s="3"/>
      <c r="V389" s="1035"/>
      <c r="W389" s="3"/>
      <c r="X389" s="1043" t="str">
        <f t="shared" si="245"/>
        <v>.</v>
      </c>
      <c r="Y389" s="1044" t="str">
        <f t="shared" si="246"/>
        <v>.</v>
      </c>
      <c r="Z389" s="1044" t="str">
        <f t="shared" si="247"/>
        <v>.</v>
      </c>
      <c r="AA389" s="1044" t="str">
        <f t="shared" si="248"/>
        <v>.</v>
      </c>
      <c r="AB389" s="1044" t="str">
        <f t="shared" si="249"/>
        <v>.</v>
      </c>
      <c r="AC389" s="1044" t="str">
        <f t="shared" si="250"/>
        <v>.</v>
      </c>
      <c r="AD389" s="1045" t="str">
        <f t="shared" si="251"/>
        <v>.</v>
      </c>
      <c r="AE389" s="3"/>
      <c r="AF389" s="1145" t="str">
        <f t="shared" si="252"/>
        <v>.</v>
      </c>
      <c r="AG389" s="1146" t="str">
        <f t="shared" si="253"/>
        <v>.</v>
      </c>
      <c r="AH389" s="1146" t="str">
        <f t="shared" si="254"/>
        <v>.</v>
      </c>
      <c r="AI389" s="1146" t="str">
        <f t="shared" si="255"/>
        <v>.</v>
      </c>
      <c r="AJ389" s="1146" t="str">
        <f t="shared" si="256"/>
        <v>.</v>
      </c>
      <c r="AK389" s="1146" t="str">
        <f t="shared" si="257"/>
        <v>.</v>
      </c>
      <c r="AL389" s="1147" t="str">
        <f t="shared" si="258"/>
        <v>.</v>
      </c>
      <c r="AM389" s="3"/>
      <c r="AN389" s="1043" t="str">
        <f>IF(X389=".",".",SUM($X389:X389))</f>
        <v>.</v>
      </c>
      <c r="AO389" s="1044" t="str">
        <f>IF(Y389=".",".",SUM($X389:Y389))</f>
        <v>.</v>
      </c>
      <c r="AP389" s="1044" t="str">
        <f>IF(Z389=".",".",SUM($X389:Z389))</f>
        <v>.</v>
      </c>
      <c r="AQ389" s="1044" t="str">
        <f>IF(AA389=".",".",SUM($X389:AA389))</f>
        <v>.</v>
      </c>
      <c r="AR389" s="1044" t="str">
        <f>IF(AB389=".",".",SUM($X389:AB389))</f>
        <v>.</v>
      </c>
      <c r="AS389" s="1044" t="str">
        <f>IF(AC389=".",".",SUM($X389:AC389))</f>
        <v>.</v>
      </c>
      <c r="AT389" s="1045" t="str">
        <f>IF(AD389=".",".",SUM($X389:AD389))</f>
        <v>.</v>
      </c>
      <c r="AU389" s="3"/>
      <c r="AV389" s="1145" t="str">
        <f t="shared" si="259"/>
        <v>.</v>
      </c>
      <c r="AW389" s="1146" t="str">
        <f t="shared" si="260"/>
        <v>.</v>
      </c>
      <c r="AX389" s="1146" t="str">
        <f t="shared" si="261"/>
        <v>.</v>
      </c>
      <c r="AY389" s="1146" t="str">
        <f t="shared" si="262"/>
        <v>.</v>
      </c>
      <c r="AZ389" s="1146" t="str">
        <f t="shared" si="263"/>
        <v>.</v>
      </c>
      <c r="BA389" s="1146" t="str">
        <f t="shared" si="264"/>
        <v>.</v>
      </c>
      <c r="BB389" s="1147" t="str">
        <f t="shared" si="265"/>
        <v>.</v>
      </c>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1:89" x14ac:dyDescent="0.2">
      <c r="A390" s="620"/>
      <c r="B390" s="1091"/>
      <c r="C390" s="456"/>
      <c r="D390" s="1022" t="s">
        <v>687</v>
      </c>
      <c r="E390" s="1100"/>
      <c r="F390" s="1100"/>
      <c r="G390" s="1100"/>
      <c r="H390" s="1100"/>
      <c r="I390" s="1100"/>
      <c r="J390" s="1012"/>
      <c r="K390" s="1012"/>
      <c r="L390" s="1024"/>
      <c r="M390" s="1024"/>
      <c r="N390" s="1024"/>
      <c r="O390" s="1024"/>
      <c r="P390" s="1024"/>
      <c r="Q390" s="1024"/>
      <c r="R390" s="76"/>
      <c r="S390" s="3"/>
      <c r="T390" s="3"/>
      <c r="U390" s="3"/>
      <c r="V390" s="1035"/>
      <c r="W390" s="3"/>
      <c r="X390" s="1043" t="str">
        <f t="shared" si="245"/>
        <v>.</v>
      </c>
      <c r="Y390" s="1044" t="str">
        <f t="shared" si="246"/>
        <v>.</v>
      </c>
      <c r="Z390" s="1044" t="str">
        <f t="shared" si="247"/>
        <v>.</v>
      </c>
      <c r="AA390" s="1044" t="str">
        <f t="shared" si="248"/>
        <v>.</v>
      </c>
      <c r="AB390" s="1044" t="str">
        <f t="shared" si="249"/>
        <v>.</v>
      </c>
      <c r="AC390" s="1044" t="str">
        <f t="shared" si="250"/>
        <v>.</v>
      </c>
      <c r="AD390" s="1045" t="str">
        <f t="shared" si="251"/>
        <v>.</v>
      </c>
      <c r="AE390" s="3"/>
      <c r="AF390" s="1145" t="str">
        <f t="shared" si="252"/>
        <v>.</v>
      </c>
      <c r="AG390" s="1146" t="str">
        <f t="shared" si="253"/>
        <v>.</v>
      </c>
      <c r="AH390" s="1146" t="str">
        <f t="shared" si="254"/>
        <v>.</v>
      </c>
      <c r="AI390" s="1146" t="str">
        <f t="shared" si="255"/>
        <v>.</v>
      </c>
      <c r="AJ390" s="1146" t="str">
        <f t="shared" si="256"/>
        <v>.</v>
      </c>
      <c r="AK390" s="1146" t="str">
        <f t="shared" si="257"/>
        <v>.</v>
      </c>
      <c r="AL390" s="1147" t="str">
        <f t="shared" si="258"/>
        <v>.</v>
      </c>
      <c r="AM390" s="3"/>
      <c r="AN390" s="1043" t="str">
        <f>IF(X390=".",".",SUM($X390:X390))</f>
        <v>.</v>
      </c>
      <c r="AO390" s="1044" t="str">
        <f>IF(Y390=".",".",SUM($X390:Y390))</f>
        <v>.</v>
      </c>
      <c r="AP390" s="1044" t="str">
        <f>IF(Z390=".",".",SUM($X390:Z390))</f>
        <v>.</v>
      </c>
      <c r="AQ390" s="1044" t="str">
        <f>IF(AA390=".",".",SUM($X390:AA390))</f>
        <v>.</v>
      </c>
      <c r="AR390" s="1044" t="str">
        <f>IF(AB390=".",".",SUM($X390:AB390))</f>
        <v>.</v>
      </c>
      <c r="AS390" s="1044" t="str">
        <f>IF(AC390=".",".",SUM($X390:AC390))</f>
        <v>.</v>
      </c>
      <c r="AT390" s="1045" t="str">
        <f>IF(AD390=".",".",SUM($X390:AD390))</f>
        <v>.</v>
      </c>
      <c r="AU390" s="3"/>
      <c r="AV390" s="1145" t="str">
        <f t="shared" si="259"/>
        <v>.</v>
      </c>
      <c r="AW390" s="1146" t="str">
        <f t="shared" si="260"/>
        <v>.</v>
      </c>
      <c r="AX390" s="1146" t="str">
        <f t="shared" si="261"/>
        <v>.</v>
      </c>
      <c r="AY390" s="1146" t="str">
        <f t="shared" si="262"/>
        <v>.</v>
      </c>
      <c r="AZ390" s="1146" t="str">
        <f t="shared" si="263"/>
        <v>.</v>
      </c>
      <c r="BA390" s="1146" t="str">
        <f t="shared" si="264"/>
        <v>.</v>
      </c>
      <c r="BB390" s="1147" t="str">
        <f t="shared" si="265"/>
        <v>.</v>
      </c>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1:89" x14ac:dyDescent="0.2">
      <c r="A391" s="620"/>
      <c r="B391" s="1091"/>
      <c r="C391" s="456"/>
      <c r="D391" s="1022" t="s">
        <v>687</v>
      </c>
      <c r="E391" s="1100"/>
      <c r="F391" s="1100"/>
      <c r="G391" s="1100"/>
      <c r="H391" s="1100"/>
      <c r="I391" s="1100"/>
      <c r="J391" s="1012"/>
      <c r="K391" s="1012"/>
      <c r="L391" s="1024"/>
      <c r="M391" s="1024"/>
      <c r="N391" s="1024"/>
      <c r="O391" s="1024"/>
      <c r="P391" s="1024"/>
      <c r="Q391" s="1024"/>
      <c r="R391" s="76"/>
      <c r="S391" s="3"/>
      <c r="T391" s="3"/>
      <c r="U391" s="3"/>
      <c r="V391" s="1035"/>
      <c r="W391" s="3"/>
      <c r="X391" s="1043" t="str">
        <f t="shared" si="245"/>
        <v>.</v>
      </c>
      <c r="Y391" s="1044" t="str">
        <f t="shared" si="246"/>
        <v>.</v>
      </c>
      <c r="Z391" s="1044" t="str">
        <f t="shared" si="247"/>
        <v>.</v>
      </c>
      <c r="AA391" s="1044" t="str">
        <f t="shared" si="248"/>
        <v>.</v>
      </c>
      <c r="AB391" s="1044" t="str">
        <f t="shared" si="249"/>
        <v>.</v>
      </c>
      <c r="AC391" s="1044" t="str">
        <f t="shared" si="250"/>
        <v>.</v>
      </c>
      <c r="AD391" s="1045" t="str">
        <f t="shared" si="251"/>
        <v>.</v>
      </c>
      <c r="AE391" s="3"/>
      <c r="AF391" s="1145" t="str">
        <f t="shared" si="252"/>
        <v>.</v>
      </c>
      <c r="AG391" s="1146" t="str">
        <f t="shared" si="253"/>
        <v>.</v>
      </c>
      <c r="AH391" s="1146" t="str">
        <f t="shared" si="254"/>
        <v>.</v>
      </c>
      <c r="AI391" s="1146" t="str">
        <f t="shared" si="255"/>
        <v>.</v>
      </c>
      <c r="AJ391" s="1146" t="str">
        <f t="shared" si="256"/>
        <v>.</v>
      </c>
      <c r="AK391" s="1146" t="str">
        <f t="shared" si="257"/>
        <v>.</v>
      </c>
      <c r="AL391" s="1147" t="str">
        <f t="shared" si="258"/>
        <v>.</v>
      </c>
      <c r="AM391" s="3"/>
      <c r="AN391" s="1043" t="str">
        <f>IF(X391=".",".",SUM($X391:X391))</f>
        <v>.</v>
      </c>
      <c r="AO391" s="1044" t="str">
        <f>IF(Y391=".",".",SUM($X391:Y391))</f>
        <v>.</v>
      </c>
      <c r="AP391" s="1044" t="str">
        <f>IF(Z391=".",".",SUM($X391:Z391))</f>
        <v>.</v>
      </c>
      <c r="AQ391" s="1044" t="str">
        <f>IF(AA391=".",".",SUM($X391:AA391))</f>
        <v>.</v>
      </c>
      <c r="AR391" s="1044" t="str">
        <f>IF(AB391=".",".",SUM($X391:AB391))</f>
        <v>.</v>
      </c>
      <c r="AS391" s="1044" t="str">
        <f>IF(AC391=".",".",SUM($X391:AC391))</f>
        <v>.</v>
      </c>
      <c r="AT391" s="1045" t="str">
        <f>IF(AD391=".",".",SUM($X391:AD391))</f>
        <v>.</v>
      </c>
      <c r="AU391" s="3"/>
      <c r="AV391" s="1145" t="str">
        <f t="shared" si="259"/>
        <v>.</v>
      </c>
      <c r="AW391" s="1146" t="str">
        <f t="shared" si="260"/>
        <v>.</v>
      </c>
      <c r="AX391" s="1146" t="str">
        <f t="shared" si="261"/>
        <v>.</v>
      </c>
      <c r="AY391" s="1146" t="str">
        <f t="shared" si="262"/>
        <v>.</v>
      </c>
      <c r="AZ391" s="1146" t="str">
        <f t="shared" si="263"/>
        <v>.</v>
      </c>
      <c r="BA391" s="1146" t="str">
        <f t="shared" si="264"/>
        <v>.</v>
      </c>
      <c r="BB391" s="1147" t="str">
        <f t="shared" si="265"/>
        <v>.</v>
      </c>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1:89" x14ac:dyDescent="0.2">
      <c r="A392" s="620"/>
      <c r="B392" s="1091"/>
      <c r="C392" s="456"/>
      <c r="D392" s="1022" t="s">
        <v>687</v>
      </c>
      <c r="E392" s="1100"/>
      <c r="F392" s="1100"/>
      <c r="G392" s="1100"/>
      <c r="H392" s="1100"/>
      <c r="I392" s="1100"/>
      <c r="J392" s="1012"/>
      <c r="K392" s="1012"/>
      <c r="L392" s="1024"/>
      <c r="M392" s="1024"/>
      <c r="N392" s="1024"/>
      <c r="O392" s="1024"/>
      <c r="P392" s="1024"/>
      <c r="Q392" s="1024"/>
      <c r="R392" s="76"/>
      <c r="S392" s="3"/>
      <c r="T392" s="3"/>
      <c r="U392" s="3"/>
      <c r="V392" s="1035"/>
      <c r="W392" s="3"/>
      <c r="X392" s="1043" t="str">
        <f t="shared" si="245"/>
        <v>.</v>
      </c>
      <c r="Y392" s="1044" t="str">
        <f t="shared" si="246"/>
        <v>.</v>
      </c>
      <c r="Z392" s="1044" t="str">
        <f t="shared" si="247"/>
        <v>.</v>
      </c>
      <c r="AA392" s="1044" t="str">
        <f t="shared" si="248"/>
        <v>.</v>
      </c>
      <c r="AB392" s="1044" t="str">
        <f t="shared" si="249"/>
        <v>.</v>
      </c>
      <c r="AC392" s="1044" t="str">
        <f t="shared" si="250"/>
        <v>.</v>
      </c>
      <c r="AD392" s="1045" t="str">
        <f t="shared" si="251"/>
        <v>.</v>
      </c>
      <c r="AE392" s="3"/>
      <c r="AF392" s="1145" t="str">
        <f t="shared" si="252"/>
        <v>.</v>
      </c>
      <c r="AG392" s="1146" t="str">
        <f t="shared" si="253"/>
        <v>.</v>
      </c>
      <c r="AH392" s="1146" t="str">
        <f t="shared" si="254"/>
        <v>.</v>
      </c>
      <c r="AI392" s="1146" t="str">
        <f t="shared" si="255"/>
        <v>.</v>
      </c>
      <c r="AJ392" s="1146" t="str">
        <f t="shared" si="256"/>
        <v>.</v>
      </c>
      <c r="AK392" s="1146" t="str">
        <f t="shared" si="257"/>
        <v>.</v>
      </c>
      <c r="AL392" s="1147" t="str">
        <f t="shared" si="258"/>
        <v>.</v>
      </c>
      <c r="AM392" s="3"/>
      <c r="AN392" s="1043" t="str">
        <f>IF(X392=".",".",SUM($X392:X392))</f>
        <v>.</v>
      </c>
      <c r="AO392" s="1044" t="str">
        <f>IF(Y392=".",".",SUM($X392:Y392))</f>
        <v>.</v>
      </c>
      <c r="AP392" s="1044" t="str">
        <f>IF(Z392=".",".",SUM($X392:Z392))</f>
        <v>.</v>
      </c>
      <c r="AQ392" s="1044" t="str">
        <f>IF(AA392=".",".",SUM($X392:AA392))</f>
        <v>.</v>
      </c>
      <c r="AR392" s="1044" t="str">
        <f>IF(AB392=".",".",SUM($X392:AB392))</f>
        <v>.</v>
      </c>
      <c r="AS392" s="1044" t="str">
        <f>IF(AC392=".",".",SUM($X392:AC392))</f>
        <v>.</v>
      </c>
      <c r="AT392" s="1045" t="str">
        <f>IF(AD392=".",".",SUM($X392:AD392))</f>
        <v>.</v>
      </c>
      <c r="AU392" s="3"/>
      <c r="AV392" s="1145" t="str">
        <f t="shared" si="259"/>
        <v>.</v>
      </c>
      <c r="AW392" s="1146" t="str">
        <f t="shared" si="260"/>
        <v>.</v>
      </c>
      <c r="AX392" s="1146" t="str">
        <f t="shared" si="261"/>
        <v>.</v>
      </c>
      <c r="AY392" s="1146" t="str">
        <f t="shared" si="262"/>
        <v>.</v>
      </c>
      <c r="AZ392" s="1146" t="str">
        <f t="shared" si="263"/>
        <v>.</v>
      </c>
      <c r="BA392" s="1146" t="str">
        <f t="shared" si="264"/>
        <v>.</v>
      </c>
      <c r="BB392" s="1147" t="str">
        <f t="shared" si="265"/>
        <v>.</v>
      </c>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1:89" x14ac:dyDescent="0.2">
      <c r="A393" s="620"/>
      <c r="B393" s="1091"/>
      <c r="C393" s="456"/>
      <c r="D393" s="1022" t="s">
        <v>687</v>
      </c>
      <c r="E393" s="1100"/>
      <c r="F393" s="1100"/>
      <c r="G393" s="1100"/>
      <c r="H393" s="1100"/>
      <c r="I393" s="1100"/>
      <c r="J393" s="1012"/>
      <c r="K393" s="1012"/>
      <c r="L393" s="1024"/>
      <c r="M393" s="1024"/>
      <c r="N393" s="1024"/>
      <c r="O393" s="1024"/>
      <c r="P393" s="1024"/>
      <c r="Q393" s="1024"/>
      <c r="R393" s="76"/>
      <c r="S393" s="3"/>
      <c r="T393" s="3"/>
      <c r="U393" s="3"/>
      <c r="V393" s="1035"/>
      <c r="W393" s="3"/>
      <c r="X393" s="1043" t="str">
        <f t="shared" si="245"/>
        <v>.</v>
      </c>
      <c r="Y393" s="1044" t="str">
        <f t="shared" si="246"/>
        <v>.</v>
      </c>
      <c r="Z393" s="1044" t="str">
        <f t="shared" si="247"/>
        <v>.</v>
      </c>
      <c r="AA393" s="1044" t="str">
        <f t="shared" si="248"/>
        <v>.</v>
      </c>
      <c r="AB393" s="1044" t="str">
        <f t="shared" si="249"/>
        <v>.</v>
      </c>
      <c r="AC393" s="1044" t="str">
        <f t="shared" si="250"/>
        <v>.</v>
      </c>
      <c r="AD393" s="1045" t="str">
        <f t="shared" si="251"/>
        <v>.</v>
      </c>
      <c r="AE393" s="3"/>
      <c r="AF393" s="1145" t="str">
        <f t="shared" si="252"/>
        <v>.</v>
      </c>
      <c r="AG393" s="1146" t="str">
        <f t="shared" si="253"/>
        <v>.</v>
      </c>
      <c r="AH393" s="1146" t="str">
        <f t="shared" si="254"/>
        <v>.</v>
      </c>
      <c r="AI393" s="1146" t="str">
        <f t="shared" si="255"/>
        <v>.</v>
      </c>
      <c r="AJ393" s="1146" t="str">
        <f t="shared" si="256"/>
        <v>.</v>
      </c>
      <c r="AK393" s="1146" t="str">
        <f t="shared" si="257"/>
        <v>.</v>
      </c>
      <c r="AL393" s="1147" t="str">
        <f t="shared" si="258"/>
        <v>.</v>
      </c>
      <c r="AM393" s="3"/>
      <c r="AN393" s="1043" t="str">
        <f>IF(X393=".",".",SUM($X393:X393))</f>
        <v>.</v>
      </c>
      <c r="AO393" s="1044" t="str">
        <f>IF(Y393=".",".",SUM($X393:Y393))</f>
        <v>.</v>
      </c>
      <c r="AP393" s="1044" t="str">
        <f>IF(Z393=".",".",SUM($X393:Z393))</f>
        <v>.</v>
      </c>
      <c r="AQ393" s="1044" t="str">
        <f>IF(AA393=".",".",SUM($X393:AA393))</f>
        <v>.</v>
      </c>
      <c r="AR393" s="1044" t="str">
        <f>IF(AB393=".",".",SUM($X393:AB393))</f>
        <v>.</v>
      </c>
      <c r="AS393" s="1044" t="str">
        <f>IF(AC393=".",".",SUM($X393:AC393))</f>
        <v>.</v>
      </c>
      <c r="AT393" s="1045" t="str">
        <f>IF(AD393=".",".",SUM($X393:AD393))</f>
        <v>.</v>
      </c>
      <c r="AU393" s="3"/>
      <c r="AV393" s="1145" t="str">
        <f t="shared" si="259"/>
        <v>.</v>
      </c>
      <c r="AW393" s="1146" t="str">
        <f t="shared" si="260"/>
        <v>.</v>
      </c>
      <c r="AX393" s="1146" t="str">
        <f t="shared" si="261"/>
        <v>.</v>
      </c>
      <c r="AY393" s="1146" t="str">
        <f t="shared" si="262"/>
        <v>.</v>
      </c>
      <c r="AZ393" s="1146" t="str">
        <f t="shared" si="263"/>
        <v>.</v>
      </c>
      <c r="BA393" s="1146" t="str">
        <f t="shared" si="264"/>
        <v>.</v>
      </c>
      <c r="BB393" s="1147" t="str">
        <f t="shared" si="265"/>
        <v>.</v>
      </c>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1:89" x14ac:dyDescent="0.2">
      <c r="A394" s="620"/>
      <c r="B394" s="1091"/>
      <c r="C394" s="456"/>
      <c r="D394" s="1022" t="s">
        <v>687</v>
      </c>
      <c r="E394" s="1100"/>
      <c r="F394" s="1100"/>
      <c r="G394" s="1100"/>
      <c r="H394" s="1100"/>
      <c r="I394" s="1100"/>
      <c r="J394" s="1012"/>
      <c r="K394" s="1012"/>
      <c r="L394" s="1024"/>
      <c r="M394" s="1024"/>
      <c r="N394" s="1024"/>
      <c r="O394" s="1024"/>
      <c r="P394" s="1024"/>
      <c r="Q394" s="1024"/>
      <c r="R394" s="76"/>
      <c r="S394" s="3"/>
      <c r="T394" s="3"/>
      <c r="U394" s="3"/>
      <c r="V394" s="1035"/>
      <c r="W394" s="3"/>
      <c r="X394" s="1043" t="str">
        <f t="shared" si="245"/>
        <v>.</v>
      </c>
      <c r="Y394" s="1044" t="str">
        <f t="shared" si="246"/>
        <v>.</v>
      </c>
      <c r="Z394" s="1044" t="str">
        <f t="shared" si="247"/>
        <v>.</v>
      </c>
      <c r="AA394" s="1044" t="str">
        <f t="shared" si="248"/>
        <v>.</v>
      </c>
      <c r="AB394" s="1044" t="str">
        <f t="shared" si="249"/>
        <v>.</v>
      </c>
      <c r="AC394" s="1044" t="str">
        <f t="shared" si="250"/>
        <v>.</v>
      </c>
      <c r="AD394" s="1045" t="str">
        <f t="shared" si="251"/>
        <v>.</v>
      </c>
      <c r="AE394" s="3"/>
      <c r="AF394" s="1145" t="str">
        <f t="shared" si="252"/>
        <v>.</v>
      </c>
      <c r="AG394" s="1146" t="str">
        <f t="shared" si="253"/>
        <v>.</v>
      </c>
      <c r="AH394" s="1146" t="str">
        <f t="shared" si="254"/>
        <v>.</v>
      </c>
      <c r="AI394" s="1146" t="str">
        <f t="shared" si="255"/>
        <v>.</v>
      </c>
      <c r="AJ394" s="1146" t="str">
        <f t="shared" si="256"/>
        <v>.</v>
      </c>
      <c r="AK394" s="1146" t="str">
        <f t="shared" si="257"/>
        <v>.</v>
      </c>
      <c r="AL394" s="1147" t="str">
        <f t="shared" si="258"/>
        <v>.</v>
      </c>
      <c r="AM394" s="3"/>
      <c r="AN394" s="1043" t="str">
        <f>IF(X394=".",".",SUM($X394:X394))</f>
        <v>.</v>
      </c>
      <c r="AO394" s="1044" t="str">
        <f>IF(Y394=".",".",SUM($X394:Y394))</f>
        <v>.</v>
      </c>
      <c r="AP394" s="1044" t="str">
        <f>IF(Z394=".",".",SUM($X394:Z394))</f>
        <v>.</v>
      </c>
      <c r="AQ394" s="1044" t="str">
        <f>IF(AA394=".",".",SUM($X394:AA394))</f>
        <v>.</v>
      </c>
      <c r="AR394" s="1044" t="str">
        <f>IF(AB394=".",".",SUM($X394:AB394))</f>
        <v>.</v>
      </c>
      <c r="AS394" s="1044" t="str">
        <f>IF(AC394=".",".",SUM($X394:AC394))</f>
        <v>.</v>
      </c>
      <c r="AT394" s="1045" t="str">
        <f>IF(AD394=".",".",SUM($X394:AD394))</f>
        <v>.</v>
      </c>
      <c r="AU394" s="3"/>
      <c r="AV394" s="1145" t="str">
        <f t="shared" si="259"/>
        <v>.</v>
      </c>
      <c r="AW394" s="1146" t="str">
        <f t="shared" si="260"/>
        <v>.</v>
      </c>
      <c r="AX394" s="1146" t="str">
        <f t="shared" si="261"/>
        <v>.</v>
      </c>
      <c r="AY394" s="1146" t="str">
        <f t="shared" si="262"/>
        <v>.</v>
      </c>
      <c r="AZ394" s="1146" t="str">
        <f t="shared" si="263"/>
        <v>.</v>
      </c>
      <c r="BA394" s="1146" t="str">
        <f t="shared" si="264"/>
        <v>.</v>
      </c>
      <c r="BB394" s="1147" t="str">
        <f t="shared" si="265"/>
        <v>.</v>
      </c>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1:89" x14ac:dyDescent="0.2">
      <c r="A395" s="620"/>
      <c r="B395" s="1091"/>
      <c r="C395" s="456"/>
      <c r="D395" s="1022" t="s">
        <v>687</v>
      </c>
      <c r="E395" s="1100"/>
      <c r="F395" s="1100"/>
      <c r="G395" s="1100"/>
      <c r="H395" s="1100"/>
      <c r="I395" s="1100"/>
      <c r="J395" s="1012"/>
      <c r="K395" s="1012"/>
      <c r="L395" s="1024"/>
      <c r="M395" s="1024"/>
      <c r="N395" s="1024"/>
      <c r="O395" s="1024"/>
      <c r="P395" s="1024"/>
      <c r="Q395" s="1024"/>
      <c r="R395" s="76"/>
      <c r="S395" s="3"/>
      <c r="T395" s="3"/>
      <c r="U395" s="3"/>
      <c r="V395" s="1035"/>
      <c r="W395" s="3"/>
      <c r="X395" s="1043" t="str">
        <f t="shared" si="245"/>
        <v>.</v>
      </c>
      <c r="Y395" s="1044" t="str">
        <f t="shared" si="246"/>
        <v>.</v>
      </c>
      <c r="Z395" s="1044" t="str">
        <f t="shared" si="247"/>
        <v>.</v>
      </c>
      <c r="AA395" s="1044" t="str">
        <f t="shared" si="248"/>
        <v>.</v>
      </c>
      <c r="AB395" s="1044" t="str">
        <f t="shared" si="249"/>
        <v>.</v>
      </c>
      <c r="AC395" s="1044" t="str">
        <f t="shared" si="250"/>
        <v>.</v>
      </c>
      <c r="AD395" s="1045" t="str">
        <f t="shared" si="251"/>
        <v>.</v>
      </c>
      <c r="AE395" s="3"/>
      <c r="AF395" s="1145" t="str">
        <f t="shared" si="252"/>
        <v>.</v>
      </c>
      <c r="AG395" s="1146" t="str">
        <f t="shared" si="253"/>
        <v>.</v>
      </c>
      <c r="AH395" s="1146" t="str">
        <f t="shared" si="254"/>
        <v>.</v>
      </c>
      <c r="AI395" s="1146" t="str">
        <f t="shared" si="255"/>
        <v>.</v>
      </c>
      <c r="AJ395" s="1146" t="str">
        <f t="shared" si="256"/>
        <v>.</v>
      </c>
      <c r="AK395" s="1146" t="str">
        <f t="shared" si="257"/>
        <v>.</v>
      </c>
      <c r="AL395" s="1147" t="str">
        <f t="shared" si="258"/>
        <v>.</v>
      </c>
      <c r="AM395" s="3"/>
      <c r="AN395" s="1043" t="str">
        <f>IF(X395=".",".",SUM($X395:X395))</f>
        <v>.</v>
      </c>
      <c r="AO395" s="1044" t="str">
        <f>IF(Y395=".",".",SUM($X395:Y395))</f>
        <v>.</v>
      </c>
      <c r="AP395" s="1044" t="str">
        <f>IF(Z395=".",".",SUM($X395:Z395))</f>
        <v>.</v>
      </c>
      <c r="AQ395" s="1044" t="str">
        <f>IF(AA395=".",".",SUM($X395:AA395))</f>
        <v>.</v>
      </c>
      <c r="AR395" s="1044" t="str">
        <f>IF(AB395=".",".",SUM($X395:AB395))</f>
        <v>.</v>
      </c>
      <c r="AS395" s="1044" t="str">
        <f>IF(AC395=".",".",SUM($X395:AC395))</f>
        <v>.</v>
      </c>
      <c r="AT395" s="1045" t="str">
        <f>IF(AD395=".",".",SUM($X395:AD395))</f>
        <v>.</v>
      </c>
      <c r="AU395" s="3"/>
      <c r="AV395" s="1145" t="str">
        <f t="shared" si="259"/>
        <v>.</v>
      </c>
      <c r="AW395" s="1146" t="str">
        <f t="shared" si="260"/>
        <v>.</v>
      </c>
      <c r="AX395" s="1146" t="str">
        <f t="shared" si="261"/>
        <v>.</v>
      </c>
      <c r="AY395" s="1146" t="str">
        <f t="shared" si="262"/>
        <v>.</v>
      </c>
      <c r="AZ395" s="1146" t="str">
        <f t="shared" si="263"/>
        <v>.</v>
      </c>
      <c r="BA395" s="1146" t="str">
        <f t="shared" si="264"/>
        <v>.</v>
      </c>
      <c r="BB395" s="1147" t="str">
        <f t="shared" si="265"/>
        <v>.</v>
      </c>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1:89" x14ac:dyDescent="0.2">
      <c r="A396" s="620"/>
      <c r="B396" s="1091"/>
      <c r="C396" s="456"/>
      <c r="D396" s="1022" t="s">
        <v>687</v>
      </c>
      <c r="E396" s="1100"/>
      <c r="F396" s="1100"/>
      <c r="G396" s="1100"/>
      <c r="H396" s="1100"/>
      <c r="I396" s="1100"/>
      <c r="J396" s="1012"/>
      <c r="K396" s="1012"/>
      <c r="L396" s="1024"/>
      <c r="M396" s="1024"/>
      <c r="N396" s="1024"/>
      <c r="O396" s="1024"/>
      <c r="P396" s="1024"/>
      <c r="Q396" s="1024"/>
      <c r="R396" s="76"/>
      <c r="S396" s="3"/>
      <c r="T396" s="3"/>
      <c r="U396" s="3"/>
      <c r="V396" s="1035"/>
      <c r="W396" s="3"/>
      <c r="X396" s="1043" t="str">
        <f t="shared" si="245"/>
        <v>.</v>
      </c>
      <c r="Y396" s="1044" t="str">
        <f t="shared" si="246"/>
        <v>.</v>
      </c>
      <c r="Z396" s="1044" t="str">
        <f t="shared" si="247"/>
        <v>.</v>
      </c>
      <c r="AA396" s="1044" t="str">
        <f t="shared" si="248"/>
        <v>.</v>
      </c>
      <c r="AB396" s="1044" t="str">
        <f t="shared" si="249"/>
        <v>.</v>
      </c>
      <c r="AC396" s="1044" t="str">
        <f t="shared" si="250"/>
        <v>.</v>
      </c>
      <c r="AD396" s="1045" t="str">
        <f t="shared" si="251"/>
        <v>.</v>
      </c>
      <c r="AE396" s="3"/>
      <c r="AF396" s="1145" t="str">
        <f t="shared" si="252"/>
        <v>.</v>
      </c>
      <c r="AG396" s="1146" t="str">
        <f t="shared" si="253"/>
        <v>.</v>
      </c>
      <c r="AH396" s="1146" t="str">
        <f t="shared" si="254"/>
        <v>.</v>
      </c>
      <c r="AI396" s="1146" t="str">
        <f t="shared" si="255"/>
        <v>.</v>
      </c>
      <c r="AJ396" s="1146" t="str">
        <f t="shared" si="256"/>
        <v>.</v>
      </c>
      <c r="AK396" s="1146" t="str">
        <f t="shared" si="257"/>
        <v>.</v>
      </c>
      <c r="AL396" s="1147" t="str">
        <f t="shared" si="258"/>
        <v>.</v>
      </c>
      <c r="AM396" s="3"/>
      <c r="AN396" s="1043" t="str">
        <f>IF(X396=".",".",SUM($X396:X396))</f>
        <v>.</v>
      </c>
      <c r="AO396" s="1044" t="str">
        <f>IF(Y396=".",".",SUM($X396:Y396))</f>
        <v>.</v>
      </c>
      <c r="AP396" s="1044" t="str">
        <f>IF(Z396=".",".",SUM($X396:Z396))</f>
        <v>.</v>
      </c>
      <c r="AQ396" s="1044" t="str">
        <f>IF(AA396=".",".",SUM($X396:AA396))</f>
        <v>.</v>
      </c>
      <c r="AR396" s="1044" t="str">
        <f>IF(AB396=".",".",SUM($X396:AB396))</f>
        <v>.</v>
      </c>
      <c r="AS396" s="1044" t="str">
        <f>IF(AC396=".",".",SUM($X396:AC396))</f>
        <v>.</v>
      </c>
      <c r="AT396" s="1045" t="str">
        <f>IF(AD396=".",".",SUM($X396:AD396))</f>
        <v>.</v>
      </c>
      <c r="AU396" s="3"/>
      <c r="AV396" s="1145" t="str">
        <f t="shared" si="259"/>
        <v>.</v>
      </c>
      <c r="AW396" s="1146" t="str">
        <f t="shared" si="260"/>
        <v>.</v>
      </c>
      <c r="AX396" s="1146" t="str">
        <f t="shared" si="261"/>
        <v>.</v>
      </c>
      <c r="AY396" s="1146" t="str">
        <f t="shared" si="262"/>
        <v>.</v>
      </c>
      <c r="AZ396" s="1146" t="str">
        <f t="shared" si="263"/>
        <v>.</v>
      </c>
      <c r="BA396" s="1146" t="str">
        <f t="shared" si="264"/>
        <v>.</v>
      </c>
      <c r="BB396" s="1147" t="str">
        <f t="shared" si="265"/>
        <v>.</v>
      </c>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1:89" x14ac:dyDescent="0.2">
      <c r="A397" s="620"/>
      <c r="B397" s="1091"/>
      <c r="C397" s="456"/>
      <c r="D397" s="1022" t="s">
        <v>687</v>
      </c>
      <c r="E397" s="1100"/>
      <c r="F397" s="1100"/>
      <c r="G397" s="1100"/>
      <c r="H397" s="1100"/>
      <c r="I397" s="1100"/>
      <c r="J397" s="1012"/>
      <c r="K397" s="1012"/>
      <c r="L397" s="1024"/>
      <c r="M397" s="1024"/>
      <c r="N397" s="1024"/>
      <c r="O397" s="1024"/>
      <c r="P397" s="1024"/>
      <c r="Q397" s="1024"/>
      <c r="R397" s="76"/>
      <c r="S397" s="3"/>
      <c r="T397" s="3"/>
      <c r="U397" s="3"/>
      <c r="V397" s="1035"/>
      <c r="W397" s="3"/>
      <c r="X397" s="1043" t="str">
        <f t="shared" si="245"/>
        <v>.</v>
      </c>
      <c r="Y397" s="1044" t="str">
        <f t="shared" si="246"/>
        <v>.</v>
      </c>
      <c r="Z397" s="1044" t="str">
        <f t="shared" si="247"/>
        <v>.</v>
      </c>
      <c r="AA397" s="1044" t="str">
        <f t="shared" si="248"/>
        <v>.</v>
      </c>
      <c r="AB397" s="1044" t="str">
        <f t="shared" si="249"/>
        <v>.</v>
      </c>
      <c r="AC397" s="1044" t="str">
        <f t="shared" si="250"/>
        <v>.</v>
      </c>
      <c r="AD397" s="1045" t="str">
        <f t="shared" si="251"/>
        <v>.</v>
      </c>
      <c r="AE397" s="3"/>
      <c r="AF397" s="1145" t="str">
        <f t="shared" si="252"/>
        <v>.</v>
      </c>
      <c r="AG397" s="1146" t="str">
        <f t="shared" si="253"/>
        <v>.</v>
      </c>
      <c r="AH397" s="1146" t="str">
        <f t="shared" si="254"/>
        <v>.</v>
      </c>
      <c r="AI397" s="1146" t="str">
        <f t="shared" si="255"/>
        <v>.</v>
      </c>
      <c r="AJ397" s="1146" t="str">
        <f t="shared" si="256"/>
        <v>.</v>
      </c>
      <c r="AK397" s="1146" t="str">
        <f t="shared" si="257"/>
        <v>.</v>
      </c>
      <c r="AL397" s="1147" t="str">
        <f t="shared" si="258"/>
        <v>.</v>
      </c>
      <c r="AM397" s="3"/>
      <c r="AN397" s="1043" t="str">
        <f>IF(X397=".",".",SUM($X397:X397))</f>
        <v>.</v>
      </c>
      <c r="AO397" s="1044" t="str">
        <f>IF(Y397=".",".",SUM($X397:Y397))</f>
        <v>.</v>
      </c>
      <c r="AP397" s="1044" t="str">
        <f>IF(Z397=".",".",SUM($X397:Z397))</f>
        <v>.</v>
      </c>
      <c r="AQ397" s="1044" t="str">
        <f>IF(AA397=".",".",SUM($X397:AA397))</f>
        <v>.</v>
      </c>
      <c r="AR397" s="1044" t="str">
        <f>IF(AB397=".",".",SUM($X397:AB397))</f>
        <v>.</v>
      </c>
      <c r="AS397" s="1044" t="str">
        <f>IF(AC397=".",".",SUM($X397:AC397))</f>
        <v>.</v>
      </c>
      <c r="AT397" s="1045" t="str">
        <f>IF(AD397=".",".",SUM($X397:AD397))</f>
        <v>.</v>
      </c>
      <c r="AU397" s="3"/>
      <c r="AV397" s="1145" t="str">
        <f t="shared" si="259"/>
        <v>.</v>
      </c>
      <c r="AW397" s="1146" t="str">
        <f t="shared" si="260"/>
        <v>.</v>
      </c>
      <c r="AX397" s="1146" t="str">
        <f t="shared" si="261"/>
        <v>.</v>
      </c>
      <c r="AY397" s="1146" t="str">
        <f t="shared" si="262"/>
        <v>.</v>
      </c>
      <c r="AZ397" s="1146" t="str">
        <f t="shared" si="263"/>
        <v>.</v>
      </c>
      <c r="BA397" s="1146" t="str">
        <f t="shared" si="264"/>
        <v>.</v>
      </c>
      <c r="BB397" s="1147" t="str">
        <f t="shared" si="265"/>
        <v>.</v>
      </c>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1:89" x14ac:dyDescent="0.2">
      <c r="A398" s="620"/>
      <c r="B398" s="1091"/>
      <c r="C398" s="456"/>
      <c r="D398" s="1022" t="s">
        <v>687</v>
      </c>
      <c r="E398" s="1100"/>
      <c r="F398" s="1100"/>
      <c r="G398" s="1100"/>
      <c r="H398" s="1100"/>
      <c r="I398" s="1100"/>
      <c r="J398" s="1012"/>
      <c r="K398" s="1012"/>
      <c r="L398" s="1024"/>
      <c r="M398" s="1024"/>
      <c r="N398" s="1024"/>
      <c r="O398" s="1024"/>
      <c r="P398" s="1024"/>
      <c r="Q398" s="1024"/>
      <c r="R398" s="76"/>
      <c r="S398" s="3"/>
      <c r="T398" s="3"/>
      <c r="U398" s="3"/>
      <c r="V398" s="1035"/>
      <c r="W398" s="3"/>
      <c r="X398" s="1043" t="str">
        <f t="shared" si="245"/>
        <v>.</v>
      </c>
      <c r="Y398" s="1044" t="str">
        <f t="shared" si="246"/>
        <v>.</v>
      </c>
      <c r="Z398" s="1044" t="str">
        <f t="shared" si="247"/>
        <v>.</v>
      </c>
      <c r="AA398" s="1044" t="str">
        <f t="shared" si="248"/>
        <v>.</v>
      </c>
      <c r="AB398" s="1044" t="str">
        <f t="shared" si="249"/>
        <v>.</v>
      </c>
      <c r="AC398" s="1044" t="str">
        <f t="shared" si="250"/>
        <v>.</v>
      </c>
      <c r="AD398" s="1045" t="str">
        <f t="shared" si="251"/>
        <v>.</v>
      </c>
      <c r="AE398" s="3"/>
      <c r="AF398" s="1145" t="str">
        <f t="shared" si="252"/>
        <v>.</v>
      </c>
      <c r="AG398" s="1146" t="str">
        <f t="shared" si="253"/>
        <v>.</v>
      </c>
      <c r="AH398" s="1146" t="str">
        <f t="shared" si="254"/>
        <v>.</v>
      </c>
      <c r="AI398" s="1146" t="str">
        <f t="shared" si="255"/>
        <v>.</v>
      </c>
      <c r="AJ398" s="1146" t="str">
        <f t="shared" si="256"/>
        <v>.</v>
      </c>
      <c r="AK398" s="1146" t="str">
        <f t="shared" si="257"/>
        <v>.</v>
      </c>
      <c r="AL398" s="1147" t="str">
        <f t="shared" si="258"/>
        <v>.</v>
      </c>
      <c r="AM398" s="3"/>
      <c r="AN398" s="1043" t="str">
        <f>IF(X398=".",".",SUM($X398:X398))</f>
        <v>.</v>
      </c>
      <c r="AO398" s="1044" t="str">
        <f>IF(Y398=".",".",SUM($X398:Y398))</f>
        <v>.</v>
      </c>
      <c r="AP398" s="1044" t="str">
        <f>IF(Z398=".",".",SUM($X398:Z398))</f>
        <v>.</v>
      </c>
      <c r="AQ398" s="1044" t="str">
        <f>IF(AA398=".",".",SUM($X398:AA398))</f>
        <v>.</v>
      </c>
      <c r="AR398" s="1044" t="str">
        <f>IF(AB398=".",".",SUM($X398:AB398))</f>
        <v>.</v>
      </c>
      <c r="AS398" s="1044" t="str">
        <f>IF(AC398=".",".",SUM($X398:AC398))</f>
        <v>.</v>
      </c>
      <c r="AT398" s="1045" t="str">
        <f>IF(AD398=".",".",SUM($X398:AD398))</f>
        <v>.</v>
      </c>
      <c r="AU398" s="3"/>
      <c r="AV398" s="1145" t="str">
        <f t="shared" si="259"/>
        <v>.</v>
      </c>
      <c r="AW398" s="1146" t="str">
        <f t="shared" si="260"/>
        <v>.</v>
      </c>
      <c r="AX398" s="1146" t="str">
        <f t="shared" si="261"/>
        <v>.</v>
      </c>
      <c r="AY398" s="1146" t="str">
        <f t="shared" si="262"/>
        <v>.</v>
      </c>
      <c r="AZ398" s="1146" t="str">
        <f t="shared" si="263"/>
        <v>.</v>
      </c>
      <c r="BA398" s="1146" t="str">
        <f t="shared" si="264"/>
        <v>.</v>
      </c>
      <c r="BB398" s="1147" t="str">
        <f t="shared" si="265"/>
        <v>.</v>
      </c>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1:89" x14ac:dyDescent="0.2">
      <c r="A399" s="620"/>
      <c r="B399" s="1091"/>
      <c r="C399" s="456"/>
      <c r="D399" s="1022" t="s">
        <v>687</v>
      </c>
      <c r="E399" s="1100"/>
      <c r="F399" s="1100"/>
      <c r="G399" s="1100"/>
      <c r="H399" s="1100"/>
      <c r="I399" s="1100"/>
      <c r="J399" s="1012"/>
      <c r="K399" s="1012"/>
      <c r="L399" s="1024"/>
      <c r="M399" s="1024"/>
      <c r="N399" s="1024"/>
      <c r="O399" s="1024"/>
      <c r="P399" s="1024"/>
      <c r="Q399" s="1024"/>
      <c r="R399" s="76"/>
      <c r="S399" s="3"/>
      <c r="T399" s="3"/>
      <c r="U399" s="3"/>
      <c r="V399" s="1035"/>
      <c r="W399" s="3"/>
      <c r="X399" s="1043" t="str">
        <f t="shared" si="245"/>
        <v>.</v>
      </c>
      <c r="Y399" s="1044" t="str">
        <f t="shared" si="246"/>
        <v>.</v>
      </c>
      <c r="Z399" s="1044" t="str">
        <f t="shared" si="247"/>
        <v>.</v>
      </c>
      <c r="AA399" s="1044" t="str">
        <f t="shared" si="248"/>
        <v>.</v>
      </c>
      <c r="AB399" s="1044" t="str">
        <f t="shared" si="249"/>
        <v>.</v>
      </c>
      <c r="AC399" s="1044" t="str">
        <f t="shared" si="250"/>
        <v>.</v>
      </c>
      <c r="AD399" s="1045" t="str">
        <f t="shared" si="251"/>
        <v>.</v>
      </c>
      <c r="AE399" s="3"/>
      <c r="AF399" s="1145" t="str">
        <f t="shared" si="252"/>
        <v>.</v>
      </c>
      <c r="AG399" s="1146" t="str">
        <f t="shared" si="253"/>
        <v>.</v>
      </c>
      <c r="AH399" s="1146" t="str">
        <f t="shared" si="254"/>
        <v>.</v>
      </c>
      <c r="AI399" s="1146" t="str">
        <f t="shared" si="255"/>
        <v>.</v>
      </c>
      <c r="AJ399" s="1146" t="str">
        <f t="shared" si="256"/>
        <v>.</v>
      </c>
      <c r="AK399" s="1146" t="str">
        <f t="shared" si="257"/>
        <v>.</v>
      </c>
      <c r="AL399" s="1147" t="str">
        <f t="shared" si="258"/>
        <v>.</v>
      </c>
      <c r="AM399" s="3"/>
      <c r="AN399" s="1043" t="str">
        <f>IF(X399=".",".",SUM($X399:X399))</f>
        <v>.</v>
      </c>
      <c r="AO399" s="1044" t="str">
        <f>IF(Y399=".",".",SUM($X399:Y399))</f>
        <v>.</v>
      </c>
      <c r="AP399" s="1044" t="str">
        <f>IF(Z399=".",".",SUM($X399:Z399))</f>
        <v>.</v>
      </c>
      <c r="AQ399" s="1044" t="str">
        <f>IF(AA399=".",".",SUM($X399:AA399))</f>
        <v>.</v>
      </c>
      <c r="AR399" s="1044" t="str">
        <f>IF(AB399=".",".",SUM($X399:AB399))</f>
        <v>.</v>
      </c>
      <c r="AS399" s="1044" t="str">
        <f>IF(AC399=".",".",SUM($X399:AC399))</f>
        <v>.</v>
      </c>
      <c r="AT399" s="1045" t="str">
        <f>IF(AD399=".",".",SUM($X399:AD399))</f>
        <v>.</v>
      </c>
      <c r="AU399" s="3"/>
      <c r="AV399" s="1145" t="str">
        <f t="shared" si="259"/>
        <v>.</v>
      </c>
      <c r="AW399" s="1146" t="str">
        <f t="shared" si="260"/>
        <v>.</v>
      </c>
      <c r="AX399" s="1146" t="str">
        <f t="shared" si="261"/>
        <v>.</v>
      </c>
      <c r="AY399" s="1146" t="str">
        <f t="shared" si="262"/>
        <v>.</v>
      </c>
      <c r="AZ399" s="1146" t="str">
        <f t="shared" si="263"/>
        <v>.</v>
      </c>
      <c r="BA399" s="1146" t="str">
        <f t="shared" si="264"/>
        <v>.</v>
      </c>
      <c r="BB399" s="1147" t="str">
        <f t="shared" si="265"/>
        <v>.</v>
      </c>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1:89" x14ac:dyDescent="0.2">
      <c r="A400" s="620"/>
      <c r="B400" s="1091"/>
      <c r="C400" s="456"/>
      <c r="D400" s="1022" t="s">
        <v>687</v>
      </c>
      <c r="E400" s="1100"/>
      <c r="F400" s="1100"/>
      <c r="G400" s="1100"/>
      <c r="H400" s="1100"/>
      <c r="I400" s="1100"/>
      <c r="J400" s="1012"/>
      <c r="K400" s="1012"/>
      <c r="L400" s="1024"/>
      <c r="M400" s="1024"/>
      <c r="N400" s="1024"/>
      <c r="O400" s="1024"/>
      <c r="P400" s="1024"/>
      <c r="Q400" s="1024"/>
      <c r="R400" s="76"/>
      <c r="S400" s="3"/>
      <c r="T400" s="3"/>
      <c r="U400" s="3"/>
      <c r="V400" s="1035"/>
      <c r="W400" s="3"/>
      <c r="X400" s="1043" t="str">
        <f t="shared" si="245"/>
        <v>.</v>
      </c>
      <c r="Y400" s="1044" t="str">
        <f t="shared" si="246"/>
        <v>.</v>
      </c>
      <c r="Z400" s="1044" t="str">
        <f t="shared" si="247"/>
        <v>.</v>
      </c>
      <c r="AA400" s="1044" t="str">
        <f t="shared" si="248"/>
        <v>.</v>
      </c>
      <c r="AB400" s="1044" t="str">
        <f t="shared" si="249"/>
        <v>.</v>
      </c>
      <c r="AC400" s="1044" t="str">
        <f t="shared" si="250"/>
        <v>.</v>
      </c>
      <c r="AD400" s="1045" t="str">
        <f t="shared" si="251"/>
        <v>.</v>
      </c>
      <c r="AE400" s="3"/>
      <c r="AF400" s="1145" t="str">
        <f t="shared" si="252"/>
        <v>.</v>
      </c>
      <c r="AG400" s="1146" t="str">
        <f t="shared" si="253"/>
        <v>.</v>
      </c>
      <c r="AH400" s="1146" t="str">
        <f t="shared" si="254"/>
        <v>.</v>
      </c>
      <c r="AI400" s="1146" t="str">
        <f t="shared" si="255"/>
        <v>.</v>
      </c>
      <c r="AJ400" s="1146" t="str">
        <f t="shared" si="256"/>
        <v>.</v>
      </c>
      <c r="AK400" s="1146" t="str">
        <f t="shared" si="257"/>
        <v>.</v>
      </c>
      <c r="AL400" s="1147" t="str">
        <f t="shared" si="258"/>
        <v>.</v>
      </c>
      <c r="AM400" s="3"/>
      <c r="AN400" s="1043" t="str">
        <f>IF(X400=".",".",SUM($X400:X400))</f>
        <v>.</v>
      </c>
      <c r="AO400" s="1044" t="str">
        <f>IF(Y400=".",".",SUM($X400:Y400))</f>
        <v>.</v>
      </c>
      <c r="AP400" s="1044" t="str">
        <f>IF(Z400=".",".",SUM($X400:Z400))</f>
        <v>.</v>
      </c>
      <c r="AQ400" s="1044" t="str">
        <f>IF(AA400=".",".",SUM($X400:AA400))</f>
        <v>.</v>
      </c>
      <c r="AR400" s="1044" t="str">
        <f>IF(AB400=".",".",SUM($X400:AB400))</f>
        <v>.</v>
      </c>
      <c r="AS400" s="1044" t="str">
        <f>IF(AC400=".",".",SUM($X400:AC400))</f>
        <v>.</v>
      </c>
      <c r="AT400" s="1045" t="str">
        <f>IF(AD400=".",".",SUM($X400:AD400))</f>
        <v>.</v>
      </c>
      <c r="AU400" s="3"/>
      <c r="AV400" s="1145" t="str">
        <f t="shared" si="259"/>
        <v>.</v>
      </c>
      <c r="AW400" s="1146" t="str">
        <f t="shared" si="260"/>
        <v>.</v>
      </c>
      <c r="AX400" s="1146" t="str">
        <f t="shared" si="261"/>
        <v>.</v>
      </c>
      <c r="AY400" s="1146" t="str">
        <f t="shared" si="262"/>
        <v>.</v>
      </c>
      <c r="AZ400" s="1146" t="str">
        <f t="shared" si="263"/>
        <v>.</v>
      </c>
      <c r="BA400" s="1146" t="str">
        <f t="shared" si="264"/>
        <v>.</v>
      </c>
      <c r="BB400" s="1147" t="str">
        <f t="shared" si="265"/>
        <v>.</v>
      </c>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1:89" x14ac:dyDescent="0.2">
      <c r="A401" s="620"/>
      <c r="B401" s="1104"/>
      <c r="C401" s="1105"/>
      <c r="D401" s="1115" t="s">
        <v>687</v>
      </c>
      <c r="E401" s="1115"/>
      <c r="F401" s="1115"/>
      <c r="G401" s="1115"/>
      <c r="H401" s="1115"/>
      <c r="I401" s="1115"/>
      <c r="J401" s="1013"/>
      <c r="K401" s="1013"/>
      <c r="L401" s="1102"/>
      <c r="M401" s="1102"/>
      <c r="N401" s="1102"/>
      <c r="O401" s="1102"/>
      <c r="P401" s="1102"/>
      <c r="Q401" s="1102"/>
      <c r="R401" s="76"/>
      <c r="S401" s="3"/>
      <c r="T401" s="3"/>
      <c r="U401" s="3"/>
      <c r="V401" s="1035"/>
      <c r="W401" s="3"/>
      <c r="X401" s="1046" t="str">
        <f t="shared" si="245"/>
        <v>.</v>
      </c>
      <c r="Y401" s="1047" t="str">
        <f t="shared" si="246"/>
        <v>.</v>
      </c>
      <c r="Z401" s="1047" t="str">
        <f t="shared" si="247"/>
        <v>.</v>
      </c>
      <c r="AA401" s="1047" t="str">
        <f t="shared" si="248"/>
        <v>.</v>
      </c>
      <c r="AB401" s="1047" t="str">
        <f t="shared" si="249"/>
        <v>.</v>
      </c>
      <c r="AC401" s="1047" t="str">
        <f t="shared" si="250"/>
        <v>.</v>
      </c>
      <c r="AD401" s="1048" t="str">
        <f t="shared" si="251"/>
        <v>.</v>
      </c>
      <c r="AE401" s="3"/>
      <c r="AF401" s="1151" t="str">
        <f t="shared" si="252"/>
        <v>.</v>
      </c>
      <c r="AG401" s="1152" t="str">
        <f t="shared" si="253"/>
        <v>.</v>
      </c>
      <c r="AH401" s="1152" t="str">
        <f t="shared" si="254"/>
        <v>.</v>
      </c>
      <c r="AI401" s="1152" t="str">
        <f t="shared" si="255"/>
        <v>.</v>
      </c>
      <c r="AJ401" s="1152" t="str">
        <f t="shared" si="256"/>
        <v>.</v>
      </c>
      <c r="AK401" s="1152" t="str">
        <f t="shared" si="257"/>
        <v>.</v>
      </c>
      <c r="AL401" s="1153" t="str">
        <f t="shared" si="258"/>
        <v>.</v>
      </c>
      <c r="AM401" s="3"/>
      <c r="AN401" s="1046" t="str">
        <f>IF(X401=".",".",SUM($X401:X401))</f>
        <v>.</v>
      </c>
      <c r="AO401" s="1047" t="str">
        <f>IF(Y401=".",".",SUM($X401:Y401))</f>
        <v>.</v>
      </c>
      <c r="AP401" s="1047" t="str">
        <f>IF(Z401=".",".",SUM($X401:Z401))</f>
        <v>.</v>
      </c>
      <c r="AQ401" s="1047" t="str">
        <f>IF(AA401=".",".",SUM($X401:AA401))</f>
        <v>.</v>
      </c>
      <c r="AR401" s="1047" t="str">
        <f>IF(AB401=".",".",SUM($X401:AB401))</f>
        <v>.</v>
      </c>
      <c r="AS401" s="1047" t="str">
        <f>IF(AC401=".",".",SUM($X401:AC401))</f>
        <v>.</v>
      </c>
      <c r="AT401" s="1048" t="str">
        <f>IF(AD401=".",".",SUM($X401:AD401))</f>
        <v>.</v>
      </c>
      <c r="AU401" s="3"/>
      <c r="AV401" s="1151" t="str">
        <f t="shared" si="259"/>
        <v>.</v>
      </c>
      <c r="AW401" s="1152" t="str">
        <f t="shared" si="260"/>
        <v>.</v>
      </c>
      <c r="AX401" s="1152" t="str">
        <f t="shared" si="261"/>
        <v>.</v>
      </c>
      <c r="AY401" s="1152" t="str">
        <f t="shared" si="262"/>
        <v>.</v>
      </c>
      <c r="AZ401" s="1152" t="str">
        <f t="shared" si="263"/>
        <v>.</v>
      </c>
      <c r="BA401" s="1152" t="str">
        <f t="shared" si="264"/>
        <v>.</v>
      </c>
      <c r="BB401" s="1153" t="str">
        <f t="shared" si="265"/>
        <v>.</v>
      </c>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1:89" x14ac:dyDescent="0.2">
      <c r="A402" s="620"/>
      <c r="B402" s="3"/>
      <c r="C402" s="3"/>
      <c r="D402" s="3"/>
      <c r="E402" s="3"/>
      <c r="F402" s="3"/>
      <c r="G402" s="3"/>
      <c r="H402" s="3"/>
      <c r="I402" s="3"/>
      <c r="J402" s="16"/>
      <c r="K402" s="16"/>
      <c r="L402" s="3"/>
      <c r="M402" s="3"/>
      <c r="N402" s="3"/>
      <c r="O402" s="3"/>
      <c r="P402" s="3"/>
      <c r="Q402" s="3"/>
      <c r="R402" s="76"/>
      <c r="S402" s="3"/>
      <c r="T402" s="3"/>
      <c r="U402" s="3"/>
      <c r="V402" s="1035"/>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row>
    <row r="403" spans="1:89" x14ac:dyDescent="0.2">
      <c r="A403" s="620"/>
      <c r="B403" s="3"/>
      <c r="C403" s="3"/>
      <c r="D403" s="3"/>
      <c r="E403" s="3"/>
      <c r="F403" s="3"/>
      <c r="G403" s="3"/>
      <c r="H403" s="3"/>
      <c r="I403" s="3"/>
      <c r="J403" s="16"/>
      <c r="K403" s="16"/>
      <c r="L403" s="3"/>
      <c r="M403" s="3"/>
      <c r="N403" s="3"/>
      <c r="O403" s="3"/>
      <c r="P403" s="3"/>
      <c r="Q403" s="3"/>
      <c r="R403" s="76"/>
      <c r="S403" s="3"/>
      <c r="T403" s="3"/>
      <c r="U403" s="3"/>
      <c r="V403" s="1035"/>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row>
    <row r="404" spans="1:89" ht="12.75" x14ac:dyDescent="0.2">
      <c r="A404" s="620">
        <f>A378+1</f>
        <v>6</v>
      </c>
      <c r="B404" s="1086" t="str">
        <f>"Table "&amp;A1&amp;"."&amp;A404&amp;": Sewerage Services - Annual Charge"</f>
        <v>Table 7.6: Sewerage Services - Annual Charge</v>
      </c>
      <c r="C404" s="1067"/>
      <c r="D404" s="1067"/>
      <c r="E404" s="1067"/>
      <c r="F404" s="1067"/>
      <c r="G404" s="1067"/>
      <c r="H404" s="1067"/>
      <c r="I404" s="1067"/>
      <c r="J404" s="1068"/>
      <c r="K404" s="1103"/>
      <c r="L404" s="1069"/>
      <c r="M404" s="1069"/>
      <c r="N404" s="1069"/>
      <c r="O404" s="1069"/>
      <c r="P404" s="1069"/>
      <c r="Q404" s="1071"/>
      <c r="R404" s="76"/>
      <c r="S404" s="3"/>
      <c r="T404" s="3"/>
      <c r="U404" s="3"/>
      <c r="V404" s="1035"/>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row>
    <row r="405" spans="1:89" x14ac:dyDescent="0.2">
      <c r="A405" s="620"/>
      <c r="B405" s="1088" t="s">
        <v>700</v>
      </c>
      <c r="C405" s="79"/>
      <c r="D405" s="18"/>
      <c r="E405" s="18"/>
      <c r="F405" s="18"/>
      <c r="G405" s="18"/>
      <c r="H405" s="18"/>
      <c r="I405" s="18"/>
      <c r="J405" s="195"/>
      <c r="K405" s="196"/>
      <c r="L405" s="80"/>
      <c r="M405" s="80"/>
      <c r="N405" s="80"/>
      <c r="O405" s="80"/>
      <c r="P405" s="80"/>
      <c r="Q405" s="1089"/>
      <c r="R405" s="76"/>
      <c r="S405" s="3"/>
      <c r="T405" s="3"/>
      <c r="U405" s="3"/>
      <c r="V405" s="1035"/>
      <c r="W405" s="3"/>
      <c r="X405" s="208" t="str">
        <f>X$25</f>
        <v>Annual increases (nominal $ per year)</v>
      </c>
      <c r="Y405" s="3"/>
      <c r="Z405" s="3"/>
      <c r="AA405" s="3"/>
      <c r="AB405" s="3"/>
      <c r="AC405" s="3"/>
      <c r="AD405" s="3"/>
      <c r="AE405" s="3"/>
      <c r="AF405" s="208" t="str">
        <f>AF$25</f>
        <v>Annual increases (%)</v>
      </c>
      <c r="AG405" s="3"/>
      <c r="AH405" s="3"/>
      <c r="AI405" s="3"/>
      <c r="AJ405" s="3"/>
      <c r="AK405" s="3"/>
      <c r="AL405" s="3"/>
      <c r="AM405" s="3"/>
      <c r="AN405" s="208" t="str">
        <f>AN$25</f>
        <v>Cumulative increases (nominal $ per year)</v>
      </c>
      <c r="AO405" s="3"/>
      <c r="AP405" s="3"/>
      <c r="AQ405" s="3"/>
      <c r="AR405" s="3"/>
      <c r="AS405" s="3"/>
      <c r="AT405" s="3"/>
      <c r="AU405" s="3"/>
      <c r="AV405" s="208" t="str">
        <f>AV$25</f>
        <v>Cumulative increases (%)</v>
      </c>
      <c r="AW405" s="3"/>
      <c r="AX405" s="3"/>
      <c r="AY405" s="3"/>
      <c r="AZ405" s="3"/>
      <c r="BA405" s="3"/>
      <c r="BB405" s="3"/>
      <c r="BC405" s="3"/>
      <c r="BD405" s="3"/>
      <c r="BE405" s="3"/>
      <c r="BF405" s="3"/>
      <c r="BG405" s="3"/>
      <c r="BH405" s="3"/>
      <c r="BI405" s="3"/>
      <c r="BJ405" s="3"/>
      <c r="BK405" s="3"/>
    </row>
    <row r="406" spans="1:89" ht="39" customHeight="1" x14ac:dyDescent="0.2">
      <c r="A406" s="620"/>
      <c r="B406" s="1090"/>
      <c r="C406" s="1128"/>
      <c r="D406" s="1116"/>
      <c r="E406" s="1116"/>
      <c r="F406" s="1116"/>
      <c r="G406" s="1116"/>
      <c r="H406" s="1116"/>
      <c r="I406" s="1116"/>
      <c r="J406" s="1129" t="s">
        <v>702</v>
      </c>
      <c r="K406" s="1129" t="s">
        <v>703</v>
      </c>
      <c r="L406" s="1129" t="s">
        <v>704</v>
      </c>
      <c r="M406" s="1129" t="s">
        <v>705</v>
      </c>
      <c r="N406" s="1129" t="s">
        <v>706</v>
      </c>
      <c r="O406" s="1129" t="s">
        <v>707</v>
      </c>
      <c r="P406" s="1129" t="s">
        <v>708</v>
      </c>
      <c r="Q406" s="1129" t="s">
        <v>709</v>
      </c>
      <c r="R406" s="76"/>
      <c r="S406" s="3"/>
      <c r="T406" s="3"/>
      <c r="U406" s="3"/>
      <c r="V406" s="1035"/>
      <c r="W406" s="3"/>
      <c r="X406" s="1049" t="str">
        <f>B404</f>
        <v>Table 7.6: Sewerage Services - Annual Charge</v>
      </c>
      <c r="Y406" s="695"/>
      <c r="Z406" s="695"/>
      <c r="AA406" s="695"/>
      <c r="AB406" s="695"/>
      <c r="AC406" s="695"/>
      <c r="AD406" s="1050"/>
      <c r="AE406" s="3"/>
      <c r="AF406" s="1049" t="str">
        <f>$X406</f>
        <v>Table 7.6: Sewerage Services - Annual Charge</v>
      </c>
      <c r="AG406" s="695"/>
      <c r="AH406" s="695"/>
      <c r="AI406" s="695"/>
      <c r="AJ406" s="695"/>
      <c r="AK406" s="695"/>
      <c r="AL406" s="1050"/>
      <c r="AM406" s="3"/>
      <c r="AN406" s="1049" t="str">
        <f>$X406</f>
        <v>Table 7.6: Sewerage Services - Annual Charge</v>
      </c>
      <c r="AO406" s="695"/>
      <c r="AP406" s="695"/>
      <c r="AQ406" s="695"/>
      <c r="AR406" s="695"/>
      <c r="AS406" s="695"/>
      <c r="AT406" s="1050"/>
      <c r="AU406" s="3"/>
      <c r="AV406" s="1049" t="str">
        <f>$X406</f>
        <v>Table 7.6: Sewerage Services - Annual Charge</v>
      </c>
      <c r="AW406" s="695"/>
      <c r="AX406" s="695"/>
      <c r="AY406" s="695"/>
      <c r="AZ406" s="695"/>
      <c r="BA406" s="695"/>
      <c r="BB406" s="1050"/>
      <c r="BC406" s="3"/>
      <c r="BD406" s="3"/>
      <c r="BE406" s="3"/>
      <c r="BF406" s="3"/>
      <c r="BG406" s="3"/>
      <c r="BH406" s="3"/>
      <c r="BI406" s="3"/>
      <c r="BJ406" s="3"/>
      <c r="BK406" s="3"/>
    </row>
    <row r="407" spans="1:89" x14ac:dyDescent="0.2">
      <c r="A407" s="620"/>
      <c r="B407" s="299"/>
      <c r="C407" s="578"/>
      <c r="D407" s="290"/>
      <c r="E407" s="290"/>
      <c r="F407" s="290"/>
      <c r="G407" s="290"/>
      <c r="H407" s="290"/>
      <c r="I407" s="290"/>
      <c r="J407" s="1018" t="str">
        <f t="shared" ref="J407:Q407" si="266">J381</f>
        <v>2023-24</v>
      </c>
      <c r="K407" s="1018" t="str">
        <f t="shared" si="266"/>
        <v>2024-25</v>
      </c>
      <c r="L407" s="1018" t="str">
        <f t="shared" si="266"/>
        <v>2025-26</v>
      </c>
      <c r="M407" s="1018" t="str">
        <f t="shared" si="266"/>
        <v>2026-27</v>
      </c>
      <c r="N407" s="1018" t="str">
        <f t="shared" si="266"/>
        <v>2027-28</v>
      </c>
      <c r="O407" s="1018" t="str">
        <f t="shared" si="266"/>
        <v>2028-29</v>
      </c>
      <c r="P407" s="1018" t="str">
        <f t="shared" si="266"/>
        <v>2029-30</v>
      </c>
      <c r="Q407" s="1018" t="str">
        <f t="shared" si="266"/>
        <v>2030-31</v>
      </c>
      <c r="R407" s="76"/>
      <c r="S407" s="3"/>
      <c r="T407" s="3"/>
      <c r="U407" s="3"/>
      <c r="V407" s="1035"/>
      <c r="W407" s="3"/>
      <c r="X407" s="1039" t="str">
        <f>X$27</f>
        <v>Year 1</v>
      </c>
      <c r="Y407" s="257" t="str">
        <f t="shared" ref="Y407:AD407" si="267">Y$27</f>
        <v>Year 2</v>
      </c>
      <c r="Z407" s="257" t="str">
        <f t="shared" si="267"/>
        <v>Year 3</v>
      </c>
      <c r="AA407" s="257" t="str">
        <f t="shared" si="267"/>
        <v>Year 4</v>
      </c>
      <c r="AB407" s="257" t="str">
        <f t="shared" si="267"/>
        <v>Year 5</v>
      </c>
      <c r="AC407" s="257" t="str">
        <f t="shared" si="267"/>
        <v>Year 6</v>
      </c>
      <c r="AD407" s="1040" t="str">
        <f t="shared" si="267"/>
        <v>Year 7</v>
      </c>
      <c r="AE407" s="19"/>
      <c r="AF407" s="1039" t="str">
        <f t="shared" ref="AF407:AL407" si="268">AF$27</f>
        <v>Year 1</v>
      </c>
      <c r="AG407" s="257" t="str">
        <f t="shared" si="268"/>
        <v>Year 2</v>
      </c>
      <c r="AH407" s="257" t="str">
        <f t="shared" si="268"/>
        <v>Year 3</v>
      </c>
      <c r="AI407" s="257" t="str">
        <f t="shared" si="268"/>
        <v>Year 4</v>
      </c>
      <c r="AJ407" s="257" t="str">
        <f t="shared" si="268"/>
        <v>Year 5</v>
      </c>
      <c r="AK407" s="257" t="str">
        <f t="shared" si="268"/>
        <v>Year 6</v>
      </c>
      <c r="AL407" s="1040" t="str">
        <f t="shared" si="268"/>
        <v>Year 7</v>
      </c>
      <c r="AM407" s="19"/>
      <c r="AN407" s="1039" t="str">
        <f>AN$27</f>
        <v>Year 1</v>
      </c>
      <c r="AO407" s="257" t="str">
        <f t="shared" ref="AO407:AT407" si="269">AO$27</f>
        <v>Year 2</v>
      </c>
      <c r="AP407" s="257" t="str">
        <f t="shared" si="269"/>
        <v>Year 3</v>
      </c>
      <c r="AQ407" s="257" t="str">
        <f t="shared" si="269"/>
        <v>Year 4</v>
      </c>
      <c r="AR407" s="257" t="str">
        <f t="shared" si="269"/>
        <v>Year 5</v>
      </c>
      <c r="AS407" s="257" t="str">
        <f t="shared" si="269"/>
        <v>Year 6</v>
      </c>
      <c r="AT407" s="1040" t="str">
        <f t="shared" si="269"/>
        <v>Year 7</v>
      </c>
      <c r="AU407" s="19"/>
      <c r="AV407" s="1051" t="str">
        <f>AV$27</f>
        <v>Year 1</v>
      </c>
      <c r="AW407" s="1052" t="str">
        <f t="shared" ref="AW407:BB407" si="270">AW$27</f>
        <v>Year 2</v>
      </c>
      <c r="AX407" s="1052" t="str">
        <f t="shared" si="270"/>
        <v>Year 3</v>
      </c>
      <c r="AY407" s="1052" t="str">
        <f t="shared" si="270"/>
        <v>Year 4</v>
      </c>
      <c r="AZ407" s="1052" t="str">
        <f t="shared" si="270"/>
        <v>Year 5</v>
      </c>
      <c r="BA407" s="1052" t="str">
        <f t="shared" si="270"/>
        <v>Year 6</v>
      </c>
      <c r="BB407" s="1053" t="str">
        <f t="shared" si="270"/>
        <v>Year 7</v>
      </c>
      <c r="BC407" s="3"/>
      <c r="BD407" s="3"/>
      <c r="BE407" s="3"/>
      <c r="BF407" s="3"/>
      <c r="BG407" s="3"/>
      <c r="BH407" s="3"/>
      <c r="BI407" s="3"/>
      <c r="BJ407" s="3"/>
      <c r="BK407" s="3"/>
    </row>
    <row r="408" spans="1:89" x14ac:dyDescent="0.2">
      <c r="A408" s="620"/>
      <c r="B408" s="1118"/>
      <c r="C408" s="1119"/>
      <c r="D408" s="1124" t="s">
        <v>687</v>
      </c>
      <c r="E408" s="1120"/>
      <c r="F408" s="1120"/>
      <c r="G408" s="1120"/>
      <c r="H408" s="1120"/>
      <c r="I408" s="1121"/>
      <c r="J408" s="1126"/>
      <c r="K408" s="1081"/>
      <c r="L408" s="1082"/>
      <c r="M408" s="1082"/>
      <c r="N408" s="1082"/>
      <c r="O408" s="1082"/>
      <c r="P408" s="1122"/>
      <c r="Q408" s="1122"/>
      <c r="R408" s="76"/>
      <c r="S408" s="3"/>
      <c r="T408" s="3"/>
      <c r="U408" s="3"/>
      <c r="V408" s="1035"/>
      <c r="W408" s="3"/>
      <c r="X408" s="1043" t="str">
        <f t="shared" ref="X408:X427" si="271">IF(K408="",".",K408-J408)</f>
        <v>.</v>
      </c>
      <c r="Y408" s="1044" t="str">
        <f t="shared" ref="Y408:Y427" si="272">IF(L408="",".",L408-K408)</f>
        <v>.</v>
      </c>
      <c r="Z408" s="1044" t="str">
        <f t="shared" ref="Z408:Z427" si="273">IF(M408="",".",M408-L408)</f>
        <v>.</v>
      </c>
      <c r="AA408" s="1044" t="str">
        <f t="shared" ref="AA408:AA427" si="274">IF(N408="",".",N408-M408)</f>
        <v>.</v>
      </c>
      <c r="AB408" s="1044" t="str">
        <f t="shared" ref="AB408:AB427" si="275">IF(O408="",".",O408-N408)</f>
        <v>.</v>
      </c>
      <c r="AC408" s="1044" t="str">
        <f t="shared" ref="AC408:AC427" si="276">IF(P408="",".",P408-O408)</f>
        <v>.</v>
      </c>
      <c r="AD408" s="1045" t="str">
        <f t="shared" ref="AD408:AD427" si="277">IF(Q408="",".",Q408-P408)</f>
        <v>.</v>
      </c>
      <c r="AE408" s="3"/>
      <c r="AF408" s="1055" t="str">
        <f t="shared" ref="AF408:AF427" si="278">IFERROR(K408/J408-1,".")</f>
        <v>.</v>
      </c>
      <c r="AG408" s="258" t="str">
        <f t="shared" ref="AG408:AG427" si="279">IFERROR(L408/K408-1,".")</f>
        <v>.</v>
      </c>
      <c r="AH408" s="258" t="str">
        <f t="shared" ref="AH408:AH427" si="280">IFERROR(M408/L408-1,".")</f>
        <v>.</v>
      </c>
      <c r="AI408" s="258" t="str">
        <f t="shared" ref="AI408:AI427" si="281">IFERROR(N408/M408-1,".")</f>
        <v>.</v>
      </c>
      <c r="AJ408" s="258" t="str">
        <f t="shared" ref="AJ408:AJ427" si="282">IFERROR(O408/N408-1,".")</f>
        <v>.</v>
      </c>
      <c r="AK408" s="258" t="str">
        <f t="shared" ref="AK408:AK427" si="283">IFERROR(P408/O408-1,".")</f>
        <v>.</v>
      </c>
      <c r="AL408" s="1056" t="str">
        <f t="shared" ref="AL408:AL427" si="284">IFERROR(Q408/P408-1,".")</f>
        <v>.</v>
      </c>
      <c r="AM408" s="3"/>
      <c r="AN408" s="1043" t="str">
        <f>IF(X408=".",".",SUM($X408:X408))</f>
        <v>.</v>
      </c>
      <c r="AO408" s="1044" t="str">
        <f>IF(Y408=".",".",SUM($X408:Y408))</f>
        <v>.</v>
      </c>
      <c r="AP408" s="1044" t="str">
        <f>IF(Z408=".",".",SUM($X408:Z408))</f>
        <v>.</v>
      </c>
      <c r="AQ408" s="1044" t="str">
        <f>IF(AA408=".",".",SUM($X408:AA408))</f>
        <v>.</v>
      </c>
      <c r="AR408" s="1044" t="str">
        <f>IF(AB408=".",".",SUM($X408:AB408))</f>
        <v>.</v>
      </c>
      <c r="AS408" s="1044" t="str">
        <f>IF(AC408=".",".",SUM($X408:AC408))</f>
        <v>.</v>
      </c>
      <c r="AT408" s="1045" t="str">
        <f>IF(AD408=".",".",SUM($X408:AD408))</f>
        <v>.</v>
      </c>
      <c r="AU408" s="3"/>
      <c r="AV408" s="1055" t="str">
        <f t="shared" ref="AV408:AV427" si="285">IFERROR(K408/$J408-1,".")</f>
        <v>.</v>
      </c>
      <c r="AW408" s="258" t="str">
        <f t="shared" ref="AW408:AW427" si="286">IFERROR(L408/$J408-1,".")</f>
        <v>.</v>
      </c>
      <c r="AX408" s="258" t="str">
        <f t="shared" ref="AX408:AX427" si="287">IFERROR(M408/$J408-1,".")</f>
        <v>.</v>
      </c>
      <c r="AY408" s="258" t="str">
        <f t="shared" ref="AY408:AY427" si="288">IFERROR(N408/$J408-1,".")</f>
        <v>.</v>
      </c>
      <c r="AZ408" s="258" t="str">
        <f t="shared" ref="AZ408:AZ427" si="289">IFERROR(O408/$J408-1,".")</f>
        <v>.</v>
      </c>
      <c r="BA408" s="258" t="str">
        <f t="shared" ref="BA408:BA427" si="290">IFERROR(P408/$J408-1,".")</f>
        <v>.</v>
      </c>
      <c r="BB408" s="1056" t="str">
        <f t="shared" ref="BB408:BB427" si="291">IFERROR(Q408/$J408-1,".")</f>
        <v>.</v>
      </c>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1:89" x14ac:dyDescent="0.2">
      <c r="A409" s="620"/>
      <c r="B409" s="1091"/>
      <c r="C409" s="456"/>
      <c r="D409" s="1077" t="s">
        <v>687</v>
      </c>
      <c r="E409" s="484"/>
      <c r="F409" s="484"/>
      <c r="G409" s="484"/>
      <c r="H409" s="484"/>
      <c r="I409" s="485"/>
      <c r="J409" s="703"/>
      <c r="K409" s="1012"/>
      <c r="L409" s="1024"/>
      <c r="M409" s="1024"/>
      <c r="N409" s="1024"/>
      <c r="O409" s="1024"/>
      <c r="P409" s="1078"/>
      <c r="Q409" s="1078"/>
      <c r="R409" s="76"/>
      <c r="S409" s="3"/>
      <c r="T409" s="3"/>
      <c r="U409" s="3"/>
      <c r="V409" s="1035"/>
      <c r="W409" s="3"/>
      <c r="X409" s="1043" t="str">
        <f t="shared" si="271"/>
        <v>.</v>
      </c>
      <c r="Y409" s="1044" t="str">
        <f t="shared" si="272"/>
        <v>.</v>
      </c>
      <c r="Z409" s="1044" t="str">
        <f t="shared" si="273"/>
        <v>.</v>
      </c>
      <c r="AA409" s="1044" t="str">
        <f t="shared" si="274"/>
        <v>.</v>
      </c>
      <c r="AB409" s="1044" t="str">
        <f t="shared" si="275"/>
        <v>.</v>
      </c>
      <c r="AC409" s="1044" t="str">
        <f t="shared" si="276"/>
        <v>.</v>
      </c>
      <c r="AD409" s="1045" t="str">
        <f t="shared" si="277"/>
        <v>.</v>
      </c>
      <c r="AE409" s="3"/>
      <c r="AF409" s="1055" t="str">
        <f t="shared" si="278"/>
        <v>.</v>
      </c>
      <c r="AG409" s="258" t="str">
        <f t="shared" si="279"/>
        <v>.</v>
      </c>
      <c r="AH409" s="258" t="str">
        <f t="shared" si="280"/>
        <v>.</v>
      </c>
      <c r="AI409" s="258" t="str">
        <f t="shared" si="281"/>
        <v>.</v>
      </c>
      <c r="AJ409" s="258" t="str">
        <f t="shared" si="282"/>
        <v>.</v>
      </c>
      <c r="AK409" s="258" t="str">
        <f t="shared" si="283"/>
        <v>.</v>
      </c>
      <c r="AL409" s="1056" t="str">
        <f t="shared" si="284"/>
        <v>.</v>
      </c>
      <c r="AM409" s="3"/>
      <c r="AN409" s="1043" t="str">
        <f>IF(X409=".",".",SUM($X409:X409))</f>
        <v>.</v>
      </c>
      <c r="AO409" s="1044" t="str">
        <f>IF(Y409=".",".",SUM($X409:Y409))</f>
        <v>.</v>
      </c>
      <c r="AP409" s="1044" t="str">
        <f>IF(Z409=".",".",SUM($X409:Z409))</f>
        <v>.</v>
      </c>
      <c r="AQ409" s="1044" t="str">
        <f>IF(AA409=".",".",SUM($X409:AA409))</f>
        <v>.</v>
      </c>
      <c r="AR409" s="1044" t="str">
        <f>IF(AB409=".",".",SUM($X409:AB409))</f>
        <v>.</v>
      </c>
      <c r="AS409" s="1044" t="str">
        <f>IF(AC409=".",".",SUM($X409:AC409))</f>
        <v>.</v>
      </c>
      <c r="AT409" s="1045" t="str">
        <f>IF(AD409=".",".",SUM($X409:AD409))</f>
        <v>.</v>
      </c>
      <c r="AU409" s="3"/>
      <c r="AV409" s="1055" t="str">
        <f t="shared" si="285"/>
        <v>.</v>
      </c>
      <c r="AW409" s="258" t="str">
        <f t="shared" si="286"/>
        <v>.</v>
      </c>
      <c r="AX409" s="258" t="str">
        <f t="shared" si="287"/>
        <v>.</v>
      </c>
      <c r="AY409" s="258" t="str">
        <f t="shared" si="288"/>
        <v>.</v>
      </c>
      <c r="AZ409" s="258" t="str">
        <f t="shared" si="289"/>
        <v>.</v>
      </c>
      <c r="BA409" s="258" t="str">
        <f t="shared" si="290"/>
        <v>.</v>
      </c>
      <c r="BB409" s="1056" t="str">
        <f t="shared" si="291"/>
        <v>.</v>
      </c>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1:89" x14ac:dyDescent="0.2">
      <c r="A410" s="620"/>
      <c r="B410" s="1091"/>
      <c r="C410" s="456"/>
      <c r="D410" s="1077" t="s">
        <v>687</v>
      </c>
      <c r="E410" s="484"/>
      <c r="F410" s="484"/>
      <c r="G410" s="484"/>
      <c r="H410" s="484"/>
      <c r="I410" s="485"/>
      <c r="J410" s="703"/>
      <c r="K410" s="1012"/>
      <c r="L410" s="1024"/>
      <c r="M410" s="1024"/>
      <c r="N410" s="1024"/>
      <c r="O410" s="1024"/>
      <c r="P410" s="1078"/>
      <c r="Q410" s="1078"/>
      <c r="R410" s="76"/>
      <c r="S410" s="3"/>
      <c r="T410" s="3"/>
      <c r="U410" s="3"/>
      <c r="V410" s="1035"/>
      <c r="W410" s="3"/>
      <c r="X410" s="1043" t="str">
        <f t="shared" si="271"/>
        <v>.</v>
      </c>
      <c r="Y410" s="1044" t="str">
        <f t="shared" si="272"/>
        <v>.</v>
      </c>
      <c r="Z410" s="1044" t="str">
        <f t="shared" si="273"/>
        <v>.</v>
      </c>
      <c r="AA410" s="1044" t="str">
        <f t="shared" si="274"/>
        <v>.</v>
      </c>
      <c r="AB410" s="1044" t="str">
        <f t="shared" si="275"/>
        <v>.</v>
      </c>
      <c r="AC410" s="1044" t="str">
        <f t="shared" si="276"/>
        <v>.</v>
      </c>
      <c r="AD410" s="1045" t="str">
        <f t="shared" si="277"/>
        <v>.</v>
      </c>
      <c r="AE410" s="3"/>
      <c r="AF410" s="1055" t="str">
        <f t="shared" si="278"/>
        <v>.</v>
      </c>
      <c r="AG410" s="258" t="str">
        <f t="shared" si="279"/>
        <v>.</v>
      </c>
      <c r="AH410" s="258" t="str">
        <f t="shared" si="280"/>
        <v>.</v>
      </c>
      <c r="AI410" s="258" t="str">
        <f t="shared" si="281"/>
        <v>.</v>
      </c>
      <c r="AJ410" s="258" t="str">
        <f t="shared" si="282"/>
        <v>.</v>
      </c>
      <c r="AK410" s="258" t="str">
        <f t="shared" si="283"/>
        <v>.</v>
      </c>
      <c r="AL410" s="1056" t="str">
        <f t="shared" si="284"/>
        <v>.</v>
      </c>
      <c r="AM410" s="3"/>
      <c r="AN410" s="1043" t="str">
        <f>IF(X410=".",".",SUM($X410:X410))</f>
        <v>.</v>
      </c>
      <c r="AO410" s="1044" t="str">
        <f>IF(Y410=".",".",SUM($X410:Y410))</f>
        <v>.</v>
      </c>
      <c r="AP410" s="1044" t="str">
        <f>IF(Z410=".",".",SUM($X410:Z410))</f>
        <v>.</v>
      </c>
      <c r="AQ410" s="1044" t="str">
        <f>IF(AA410=".",".",SUM($X410:AA410))</f>
        <v>.</v>
      </c>
      <c r="AR410" s="1044" t="str">
        <f>IF(AB410=".",".",SUM($X410:AB410))</f>
        <v>.</v>
      </c>
      <c r="AS410" s="1044" t="str">
        <f>IF(AC410=".",".",SUM($X410:AC410))</f>
        <v>.</v>
      </c>
      <c r="AT410" s="1045" t="str">
        <f>IF(AD410=".",".",SUM($X410:AD410))</f>
        <v>.</v>
      </c>
      <c r="AU410" s="3"/>
      <c r="AV410" s="1055" t="str">
        <f t="shared" si="285"/>
        <v>.</v>
      </c>
      <c r="AW410" s="258" t="str">
        <f t="shared" si="286"/>
        <v>.</v>
      </c>
      <c r="AX410" s="258" t="str">
        <f t="shared" si="287"/>
        <v>.</v>
      </c>
      <c r="AY410" s="258" t="str">
        <f t="shared" si="288"/>
        <v>.</v>
      </c>
      <c r="AZ410" s="258" t="str">
        <f t="shared" si="289"/>
        <v>.</v>
      </c>
      <c r="BA410" s="258" t="str">
        <f t="shared" si="290"/>
        <v>.</v>
      </c>
      <c r="BB410" s="1056" t="str">
        <f t="shared" si="291"/>
        <v>.</v>
      </c>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1:89" x14ac:dyDescent="0.2">
      <c r="A411" s="620"/>
      <c r="B411" s="1091"/>
      <c r="C411" s="456"/>
      <c r="D411" s="1077" t="s">
        <v>687</v>
      </c>
      <c r="E411" s="484"/>
      <c r="F411" s="484"/>
      <c r="G411" s="484"/>
      <c r="H411" s="484"/>
      <c r="I411" s="485"/>
      <c r="J411" s="703"/>
      <c r="K411" s="1012"/>
      <c r="L411" s="1024"/>
      <c r="M411" s="1024"/>
      <c r="N411" s="1024"/>
      <c r="O411" s="1024"/>
      <c r="P411" s="1078"/>
      <c r="Q411" s="1078"/>
      <c r="R411" s="76"/>
      <c r="S411" s="3"/>
      <c r="T411" s="3"/>
      <c r="U411" s="3"/>
      <c r="V411" s="1035"/>
      <c r="W411" s="3"/>
      <c r="X411" s="1043" t="str">
        <f t="shared" si="271"/>
        <v>.</v>
      </c>
      <c r="Y411" s="1044" t="str">
        <f t="shared" si="272"/>
        <v>.</v>
      </c>
      <c r="Z411" s="1044" t="str">
        <f t="shared" si="273"/>
        <v>.</v>
      </c>
      <c r="AA411" s="1044" t="str">
        <f t="shared" si="274"/>
        <v>.</v>
      </c>
      <c r="AB411" s="1044" t="str">
        <f t="shared" si="275"/>
        <v>.</v>
      </c>
      <c r="AC411" s="1044" t="str">
        <f t="shared" si="276"/>
        <v>.</v>
      </c>
      <c r="AD411" s="1045" t="str">
        <f t="shared" si="277"/>
        <v>.</v>
      </c>
      <c r="AE411" s="3"/>
      <c r="AF411" s="1055" t="str">
        <f t="shared" si="278"/>
        <v>.</v>
      </c>
      <c r="AG411" s="258" t="str">
        <f t="shared" si="279"/>
        <v>.</v>
      </c>
      <c r="AH411" s="258" t="str">
        <f t="shared" si="280"/>
        <v>.</v>
      </c>
      <c r="AI411" s="258" t="str">
        <f t="shared" si="281"/>
        <v>.</v>
      </c>
      <c r="AJ411" s="258" t="str">
        <f t="shared" si="282"/>
        <v>.</v>
      </c>
      <c r="AK411" s="258" t="str">
        <f t="shared" si="283"/>
        <v>.</v>
      </c>
      <c r="AL411" s="1056" t="str">
        <f t="shared" si="284"/>
        <v>.</v>
      </c>
      <c r="AM411" s="3"/>
      <c r="AN411" s="1043" t="str">
        <f>IF(X411=".",".",SUM($X411:X411))</f>
        <v>.</v>
      </c>
      <c r="AO411" s="1044" t="str">
        <f>IF(Y411=".",".",SUM($X411:Y411))</f>
        <v>.</v>
      </c>
      <c r="AP411" s="1044" t="str">
        <f>IF(Z411=".",".",SUM($X411:Z411))</f>
        <v>.</v>
      </c>
      <c r="AQ411" s="1044" t="str">
        <f>IF(AA411=".",".",SUM($X411:AA411))</f>
        <v>.</v>
      </c>
      <c r="AR411" s="1044" t="str">
        <f>IF(AB411=".",".",SUM($X411:AB411))</f>
        <v>.</v>
      </c>
      <c r="AS411" s="1044" t="str">
        <f>IF(AC411=".",".",SUM($X411:AC411))</f>
        <v>.</v>
      </c>
      <c r="AT411" s="1045" t="str">
        <f>IF(AD411=".",".",SUM($X411:AD411))</f>
        <v>.</v>
      </c>
      <c r="AU411" s="3"/>
      <c r="AV411" s="1055" t="str">
        <f t="shared" si="285"/>
        <v>.</v>
      </c>
      <c r="AW411" s="258" t="str">
        <f t="shared" si="286"/>
        <v>.</v>
      </c>
      <c r="AX411" s="258" t="str">
        <f t="shared" si="287"/>
        <v>.</v>
      </c>
      <c r="AY411" s="258" t="str">
        <f t="shared" si="288"/>
        <v>.</v>
      </c>
      <c r="AZ411" s="258" t="str">
        <f t="shared" si="289"/>
        <v>.</v>
      </c>
      <c r="BA411" s="258" t="str">
        <f t="shared" si="290"/>
        <v>.</v>
      </c>
      <c r="BB411" s="1056" t="str">
        <f t="shared" si="291"/>
        <v>.</v>
      </c>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1:89" x14ac:dyDescent="0.2">
      <c r="A412" s="620"/>
      <c r="B412" s="1091"/>
      <c r="C412" s="456"/>
      <c r="D412" s="1077" t="s">
        <v>687</v>
      </c>
      <c r="E412" s="484"/>
      <c r="F412" s="484"/>
      <c r="G412" s="484"/>
      <c r="H412" s="484"/>
      <c r="I412" s="485"/>
      <c r="J412" s="703"/>
      <c r="K412" s="1012"/>
      <c r="L412" s="1024"/>
      <c r="M412" s="1024"/>
      <c r="N412" s="1024"/>
      <c r="O412" s="1024"/>
      <c r="P412" s="1078"/>
      <c r="Q412" s="1078"/>
      <c r="R412" s="76"/>
      <c r="S412" s="3"/>
      <c r="T412" s="3"/>
      <c r="U412" s="3"/>
      <c r="V412" s="1035"/>
      <c r="W412" s="3"/>
      <c r="X412" s="1043" t="str">
        <f t="shared" si="271"/>
        <v>.</v>
      </c>
      <c r="Y412" s="1044" t="str">
        <f t="shared" si="272"/>
        <v>.</v>
      </c>
      <c r="Z412" s="1044" t="str">
        <f t="shared" si="273"/>
        <v>.</v>
      </c>
      <c r="AA412" s="1044" t="str">
        <f t="shared" si="274"/>
        <v>.</v>
      </c>
      <c r="AB412" s="1044" t="str">
        <f t="shared" si="275"/>
        <v>.</v>
      </c>
      <c r="AC412" s="1044" t="str">
        <f t="shared" si="276"/>
        <v>.</v>
      </c>
      <c r="AD412" s="1045" t="str">
        <f t="shared" si="277"/>
        <v>.</v>
      </c>
      <c r="AE412" s="3"/>
      <c r="AF412" s="1055" t="str">
        <f t="shared" si="278"/>
        <v>.</v>
      </c>
      <c r="AG412" s="258" t="str">
        <f t="shared" si="279"/>
        <v>.</v>
      </c>
      <c r="AH412" s="258" t="str">
        <f t="shared" si="280"/>
        <v>.</v>
      </c>
      <c r="AI412" s="258" t="str">
        <f t="shared" si="281"/>
        <v>.</v>
      </c>
      <c r="AJ412" s="258" t="str">
        <f t="shared" si="282"/>
        <v>.</v>
      </c>
      <c r="AK412" s="258" t="str">
        <f t="shared" si="283"/>
        <v>.</v>
      </c>
      <c r="AL412" s="1056" t="str">
        <f t="shared" si="284"/>
        <v>.</v>
      </c>
      <c r="AM412" s="3"/>
      <c r="AN412" s="1043" t="str">
        <f>IF(X412=".",".",SUM($X412:X412))</f>
        <v>.</v>
      </c>
      <c r="AO412" s="1044" t="str">
        <f>IF(Y412=".",".",SUM($X412:Y412))</f>
        <v>.</v>
      </c>
      <c r="AP412" s="1044" t="str">
        <f>IF(Z412=".",".",SUM($X412:Z412))</f>
        <v>.</v>
      </c>
      <c r="AQ412" s="1044" t="str">
        <f>IF(AA412=".",".",SUM($X412:AA412))</f>
        <v>.</v>
      </c>
      <c r="AR412" s="1044" t="str">
        <f>IF(AB412=".",".",SUM($X412:AB412))</f>
        <v>.</v>
      </c>
      <c r="AS412" s="1044" t="str">
        <f>IF(AC412=".",".",SUM($X412:AC412))</f>
        <v>.</v>
      </c>
      <c r="AT412" s="1045" t="str">
        <f>IF(AD412=".",".",SUM($X412:AD412))</f>
        <v>.</v>
      </c>
      <c r="AU412" s="3"/>
      <c r="AV412" s="1055" t="str">
        <f t="shared" si="285"/>
        <v>.</v>
      </c>
      <c r="AW412" s="258" t="str">
        <f t="shared" si="286"/>
        <v>.</v>
      </c>
      <c r="AX412" s="258" t="str">
        <f t="shared" si="287"/>
        <v>.</v>
      </c>
      <c r="AY412" s="258" t="str">
        <f t="shared" si="288"/>
        <v>.</v>
      </c>
      <c r="AZ412" s="258" t="str">
        <f t="shared" si="289"/>
        <v>.</v>
      </c>
      <c r="BA412" s="258" t="str">
        <f t="shared" si="290"/>
        <v>.</v>
      </c>
      <c r="BB412" s="1056" t="str">
        <f t="shared" si="291"/>
        <v>.</v>
      </c>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1:89" x14ac:dyDescent="0.2">
      <c r="A413" s="620"/>
      <c r="B413" s="1091"/>
      <c r="C413" s="456"/>
      <c r="D413" s="1077" t="s">
        <v>687</v>
      </c>
      <c r="E413" s="484"/>
      <c r="F413" s="484"/>
      <c r="G413" s="484"/>
      <c r="H413" s="484"/>
      <c r="I413" s="485"/>
      <c r="J413" s="703"/>
      <c r="K413" s="1012"/>
      <c r="L413" s="1024"/>
      <c r="M413" s="1024"/>
      <c r="N413" s="1024"/>
      <c r="O413" s="1024"/>
      <c r="P413" s="1078"/>
      <c r="Q413" s="1078"/>
      <c r="R413" s="76"/>
      <c r="S413" s="3"/>
      <c r="T413" s="3"/>
      <c r="U413" s="3"/>
      <c r="V413" s="1035"/>
      <c r="W413" s="3"/>
      <c r="X413" s="1043" t="str">
        <f t="shared" si="271"/>
        <v>.</v>
      </c>
      <c r="Y413" s="1044" t="str">
        <f t="shared" si="272"/>
        <v>.</v>
      </c>
      <c r="Z413" s="1044" t="str">
        <f t="shared" si="273"/>
        <v>.</v>
      </c>
      <c r="AA413" s="1044" t="str">
        <f t="shared" si="274"/>
        <v>.</v>
      </c>
      <c r="AB413" s="1044" t="str">
        <f t="shared" si="275"/>
        <v>.</v>
      </c>
      <c r="AC413" s="1044" t="str">
        <f t="shared" si="276"/>
        <v>.</v>
      </c>
      <c r="AD413" s="1045" t="str">
        <f t="shared" si="277"/>
        <v>.</v>
      </c>
      <c r="AE413" s="3"/>
      <c r="AF413" s="1055" t="str">
        <f t="shared" si="278"/>
        <v>.</v>
      </c>
      <c r="AG413" s="258" t="str">
        <f t="shared" si="279"/>
        <v>.</v>
      </c>
      <c r="AH413" s="258" t="str">
        <f t="shared" si="280"/>
        <v>.</v>
      </c>
      <c r="AI413" s="258" t="str">
        <f t="shared" si="281"/>
        <v>.</v>
      </c>
      <c r="AJ413" s="258" t="str">
        <f t="shared" si="282"/>
        <v>.</v>
      </c>
      <c r="AK413" s="258" t="str">
        <f t="shared" si="283"/>
        <v>.</v>
      </c>
      <c r="AL413" s="1056" t="str">
        <f t="shared" si="284"/>
        <v>.</v>
      </c>
      <c r="AM413" s="3"/>
      <c r="AN413" s="1043" t="str">
        <f>IF(X413=".",".",SUM($X413:X413))</f>
        <v>.</v>
      </c>
      <c r="AO413" s="1044" t="str">
        <f>IF(Y413=".",".",SUM($X413:Y413))</f>
        <v>.</v>
      </c>
      <c r="AP413" s="1044" t="str">
        <f>IF(Z413=".",".",SUM($X413:Z413))</f>
        <v>.</v>
      </c>
      <c r="AQ413" s="1044" t="str">
        <f>IF(AA413=".",".",SUM($X413:AA413))</f>
        <v>.</v>
      </c>
      <c r="AR413" s="1044" t="str">
        <f>IF(AB413=".",".",SUM($X413:AB413))</f>
        <v>.</v>
      </c>
      <c r="AS413" s="1044" t="str">
        <f>IF(AC413=".",".",SUM($X413:AC413))</f>
        <v>.</v>
      </c>
      <c r="AT413" s="1045" t="str">
        <f>IF(AD413=".",".",SUM($X413:AD413))</f>
        <v>.</v>
      </c>
      <c r="AU413" s="3"/>
      <c r="AV413" s="1055" t="str">
        <f t="shared" si="285"/>
        <v>.</v>
      </c>
      <c r="AW413" s="258" t="str">
        <f t="shared" si="286"/>
        <v>.</v>
      </c>
      <c r="AX413" s="258" t="str">
        <f t="shared" si="287"/>
        <v>.</v>
      </c>
      <c r="AY413" s="258" t="str">
        <f t="shared" si="288"/>
        <v>.</v>
      </c>
      <c r="AZ413" s="258" t="str">
        <f t="shared" si="289"/>
        <v>.</v>
      </c>
      <c r="BA413" s="258" t="str">
        <f t="shared" si="290"/>
        <v>.</v>
      </c>
      <c r="BB413" s="1056" t="str">
        <f t="shared" si="291"/>
        <v>.</v>
      </c>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1:89" x14ac:dyDescent="0.2">
      <c r="A414" s="620"/>
      <c r="B414" s="1091"/>
      <c r="C414" s="456"/>
      <c r="D414" s="1077" t="s">
        <v>687</v>
      </c>
      <c r="E414" s="484"/>
      <c r="F414" s="484"/>
      <c r="G414" s="484"/>
      <c r="H414" s="484"/>
      <c r="I414" s="485"/>
      <c r="J414" s="703"/>
      <c r="K414" s="1012"/>
      <c r="L414" s="1024"/>
      <c r="M414" s="1024"/>
      <c r="N414" s="1024"/>
      <c r="O414" s="1024"/>
      <c r="P414" s="1078"/>
      <c r="Q414" s="1078"/>
      <c r="R414" s="76"/>
      <c r="S414" s="3"/>
      <c r="T414" s="3"/>
      <c r="U414" s="3"/>
      <c r="V414" s="1035"/>
      <c r="W414" s="3"/>
      <c r="X414" s="1043" t="str">
        <f t="shared" si="271"/>
        <v>.</v>
      </c>
      <c r="Y414" s="1044" t="str">
        <f t="shared" si="272"/>
        <v>.</v>
      </c>
      <c r="Z414" s="1044" t="str">
        <f t="shared" si="273"/>
        <v>.</v>
      </c>
      <c r="AA414" s="1044" t="str">
        <f t="shared" si="274"/>
        <v>.</v>
      </c>
      <c r="AB414" s="1044" t="str">
        <f t="shared" si="275"/>
        <v>.</v>
      </c>
      <c r="AC414" s="1044" t="str">
        <f t="shared" si="276"/>
        <v>.</v>
      </c>
      <c r="AD414" s="1045" t="str">
        <f t="shared" si="277"/>
        <v>.</v>
      </c>
      <c r="AE414" s="3"/>
      <c r="AF414" s="1055" t="str">
        <f t="shared" si="278"/>
        <v>.</v>
      </c>
      <c r="AG414" s="258" t="str">
        <f t="shared" si="279"/>
        <v>.</v>
      </c>
      <c r="AH414" s="258" t="str">
        <f t="shared" si="280"/>
        <v>.</v>
      </c>
      <c r="AI414" s="258" t="str">
        <f t="shared" si="281"/>
        <v>.</v>
      </c>
      <c r="AJ414" s="258" t="str">
        <f t="shared" si="282"/>
        <v>.</v>
      </c>
      <c r="AK414" s="258" t="str">
        <f t="shared" si="283"/>
        <v>.</v>
      </c>
      <c r="AL414" s="1056" t="str">
        <f t="shared" si="284"/>
        <v>.</v>
      </c>
      <c r="AM414" s="3"/>
      <c r="AN414" s="1043" t="str">
        <f>IF(X414=".",".",SUM($X414:X414))</f>
        <v>.</v>
      </c>
      <c r="AO414" s="1044" t="str">
        <f>IF(Y414=".",".",SUM($X414:Y414))</f>
        <v>.</v>
      </c>
      <c r="AP414" s="1044" t="str">
        <f>IF(Z414=".",".",SUM($X414:Z414))</f>
        <v>.</v>
      </c>
      <c r="AQ414" s="1044" t="str">
        <f>IF(AA414=".",".",SUM($X414:AA414))</f>
        <v>.</v>
      </c>
      <c r="AR414" s="1044" t="str">
        <f>IF(AB414=".",".",SUM($X414:AB414))</f>
        <v>.</v>
      </c>
      <c r="AS414" s="1044" t="str">
        <f>IF(AC414=".",".",SUM($X414:AC414))</f>
        <v>.</v>
      </c>
      <c r="AT414" s="1045" t="str">
        <f>IF(AD414=".",".",SUM($X414:AD414))</f>
        <v>.</v>
      </c>
      <c r="AU414" s="3"/>
      <c r="AV414" s="1055" t="str">
        <f t="shared" si="285"/>
        <v>.</v>
      </c>
      <c r="AW414" s="258" t="str">
        <f t="shared" si="286"/>
        <v>.</v>
      </c>
      <c r="AX414" s="258" t="str">
        <f t="shared" si="287"/>
        <v>.</v>
      </c>
      <c r="AY414" s="258" t="str">
        <f t="shared" si="288"/>
        <v>.</v>
      </c>
      <c r="AZ414" s="258" t="str">
        <f t="shared" si="289"/>
        <v>.</v>
      </c>
      <c r="BA414" s="258" t="str">
        <f t="shared" si="290"/>
        <v>.</v>
      </c>
      <c r="BB414" s="1056" t="str">
        <f t="shared" si="291"/>
        <v>.</v>
      </c>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1:89" x14ac:dyDescent="0.2">
      <c r="A415" s="620"/>
      <c r="B415" s="1091"/>
      <c r="C415" s="456"/>
      <c r="D415" s="1077" t="s">
        <v>687</v>
      </c>
      <c r="E415" s="484"/>
      <c r="F415" s="484"/>
      <c r="G415" s="484"/>
      <c r="H415" s="484"/>
      <c r="I415" s="485"/>
      <c r="J415" s="703"/>
      <c r="K415" s="1012"/>
      <c r="L415" s="1024"/>
      <c r="M415" s="1024"/>
      <c r="N415" s="1024"/>
      <c r="O415" s="1024"/>
      <c r="P415" s="1078"/>
      <c r="Q415" s="1078"/>
      <c r="R415" s="76"/>
      <c r="S415" s="3"/>
      <c r="T415" s="3"/>
      <c r="U415" s="3"/>
      <c r="V415" s="1035"/>
      <c r="W415" s="3"/>
      <c r="X415" s="1043" t="str">
        <f t="shared" si="271"/>
        <v>.</v>
      </c>
      <c r="Y415" s="1044" t="str">
        <f t="shared" si="272"/>
        <v>.</v>
      </c>
      <c r="Z415" s="1044" t="str">
        <f t="shared" si="273"/>
        <v>.</v>
      </c>
      <c r="AA415" s="1044" t="str">
        <f t="shared" si="274"/>
        <v>.</v>
      </c>
      <c r="AB415" s="1044" t="str">
        <f t="shared" si="275"/>
        <v>.</v>
      </c>
      <c r="AC415" s="1044" t="str">
        <f t="shared" si="276"/>
        <v>.</v>
      </c>
      <c r="AD415" s="1045" t="str">
        <f t="shared" si="277"/>
        <v>.</v>
      </c>
      <c r="AE415" s="3"/>
      <c r="AF415" s="1055" t="str">
        <f t="shared" si="278"/>
        <v>.</v>
      </c>
      <c r="AG415" s="258" t="str">
        <f t="shared" si="279"/>
        <v>.</v>
      </c>
      <c r="AH415" s="258" t="str">
        <f t="shared" si="280"/>
        <v>.</v>
      </c>
      <c r="AI415" s="258" t="str">
        <f t="shared" si="281"/>
        <v>.</v>
      </c>
      <c r="AJ415" s="258" t="str">
        <f t="shared" si="282"/>
        <v>.</v>
      </c>
      <c r="AK415" s="258" t="str">
        <f t="shared" si="283"/>
        <v>.</v>
      </c>
      <c r="AL415" s="1056" t="str">
        <f t="shared" si="284"/>
        <v>.</v>
      </c>
      <c r="AM415" s="3"/>
      <c r="AN415" s="1043" t="str">
        <f>IF(X415=".",".",SUM($X415:X415))</f>
        <v>.</v>
      </c>
      <c r="AO415" s="1044" t="str">
        <f>IF(Y415=".",".",SUM($X415:Y415))</f>
        <v>.</v>
      </c>
      <c r="AP415" s="1044" t="str">
        <f>IF(Z415=".",".",SUM($X415:Z415))</f>
        <v>.</v>
      </c>
      <c r="AQ415" s="1044" t="str">
        <f>IF(AA415=".",".",SUM($X415:AA415))</f>
        <v>.</v>
      </c>
      <c r="AR415" s="1044" t="str">
        <f>IF(AB415=".",".",SUM($X415:AB415))</f>
        <v>.</v>
      </c>
      <c r="AS415" s="1044" t="str">
        <f>IF(AC415=".",".",SUM($X415:AC415))</f>
        <v>.</v>
      </c>
      <c r="AT415" s="1045" t="str">
        <f>IF(AD415=".",".",SUM($X415:AD415))</f>
        <v>.</v>
      </c>
      <c r="AU415" s="3"/>
      <c r="AV415" s="1055" t="str">
        <f t="shared" si="285"/>
        <v>.</v>
      </c>
      <c r="AW415" s="258" t="str">
        <f t="shared" si="286"/>
        <v>.</v>
      </c>
      <c r="AX415" s="258" t="str">
        <f t="shared" si="287"/>
        <v>.</v>
      </c>
      <c r="AY415" s="258" t="str">
        <f t="shared" si="288"/>
        <v>.</v>
      </c>
      <c r="AZ415" s="258" t="str">
        <f t="shared" si="289"/>
        <v>.</v>
      </c>
      <c r="BA415" s="258" t="str">
        <f t="shared" si="290"/>
        <v>.</v>
      </c>
      <c r="BB415" s="1056" t="str">
        <f t="shared" si="291"/>
        <v>.</v>
      </c>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1:89" x14ac:dyDescent="0.2">
      <c r="A416" s="620"/>
      <c r="B416" s="1091"/>
      <c r="C416" s="456"/>
      <c r="D416" s="1077" t="s">
        <v>687</v>
      </c>
      <c r="E416" s="484"/>
      <c r="F416" s="484"/>
      <c r="G416" s="484"/>
      <c r="H416" s="484"/>
      <c r="I416" s="485"/>
      <c r="J416" s="703"/>
      <c r="K416" s="1012"/>
      <c r="L416" s="1024"/>
      <c r="M416" s="1024"/>
      <c r="N416" s="1024"/>
      <c r="O416" s="1024"/>
      <c r="P416" s="1078"/>
      <c r="Q416" s="1078"/>
      <c r="R416" s="76"/>
      <c r="S416" s="3"/>
      <c r="T416" s="3"/>
      <c r="U416" s="3"/>
      <c r="V416" s="1035"/>
      <c r="W416" s="3"/>
      <c r="X416" s="1043" t="str">
        <f t="shared" si="271"/>
        <v>.</v>
      </c>
      <c r="Y416" s="1044" t="str">
        <f t="shared" si="272"/>
        <v>.</v>
      </c>
      <c r="Z416" s="1044" t="str">
        <f t="shared" si="273"/>
        <v>.</v>
      </c>
      <c r="AA416" s="1044" t="str">
        <f t="shared" si="274"/>
        <v>.</v>
      </c>
      <c r="AB416" s="1044" t="str">
        <f t="shared" si="275"/>
        <v>.</v>
      </c>
      <c r="AC416" s="1044" t="str">
        <f t="shared" si="276"/>
        <v>.</v>
      </c>
      <c r="AD416" s="1045" t="str">
        <f t="shared" si="277"/>
        <v>.</v>
      </c>
      <c r="AE416" s="3"/>
      <c r="AF416" s="1055" t="str">
        <f t="shared" si="278"/>
        <v>.</v>
      </c>
      <c r="AG416" s="258" t="str">
        <f t="shared" si="279"/>
        <v>.</v>
      </c>
      <c r="AH416" s="258" t="str">
        <f t="shared" si="280"/>
        <v>.</v>
      </c>
      <c r="AI416" s="258" t="str">
        <f t="shared" si="281"/>
        <v>.</v>
      </c>
      <c r="AJ416" s="258" t="str">
        <f t="shared" si="282"/>
        <v>.</v>
      </c>
      <c r="AK416" s="258" t="str">
        <f t="shared" si="283"/>
        <v>.</v>
      </c>
      <c r="AL416" s="1056" t="str">
        <f t="shared" si="284"/>
        <v>.</v>
      </c>
      <c r="AM416" s="3"/>
      <c r="AN416" s="1043" t="str">
        <f>IF(X416=".",".",SUM($X416:X416))</f>
        <v>.</v>
      </c>
      <c r="AO416" s="1044" t="str">
        <f>IF(Y416=".",".",SUM($X416:Y416))</f>
        <v>.</v>
      </c>
      <c r="AP416" s="1044" t="str">
        <f>IF(Z416=".",".",SUM($X416:Z416))</f>
        <v>.</v>
      </c>
      <c r="AQ416" s="1044" t="str">
        <f>IF(AA416=".",".",SUM($X416:AA416))</f>
        <v>.</v>
      </c>
      <c r="AR416" s="1044" t="str">
        <f>IF(AB416=".",".",SUM($X416:AB416))</f>
        <v>.</v>
      </c>
      <c r="AS416" s="1044" t="str">
        <f>IF(AC416=".",".",SUM($X416:AC416))</f>
        <v>.</v>
      </c>
      <c r="AT416" s="1045" t="str">
        <f>IF(AD416=".",".",SUM($X416:AD416))</f>
        <v>.</v>
      </c>
      <c r="AU416" s="3"/>
      <c r="AV416" s="1055" t="str">
        <f t="shared" si="285"/>
        <v>.</v>
      </c>
      <c r="AW416" s="258" t="str">
        <f t="shared" si="286"/>
        <v>.</v>
      </c>
      <c r="AX416" s="258" t="str">
        <f t="shared" si="287"/>
        <v>.</v>
      </c>
      <c r="AY416" s="258" t="str">
        <f t="shared" si="288"/>
        <v>.</v>
      </c>
      <c r="AZ416" s="258" t="str">
        <f t="shared" si="289"/>
        <v>.</v>
      </c>
      <c r="BA416" s="258" t="str">
        <f t="shared" si="290"/>
        <v>.</v>
      </c>
      <c r="BB416" s="1056" t="str">
        <f t="shared" si="291"/>
        <v>.</v>
      </c>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1:89" x14ac:dyDescent="0.2">
      <c r="A417" s="620"/>
      <c r="B417" s="1091"/>
      <c r="C417" s="456"/>
      <c r="D417" s="1077" t="s">
        <v>687</v>
      </c>
      <c r="E417" s="484"/>
      <c r="F417" s="484"/>
      <c r="G417" s="484"/>
      <c r="H417" s="484"/>
      <c r="I417" s="485"/>
      <c r="J417" s="703"/>
      <c r="K417" s="1012"/>
      <c r="L417" s="1024"/>
      <c r="M417" s="1024"/>
      <c r="N417" s="1024"/>
      <c r="O417" s="1024"/>
      <c r="P417" s="1078"/>
      <c r="Q417" s="1078"/>
      <c r="R417" s="76"/>
      <c r="S417" s="3"/>
      <c r="T417" s="3"/>
      <c r="U417" s="3"/>
      <c r="V417" s="1035"/>
      <c r="W417" s="3"/>
      <c r="X417" s="1043" t="str">
        <f t="shared" si="271"/>
        <v>.</v>
      </c>
      <c r="Y417" s="1044" t="str">
        <f t="shared" si="272"/>
        <v>.</v>
      </c>
      <c r="Z417" s="1044" t="str">
        <f t="shared" si="273"/>
        <v>.</v>
      </c>
      <c r="AA417" s="1044" t="str">
        <f t="shared" si="274"/>
        <v>.</v>
      </c>
      <c r="AB417" s="1044" t="str">
        <f t="shared" si="275"/>
        <v>.</v>
      </c>
      <c r="AC417" s="1044" t="str">
        <f t="shared" si="276"/>
        <v>.</v>
      </c>
      <c r="AD417" s="1045" t="str">
        <f t="shared" si="277"/>
        <v>.</v>
      </c>
      <c r="AE417" s="3"/>
      <c r="AF417" s="1055" t="str">
        <f t="shared" si="278"/>
        <v>.</v>
      </c>
      <c r="AG417" s="258" t="str">
        <f t="shared" si="279"/>
        <v>.</v>
      </c>
      <c r="AH417" s="258" t="str">
        <f t="shared" si="280"/>
        <v>.</v>
      </c>
      <c r="AI417" s="258" t="str">
        <f t="shared" si="281"/>
        <v>.</v>
      </c>
      <c r="AJ417" s="258" t="str">
        <f t="shared" si="282"/>
        <v>.</v>
      </c>
      <c r="AK417" s="258" t="str">
        <f t="shared" si="283"/>
        <v>.</v>
      </c>
      <c r="AL417" s="1056" t="str">
        <f t="shared" si="284"/>
        <v>.</v>
      </c>
      <c r="AM417" s="3"/>
      <c r="AN417" s="1043" t="str">
        <f>IF(X417=".",".",SUM($X417:X417))</f>
        <v>.</v>
      </c>
      <c r="AO417" s="1044" t="str">
        <f>IF(Y417=".",".",SUM($X417:Y417))</f>
        <v>.</v>
      </c>
      <c r="AP417" s="1044" t="str">
        <f>IF(Z417=".",".",SUM($X417:Z417))</f>
        <v>.</v>
      </c>
      <c r="AQ417" s="1044" t="str">
        <f>IF(AA417=".",".",SUM($X417:AA417))</f>
        <v>.</v>
      </c>
      <c r="AR417" s="1044" t="str">
        <f>IF(AB417=".",".",SUM($X417:AB417))</f>
        <v>.</v>
      </c>
      <c r="AS417" s="1044" t="str">
        <f>IF(AC417=".",".",SUM($X417:AC417))</f>
        <v>.</v>
      </c>
      <c r="AT417" s="1045" t="str">
        <f>IF(AD417=".",".",SUM($X417:AD417))</f>
        <v>.</v>
      </c>
      <c r="AU417" s="3"/>
      <c r="AV417" s="1055" t="str">
        <f t="shared" si="285"/>
        <v>.</v>
      </c>
      <c r="AW417" s="258" t="str">
        <f t="shared" si="286"/>
        <v>.</v>
      </c>
      <c r="AX417" s="258" t="str">
        <f t="shared" si="287"/>
        <v>.</v>
      </c>
      <c r="AY417" s="258" t="str">
        <f t="shared" si="288"/>
        <v>.</v>
      </c>
      <c r="AZ417" s="258" t="str">
        <f t="shared" si="289"/>
        <v>.</v>
      </c>
      <c r="BA417" s="258" t="str">
        <f t="shared" si="290"/>
        <v>.</v>
      </c>
      <c r="BB417" s="1056" t="str">
        <f t="shared" si="291"/>
        <v>.</v>
      </c>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1:89" x14ac:dyDescent="0.2">
      <c r="A418" s="620"/>
      <c r="B418" s="1091"/>
      <c r="C418" s="456"/>
      <c r="D418" s="1077" t="s">
        <v>687</v>
      </c>
      <c r="E418" s="484"/>
      <c r="F418" s="484"/>
      <c r="G418" s="484"/>
      <c r="H418" s="484"/>
      <c r="I418" s="485"/>
      <c r="J418" s="703"/>
      <c r="K418" s="1012"/>
      <c r="L418" s="1024"/>
      <c r="M418" s="1024"/>
      <c r="N418" s="1024"/>
      <c r="O418" s="1024"/>
      <c r="P418" s="1078"/>
      <c r="Q418" s="1078"/>
      <c r="R418" s="76"/>
      <c r="S418" s="3"/>
      <c r="T418" s="3"/>
      <c r="U418" s="3"/>
      <c r="V418" s="1035"/>
      <c r="W418" s="3"/>
      <c r="X418" s="1043" t="str">
        <f t="shared" si="271"/>
        <v>.</v>
      </c>
      <c r="Y418" s="1044" t="str">
        <f t="shared" si="272"/>
        <v>.</v>
      </c>
      <c r="Z418" s="1044" t="str">
        <f t="shared" si="273"/>
        <v>.</v>
      </c>
      <c r="AA418" s="1044" t="str">
        <f t="shared" si="274"/>
        <v>.</v>
      </c>
      <c r="AB418" s="1044" t="str">
        <f t="shared" si="275"/>
        <v>.</v>
      </c>
      <c r="AC418" s="1044" t="str">
        <f t="shared" si="276"/>
        <v>.</v>
      </c>
      <c r="AD418" s="1045" t="str">
        <f t="shared" si="277"/>
        <v>.</v>
      </c>
      <c r="AE418" s="3"/>
      <c r="AF418" s="1055" t="str">
        <f t="shared" si="278"/>
        <v>.</v>
      </c>
      <c r="AG418" s="258" t="str">
        <f t="shared" si="279"/>
        <v>.</v>
      </c>
      <c r="AH418" s="258" t="str">
        <f t="shared" si="280"/>
        <v>.</v>
      </c>
      <c r="AI418" s="258" t="str">
        <f t="shared" si="281"/>
        <v>.</v>
      </c>
      <c r="AJ418" s="258" t="str">
        <f t="shared" si="282"/>
        <v>.</v>
      </c>
      <c r="AK418" s="258" t="str">
        <f t="shared" si="283"/>
        <v>.</v>
      </c>
      <c r="AL418" s="1056" t="str">
        <f t="shared" si="284"/>
        <v>.</v>
      </c>
      <c r="AM418" s="3"/>
      <c r="AN418" s="1043" t="str">
        <f>IF(X418=".",".",SUM($X418:X418))</f>
        <v>.</v>
      </c>
      <c r="AO418" s="1044" t="str">
        <f>IF(Y418=".",".",SUM($X418:Y418))</f>
        <v>.</v>
      </c>
      <c r="AP418" s="1044" t="str">
        <f>IF(Z418=".",".",SUM($X418:Z418))</f>
        <v>.</v>
      </c>
      <c r="AQ418" s="1044" t="str">
        <f>IF(AA418=".",".",SUM($X418:AA418))</f>
        <v>.</v>
      </c>
      <c r="AR418" s="1044" t="str">
        <f>IF(AB418=".",".",SUM($X418:AB418))</f>
        <v>.</v>
      </c>
      <c r="AS418" s="1044" t="str">
        <f>IF(AC418=".",".",SUM($X418:AC418))</f>
        <v>.</v>
      </c>
      <c r="AT418" s="1045" t="str">
        <f>IF(AD418=".",".",SUM($X418:AD418))</f>
        <v>.</v>
      </c>
      <c r="AU418" s="3"/>
      <c r="AV418" s="1055" t="str">
        <f t="shared" si="285"/>
        <v>.</v>
      </c>
      <c r="AW418" s="258" t="str">
        <f t="shared" si="286"/>
        <v>.</v>
      </c>
      <c r="AX418" s="258" t="str">
        <f t="shared" si="287"/>
        <v>.</v>
      </c>
      <c r="AY418" s="258" t="str">
        <f t="shared" si="288"/>
        <v>.</v>
      </c>
      <c r="AZ418" s="258" t="str">
        <f t="shared" si="289"/>
        <v>.</v>
      </c>
      <c r="BA418" s="258" t="str">
        <f t="shared" si="290"/>
        <v>.</v>
      </c>
      <c r="BB418" s="1056" t="str">
        <f t="shared" si="291"/>
        <v>.</v>
      </c>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1:89" x14ac:dyDescent="0.2">
      <c r="A419" s="620"/>
      <c r="B419" s="1091"/>
      <c r="C419" s="456"/>
      <c r="D419" s="1077" t="s">
        <v>687</v>
      </c>
      <c r="E419" s="484"/>
      <c r="F419" s="484"/>
      <c r="G419" s="484"/>
      <c r="H419" s="484"/>
      <c r="I419" s="485"/>
      <c r="J419" s="703"/>
      <c r="K419" s="1012"/>
      <c r="L419" s="1024"/>
      <c r="M419" s="1024"/>
      <c r="N419" s="1024"/>
      <c r="O419" s="1024"/>
      <c r="P419" s="1078"/>
      <c r="Q419" s="1078"/>
      <c r="R419" s="76"/>
      <c r="S419" s="3"/>
      <c r="T419" s="3"/>
      <c r="U419" s="3"/>
      <c r="V419" s="1035"/>
      <c r="W419" s="3"/>
      <c r="X419" s="1043" t="str">
        <f t="shared" si="271"/>
        <v>.</v>
      </c>
      <c r="Y419" s="1044" t="str">
        <f t="shared" si="272"/>
        <v>.</v>
      </c>
      <c r="Z419" s="1044" t="str">
        <f t="shared" si="273"/>
        <v>.</v>
      </c>
      <c r="AA419" s="1044" t="str">
        <f t="shared" si="274"/>
        <v>.</v>
      </c>
      <c r="AB419" s="1044" t="str">
        <f t="shared" si="275"/>
        <v>.</v>
      </c>
      <c r="AC419" s="1044" t="str">
        <f t="shared" si="276"/>
        <v>.</v>
      </c>
      <c r="AD419" s="1045" t="str">
        <f t="shared" si="277"/>
        <v>.</v>
      </c>
      <c r="AE419" s="3"/>
      <c r="AF419" s="1055" t="str">
        <f t="shared" si="278"/>
        <v>.</v>
      </c>
      <c r="AG419" s="258" t="str">
        <f t="shared" si="279"/>
        <v>.</v>
      </c>
      <c r="AH419" s="258" t="str">
        <f t="shared" si="280"/>
        <v>.</v>
      </c>
      <c r="AI419" s="258" t="str">
        <f t="shared" si="281"/>
        <v>.</v>
      </c>
      <c r="AJ419" s="258" t="str">
        <f t="shared" si="282"/>
        <v>.</v>
      </c>
      <c r="AK419" s="258" t="str">
        <f t="shared" si="283"/>
        <v>.</v>
      </c>
      <c r="AL419" s="1056" t="str">
        <f t="shared" si="284"/>
        <v>.</v>
      </c>
      <c r="AM419" s="3"/>
      <c r="AN419" s="1043" t="str">
        <f>IF(X419=".",".",SUM($X419:X419))</f>
        <v>.</v>
      </c>
      <c r="AO419" s="1044" t="str">
        <f>IF(Y419=".",".",SUM($X419:Y419))</f>
        <v>.</v>
      </c>
      <c r="AP419" s="1044" t="str">
        <f>IF(Z419=".",".",SUM($X419:Z419))</f>
        <v>.</v>
      </c>
      <c r="AQ419" s="1044" t="str">
        <f>IF(AA419=".",".",SUM($X419:AA419))</f>
        <v>.</v>
      </c>
      <c r="AR419" s="1044" t="str">
        <f>IF(AB419=".",".",SUM($X419:AB419))</f>
        <v>.</v>
      </c>
      <c r="AS419" s="1044" t="str">
        <f>IF(AC419=".",".",SUM($X419:AC419))</f>
        <v>.</v>
      </c>
      <c r="AT419" s="1045" t="str">
        <f>IF(AD419=".",".",SUM($X419:AD419))</f>
        <v>.</v>
      </c>
      <c r="AU419" s="3"/>
      <c r="AV419" s="1055" t="str">
        <f t="shared" si="285"/>
        <v>.</v>
      </c>
      <c r="AW419" s="258" t="str">
        <f t="shared" si="286"/>
        <v>.</v>
      </c>
      <c r="AX419" s="258" t="str">
        <f t="shared" si="287"/>
        <v>.</v>
      </c>
      <c r="AY419" s="258" t="str">
        <f t="shared" si="288"/>
        <v>.</v>
      </c>
      <c r="AZ419" s="258" t="str">
        <f t="shared" si="289"/>
        <v>.</v>
      </c>
      <c r="BA419" s="258" t="str">
        <f t="shared" si="290"/>
        <v>.</v>
      </c>
      <c r="BB419" s="1056" t="str">
        <f t="shared" si="291"/>
        <v>.</v>
      </c>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1:89" x14ac:dyDescent="0.2">
      <c r="A420" s="620"/>
      <c r="B420" s="1091"/>
      <c r="C420" s="456"/>
      <c r="D420" s="1077" t="s">
        <v>687</v>
      </c>
      <c r="E420" s="484"/>
      <c r="F420" s="484"/>
      <c r="G420" s="484"/>
      <c r="H420" s="484"/>
      <c r="I420" s="485"/>
      <c r="J420" s="703"/>
      <c r="K420" s="1012"/>
      <c r="L420" s="1024"/>
      <c r="M420" s="1024"/>
      <c r="N420" s="1024"/>
      <c r="O420" s="1024"/>
      <c r="P420" s="1078"/>
      <c r="Q420" s="1078"/>
      <c r="R420" s="76"/>
      <c r="S420" s="3"/>
      <c r="T420" s="3"/>
      <c r="U420" s="3"/>
      <c r="V420" s="1035"/>
      <c r="W420" s="3"/>
      <c r="X420" s="1043" t="str">
        <f t="shared" si="271"/>
        <v>.</v>
      </c>
      <c r="Y420" s="1044" t="str">
        <f t="shared" si="272"/>
        <v>.</v>
      </c>
      <c r="Z420" s="1044" t="str">
        <f t="shared" si="273"/>
        <v>.</v>
      </c>
      <c r="AA420" s="1044" t="str">
        <f t="shared" si="274"/>
        <v>.</v>
      </c>
      <c r="AB420" s="1044" t="str">
        <f t="shared" si="275"/>
        <v>.</v>
      </c>
      <c r="AC420" s="1044" t="str">
        <f t="shared" si="276"/>
        <v>.</v>
      </c>
      <c r="AD420" s="1045" t="str">
        <f t="shared" si="277"/>
        <v>.</v>
      </c>
      <c r="AE420" s="3"/>
      <c r="AF420" s="1055" t="str">
        <f t="shared" si="278"/>
        <v>.</v>
      </c>
      <c r="AG420" s="258" t="str">
        <f t="shared" si="279"/>
        <v>.</v>
      </c>
      <c r="AH420" s="258" t="str">
        <f t="shared" si="280"/>
        <v>.</v>
      </c>
      <c r="AI420" s="258" t="str">
        <f t="shared" si="281"/>
        <v>.</v>
      </c>
      <c r="AJ420" s="258" t="str">
        <f t="shared" si="282"/>
        <v>.</v>
      </c>
      <c r="AK420" s="258" t="str">
        <f t="shared" si="283"/>
        <v>.</v>
      </c>
      <c r="AL420" s="1056" t="str">
        <f t="shared" si="284"/>
        <v>.</v>
      </c>
      <c r="AM420" s="3"/>
      <c r="AN420" s="1043" t="str">
        <f>IF(X420=".",".",SUM($X420:X420))</f>
        <v>.</v>
      </c>
      <c r="AO420" s="1044" t="str">
        <f>IF(Y420=".",".",SUM($X420:Y420))</f>
        <v>.</v>
      </c>
      <c r="AP420" s="1044" t="str">
        <f>IF(Z420=".",".",SUM($X420:Z420))</f>
        <v>.</v>
      </c>
      <c r="AQ420" s="1044" t="str">
        <f>IF(AA420=".",".",SUM($X420:AA420))</f>
        <v>.</v>
      </c>
      <c r="AR420" s="1044" t="str">
        <f>IF(AB420=".",".",SUM($X420:AB420))</f>
        <v>.</v>
      </c>
      <c r="AS420" s="1044" t="str">
        <f>IF(AC420=".",".",SUM($X420:AC420))</f>
        <v>.</v>
      </c>
      <c r="AT420" s="1045" t="str">
        <f>IF(AD420=".",".",SUM($X420:AD420))</f>
        <v>.</v>
      </c>
      <c r="AU420" s="3"/>
      <c r="AV420" s="1055" t="str">
        <f t="shared" si="285"/>
        <v>.</v>
      </c>
      <c r="AW420" s="258" t="str">
        <f t="shared" si="286"/>
        <v>.</v>
      </c>
      <c r="AX420" s="258" t="str">
        <f t="shared" si="287"/>
        <v>.</v>
      </c>
      <c r="AY420" s="258" t="str">
        <f t="shared" si="288"/>
        <v>.</v>
      </c>
      <c r="AZ420" s="258" t="str">
        <f t="shared" si="289"/>
        <v>.</v>
      </c>
      <c r="BA420" s="258" t="str">
        <f t="shared" si="290"/>
        <v>.</v>
      </c>
      <c r="BB420" s="1056" t="str">
        <f t="shared" si="291"/>
        <v>.</v>
      </c>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1:89" x14ac:dyDescent="0.2">
      <c r="A421" s="620"/>
      <c r="B421" s="1091"/>
      <c r="C421" s="456"/>
      <c r="D421" s="1077" t="s">
        <v>687</v>
      </c>
      <c r="E421" s="484"/>
      <c r="F421" s="484"/>
      <c r="G421" s="484"/>
      <c r="H421" s="484"/>
      <c r="I421" s="485"/>
      <c r="J421" s="703"/>
      <c r="K421" s="1012"/>
      <c r="L421" s="1024"/>
      <c r="M421" s="1024"/>
      <c r="N421" s="1024"/>
      <c r="O421" s="1024"/>
      <c r="P421" s="1078"/>
      <c r="Q421" s="1078"/>
      <c r="R421" s="76"/>
      <c r="S421" s="3"/>
      <c r="T421" s="3"/>
      <c r="U421" s="3"/>
      <c r="V421" s="1035"/>
      <c r="W421" s="3"/>
      <c r="X421" s="1043" t="str">
        <f t="shared" si="271"/>
        <v>.</v>
      </c>
      <c r="Y421" s="1044" t="str">
        <f t="shared" si="272"/>
        <v>.</v>
      </c>
      <c r="Z421" s="1044" t="str">
        <f t="shared" si="273"/>
        <v>.</v>
      </c>
      <c r="AA421" s="1044" t="str">
        <f t="shared" si="274"/>
        <v>.</v>
      </c>
      <c r="AB421" s="1044" t="str">
        <f t="shared" si="275"/>
        <v>.</v>
      </c>
      <c r="AC421" s="1044" t="str">
        <f t="shared" si="276"/>
        <v>.</v>
      </c>
      <c r="AD421" s="1045" t="str">
        <f t="shared" si="277"/>
        <v>.</v>
      </c>
      <c r="AE421" s="3"/>
      <c r="AF421" s="1055" t="str">
        <f t="shared" si="278"/>
        <v>.</v>
      </c>
      <c r="AG421" s="258" t="str">
        <f t="shared" si="279"/>
        <v>.</v>
      </c>
      <c r="AH421" s="258" t="str">
        <f t="shared" si="280"/>
        <v>.</v>
      </c>
      <c r="AI421" s="258" t="str">
        <f t="shared" si="281"/>
        <v>.</v>
      </c>
      <c r="AJ421" s="258" t="str">
        <f t="shared" si="282"/>
        <v>.</v>
      </c>
      <c r="AK421" s="258" t="str">
        <f t="shared" si="283"/>
        <v>.</v>
      </c>
      <c r="AL421" s="1056" t="str">
        <f t="shared" si="284"/>
        <v>.</v>
      </c>
      <c r="AM421" s="3"/>
      <c r="AN421" s="1043" t="str">
        <f>IF(X421=".",".",SUM($X421:X421))</f>
        <v>.</v>
      </c>
      <c r="AO421" s="1044" t="str">
        <f>IF(Y421=".",".",SUM($X421:Y421))</f>
        <v>.</v>
      </c>
      <c r="AP421" s="1044" t="str">
        <f>IF(Z421=".",".",SUM($X421:Z421))</f>
        <v>.</v>
      </c>
      <c r="AQ421" s="1044" t="str">
        <f>IF(AA421=".",".",SUM($X421:AA421))</f>
        <v>.</v>
      </c>
      <c r="AR421" s="1044" t="str">
        <f>IF(AB421=".",".",SUM($X421:AB421))</f>
        <v>.</v>
      </c>
      <c r="AS421" s="1044" t="str">
        <f>IF(AC421=".",".",SUM($X421:AC421))</f>
        <v>.</v>
      </c>
      <c r="AT421" s="1045" t="str">
        <f>IF(AD421=".",".",SUM($X421:AD421))</f>
        <v>.</v>
      </c>
      <c r="AU421" s="3"/>
      <c r="AV421" s="1055" t="str">
        <f t="shared" si="285"/>
        <v>.</v>
      </c>
      <c r="AW421" s="258" t="str">
        <f t="shared" si="286"/>
        <v>.</v>
      </c>
      <c r="AX421" s="258" t="str">
        <f t="shared" si="287"/>
        <v>.</v>
      </c>
      <c r="AY421" s="258" t="str">
        <f t="shared" si="288"/>
        <v>.</v>
      </c>
      <c r="AZ421" s="258" t="str">
        <f t="shared" si="289"/>
        <v>.</v>
      </c>
      <c r="BA421" s="258" t="str">
        <f t="shared" si="290"/>
        <v>.</v>
      </c>
      <c r="BB421" s="1056" t="str">
        <f t="shared" si="291"/>
        <v>.</v>
      </c>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1:89" x14ac:dyDescent="0.2">
      <c r="A422" s="620"/>
      <c r="B422" s="1091"/>
      <c r="C422" s="456"/>
      <c r="D422" s="1077" t="s">
        <v>687</v>
      </c>
      <c r="E422" s="484"/>
      <c r="F422" s="484"/>
      <c r="G422" s="484"/>
      <c r="H422" s="484"/>
      <c r="I422" s="485"/>
      <c r="J422" s="703"/>
      <c r="K422" s="1012"/>
      <c r="L422" s="1024"/>
      <c r="M422" s="1024"/>
      <c r="N422" s="1024"/>
      <c r="O422" s="1024"/>
      <c r="P422" s="1078"/>
      <c r="Q422" s="1078"/>
      <c r="R422" s="76"/>
      <c r="S422" s="3"/>
      <c r="T422" s="3"/>
      <c r="U422" s="3"/>
      <c r="V422" s="1035"/>
      <c r="W422" s="3"/>
      <c r="X422" s="1043" t="str">
        <f t="shared" si="271"/>
        <v>.</v>
      </c>
      <c r="Y422" s="1044" t="str">
        <f t="shared" si="272"/>
        <v>.</v>
      </c>
      <c r="Z422" s="1044" t="str">
        <f t="shared" si="273"/>
        <v>.</v>
      </c>
      <c r="AA422" s="1044" t="str">
        <f t="shared" si="274"/>
        <v>.</v>
      </c>
      <c r="AB422" s="1044" t="str">
        <f t="shared" si="275"/>
        <v>.</v>
      </c>
      <c r="AC422" s="1044" t="str">
        <f t="shared" si="276"/>
        <v>.</v>
      </c>
      <c r="AD422" s="1045" t="str">
        <f t="shared" si="277"/>
        <v>.</v>
      </c>
      <c r="AE422" s="3"/>
      <c r="AF422" s="1055" t="str">
        <f t="shared" si="278"/>
        <v>.</v>
      </c>
      <c r="AG422" s="258" t="str">
        <f t="shared" si="279"/>
        <v>.</v>
      </c>
      <c r="AH422" s="258" t="str">
        <f t="shared" si="280"/>
        <v>.</v>
      </c>
      <c r="AI422" s="258" t="str">
        <f t="shared" si="281"/>
        <v>.</v>
      </c>
      <c r="AJ422" s="258" t="str">
        <f t="shared" si="282"/>
        <v>.</v>
      </c>
      <c r="AK422" s="258" t="str">
        <f t="shared" si="283"/>
        <v>.</v>
      </c>
      <c r="AL422" s="1056" t="str">
        <f t="shared" si="284"/>
        <v>.</v>
      </c>
      <c r="AM422" s="3"/>
      <c r="AN422" s="1043" t="str">
        <f>IF(X422=".",".",SUM($X422:X422))</f>
        <v>.</v>
      </c>
      <c r="AO422" s="1044" t="str">
        <f>IF(Y422=".",".",SUM($X422:Y422))</f>
        <v>.</v>
      </c>
      <c r="AP422" s="1044" t="str">
        <f>IF(Z422=".",".",SUM($X422:Z422))</f>
        <v>.</v>
      </c>
      <c r="AQ422" s="1044" t="str">
        <f>IF(AA422=".",".",SUM($X422:AA422))</f>
        <v>.</v>
      </c>
      <c r="AR422" s="1044" t="str">
        <f>IF(AB422=".",".",SUM($X422:AB422))</f>
        <v>.</v>
      </c>
      <c r="AS422" s="1044" t="str">
        <f>IF(AC422=".",".",SUM($X422:AC422))</f>
        <v>.</v>
      </c>
      <c r="AT422" s="1045" t="str">
        <f>IF(AD422=".",".",SUM($X422:AD422))</f>
        <v>.</v>
      </c>
      <c r="AU422" s="3"/>
      <c r="AV422" s="1055" t="str">
        <f t="shared" si="285"/>
        <v>.</v>
      </c>
      <c r="AW422" s="258" t="str">
        <f t="shared" si="286"/>
        <v>.</v>
      </c>
      <c r="AX422" s="258" t="str">
        <f t="shared" si="287"/>
        <v>.</v>
      </c>
      <c r="AY422" s="258" t="str">
        <f t="shared" si="288"/>
        <v>.</v>
      </c>
      <c r="AZ422" s="258" t="str">
        <f t="shared" si="289"/>
        <v>.</v>
      </c>
      <c r="BA422" s="258" t="str">
        <f t="shared" si="290"/>
        <v>.</v>
      </c>
      <c r="BB422" s="1056" t="str">
        <f t="shared" si="291"/>
        <v>.</v>
      </c>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1:89" x14ac:dyDescent="0.2">
      <c r="A423" s="620"/>
      <c r="B423" s="1091"/>
      <c r="C423" s="456"/>
      <c r="D423" s="1077" t="s">
        <v>687</v>
      </c>
      <c r="E423" s="484"/>
      <c r="F423" s="484"/>
      <c r="G423" s="484"/>
      <c r="H423" s="484"/>
      <c r="I423" s="485"/>
      <c r="J423" s="703"/>
      <c r="K423" s="1012"/>
      <c r="L423" s="1024"/>
      <c r="M423" s="1024"/>
      <c r="N423" s="1024"/>
      <c r="O423" s="1024"/>
      <c r="P423" s="1078"/>
      <c r="Q423" s="1078"/>
      <c r="R423" s="76"/>
      <c r="S423" s="3"/>
      <c r="T423" s="3"/>
      <c r="U423" s="3"/>
      <c r="V423" s="1035"/>
      <c r="W423" s="3"/>
      <c r="X423" s="1043" t="str">
        <f t="shared" si="271"/>
        <v>.</v>
      </c>
      <c r="Y423" s="1044" t="str">
        <f t="shared" si="272"/>
        <v>.</v>
      </c>
      <c r="Z423" s="1044" t="str">
        <f t="shared" si="273"/>
        <v>.</v>
      </c>
      <c r="AA423" s="1044" t="str">
        <f t="shared" si="274"/>
        <v>.</v>
      </c>
      <c r="AB423" s="1044" t="str">
        <f t="shared" si="275"/>
        <v>.</v>
      </c>
      <c r="AC423" s="1044" t="str">
        <f t="shared" si="276"/>
        <v>.</v>
      </c>
      <c r="AD423" s="1045" t="str">
        <f t="shared" si="277"/>
        <v>.</v>
      </c>
      <c r="AE423" s="3"/>
      <c r="AF423" s="1055" t="str">
        <f t="shared" si="278"/>
        <v>.</v>
      </c>
      <c r="AG423" s="258" t="str">
        <f t="shared" si="279"/>
        <v>.</v>
      </c>
      <c r="AH423" s="258" t="str">
        <f t="shared" si="280"/>
        <v>.</v>
      </c>
      <c r="AI423" s="258" t="str">
        <f t="shared" si="281"/>
        <v>.</v>
      </c>
      <c r="AJ423" s="258" t="str">
        <f t="shared" si="282"/>
        <v>.</v>
      </c>
      <c r="AK423" s="258" t="str">
        <f t="shared" si="283"/>
        <v>.</v>
      </c>
      <c r="AL423" s="1056" t="str">
        <f t="shared" si="284"/>
        <v>.</v>
      </c>
      <c r="AM423" s="3"/>
      <c r="AN423" s="1043" t="str">
        <f>IF(X423=".",".",SUM($X423:X423))</f>
        <v>.</v>
      </c>
      <c r="AO423" s="1044" t="str">
        <f>IF(Y423=".",".",SUM($X423:Y423))</f>
        <v>.</v>
      </c>
      <c r="AP423" s="1044" t="str">
        <f>IF(Z423=".",".",SUM($X423:Z423))</f>
        <v>.</v>
      </c>
      <c r="AQ423" s="1044" t="str">
        <f>IF(AA423=".",".",SUM($X423:AA423))</f>
        <v>.</v>
      </c>
      <c r="AR423" s="1044" t="str">
        <f>IF(AB423=".",".",SUM($X423:AB423))</f>
        <v>.</v>
      </c>
      <c r="AS423" s="1044" t="str">
        <f>IF(AC423=".",".",SUM($X423:AC423))</f>
        <v>.</v>
      </c>
      <c r="AT423" s="1045" t="str">
        <f>IF(AD423=".",".",SUM($X423:AD423))</f>
        <v>.</v>
      </c>
      <c r="AU423" s="3"/>
      <c r="AV423" s="1055" t="str">
        <f t="shared" si="285"/>
        <v>.</v>
      </c>
      <c r="AW423" s="258" t="str">
        <f t="shared" si="286"/>
        <v>.</v>
      </c>
      <c r="AX423" s="258" t="str">
        <f t="shared" si="287"/>
        <v>.</v>
      </c>
      <c r="AY423" s="258" t="str">
        <f t="shared" si="288"/>
        <v>.</v>
      </c>
      <c r="AZ423" s="258" t="str">
        <f t="shared" si="289"/>
        <v>.</v>
      </c>
      <c r="BA423" s="258" t="str">
        <f t="shared" si="290"/>
        <v>.</v>
      </c>
      <c r="BB423" s="1056" t="str">
        <f t="shared" si="291"/>
        <v>.</v>
      </c>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1:89" x14ac:dyDescent="0.2">
      <c r="A424" s="620"/>
      <c r="B424" s="1091"/>
      <c r="C424" s="456"/>
      <c r="D424" s="1077" t="s">
        <v>687</v>
      </c>
      <c r="E424" s="484"/>
      <c r="F424" s="484"/>
      <c r="G424" s="484"/>
      <c r="H424" s="484"/>
      <c r="I424" s="485"/>
      <c r="J424" s="703"/>
      <c r="K424" s="1012"/>
      <c r="L424" s="1024"/>
      <c r="M424" s="1024"/>
      <c r="N424" s="1024"/>
      <c r="O424" s="1024"/>
      <c r="P424" s="1078"/>
      <c r="Q424" s="1078"/>
      <c r="R424" s="76"/>
      <c r="S424" s="3"/>
      <c r="T424" s="3"/>
      <c r="U424" s="3"/>
      <c r="V424" s="1035"/>
      <c r="W424" s="3"/>
      <c r="X424" s="1043" t="str">
        <f t="shared" si="271"/>
        <v>.</v>
      </c>
      <c r="Y424" s="1044" t="str">
        <f t="shared" si="272"/>
        <v>.</v>
      </c>
      <c r="Z424" s="1044" t="str">
        <f t="shared" si="273"/>
        <v>.</v>
      </c>
      <c r="AA424" s="1044" t="str">
        <f t="shared" si="274"/>
        <v>.</v>
      </c>
      <c r="AB424" s="1044" t="str">
        <f t="shared" si="275"/>
        <v>.</v>
      </c>
      <c r="AC424" s="1044" t="str">
        <f t="shared" si="276"/>
        <v>.</v>
      </c>
      <c r="AD424" s="1045" t="str">
        <f t="shared" si="277"/>
        <v>.</v>
      </c>
      <c r="AE424" s="3"/>
      <c r="AF424" s="1055" t="str">
        <f t="shared" si="278"/>
        <v>.</v>
      </c>
      <c r="AG424" s="258" t="str">
        <f t="shared" si="279"/>
        <v>.</v>
      </c>
      <c r="AH424" s="258" t="str">
        <f t="shared" si="280"/>
        <v>.</v>
      </c>
      <c r="AI424" s="258" t="str">
        <f t="shared" si="281"/>
        <v>.</v>
      </c>
      <c r="AJ424" s="258" t="str">
        <f t="shared" si="282"/>
        <v>.</v>
      </c>
      <c r="AK424" s="258" t="str">
        <f t="shared" si="283"/>
        <v>.</v>
      </c>
      <c r="AL424" s="1056" t="str">
        <f t="shared" si="284"/>
        <v>.</v>
      </c>
      <c r="AM424" s="3"/>
      <c r="AN424" s="1043" t="str">
        <f>IF(X424=".",".",SUM($X424:X424))</f>
        <v>.</v>
      </c>
      <c r="AO424" s="1044" t="str">
        <f>IF(Y424=".",".",SUM($X424:Y424))</f>
        <v>.</v>
      </c>
      <c r="AP424" s="1044" t="str">
        <f>IF(Z424=".",".",SUM($X424:Z424))</f>
        <v>.</v>
      </c>
      <c r="AQ424" s="1044" t="str">
        <f>IF(AA424=".",".",SUM($X424:AA424))</f>
        <v>.</v>
      </c>
      <c r="AR424" s="1044" t="str">
        <f>IF(AB424=".",".",SUM($X424:AB424))</f>
        <v>.</v>
      </c>
      <c r="AS424" s="1044" t="str">
        <f>IF(AC424=".",".",SUM($X424:AC424))</f>
        <v>.</v>
      </c>
      <c r="AT424" s="1045" t="str">
        <f>IF(AD424=".",".",SUM($X424:AD424))</f>
        <v>.</v>
      </c>
      <c r="AU424" s="3"/>
      <c r="AV424" s="1055" t="str">
        <f t="shared" si="285"/>
        <v>.</v>
      </c>
      <c r="AW424" s="258" t="str">
        <f t="shared" si="286"/>
        <v>.</v>
      </c>
      <c r="AX424" s="258" t="str">
        <f t="shared" si="287"/>
        <v>.</v>
      </c>
      <c r="AY424" s="258" t="str">
        <f t="shared" si="288"/>
        <v>.</v>
      </c>
      <c r="AZ424" s="258" t="str">
        <f t="shared" si="289"/>
        <v>.</v>
      </c>
      <c r="BA424" s="258" t="str">
        <f t="shared" si="290"/>
        <v>.</v>
      </c>
      <c r="BB424" s="1056" t="str">
        <f t="shared" si="291"/>
        <v>.</v>
      </c>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1:89" x14ac:dyDescent="0.2">
      <c r="A425" s="620"/>
      <c r="B425" s="1091"/>
      <c r="C425" s="456"/>
      <c r="D425" s="1077" t="s">
        <v>687</v>
      </c>
      <c r="E425" s="484"/>
      <c r="F425" s="484"/>
      <c r="G425" s="484"/>
      <c r="H425" s="484"/>
      <c r="I425" s="485"/>
      <c r="J425" s="703"/>
      <c r="K425" s="1012"/>
      <c r="L425" s="1024"/>
      <c r="M425" s="1024"/>
      <c r="N425" s="1024"/>
      <c r="O425" s="1024"/>
      <c r="P425" s="1078"/>
      <c r="Q425" s="1078"/>
      <c r="R425" s="76"/>
      <c r="S425" s="3"/>
      <c r="T425" s="3"/>
      <c r="U425" s="3"/>
      <c r="V425" s="1035"/>
      <c r="W425" s="3"/>
      <c r="X425" s="1043" t="str">
        <f t="shared" si="271"/>
        <v>.</v>
      </c>
      <c r="Y425" s="1044" t="str">
        <f t="shared" si="272"/>
        <v>.</v>
      </c>
      <c r="Z425" s="1044" t="str">
        <f t="shared" si="273"/>
        <v>.</v>
      </c>
      <c r="AA425" s="1044" t="str">
        <f t="shared" si="274"/>
        <v>.</v>
      </c>
      <c r="AB425" s="1044" t="str">
        <f t="shared" si="275"/>
        <v>.</v>
      </c>
      <c r="AC425" s="1044" t="str">
        <f t="shared" si="276"/>
        <v>.</v>
      </c>
      <c r="AD425" s="1045" t="str">
        <f t="shared" si="277"/>
        <v>.</v>
      </c>
      <c r="AE425" s="3"/>
      <c r="AF425" s="1055" t="str">
        <f t="shared" si="278"/>
        <v>.</v>
      </c>
      <c r="AG425" s="258" t="str">
        <f t="shared" si="279"/>
        <v>.</v>
      </c>
      <c r="AH425" s="258" t="str">
        <f t="shared" si="280"/>
        <v>.</v>
      </c>
      <c r="AI425" s="258" t="str">
        <f t="shared" si="281"/>
        <v>.</v>
      </c>
      <c r="AJ425" s="258" t="str">
        <f t="shared" si="282"/>
        <v>.</v>
      </c>
      <c r="AK425" s="258" t="str">
        <f t="shared" si="283"/>
        <v>.</v>
      </c>
      <c r="AL425" s="1056" t="str">
        <f t="shared" si="284"/>
        <v>.</v>
      </c>
      <c r="AM425" s="3"/>
      <c r="AN425" s="1043" t="str">
        <f>IF(X425=".",".",SUM($X425:X425))</f>
        <v>.</v>
      </c>
      <c r="AO425" s="1044" t="str">
        <f>IF(Y425=".",".",SUM($X425:Y425))</f>
        <v>.</v>
      </c>
      <c r="AP425" s="1044" t="str">
        <f>IF(Z425=".",".",SUM($X425:Z425))</f>
        <v>.</v>
      </c>
      <c r="AQ425" s="1044" t="str">
        <f>IF(AA425=".",".",SUM($X425:AA425))</f>
        <v>.</v>
      </c>
      <c r="AR425" s="1044" t="str">
        <f>IF(AB425=".",".",SUM($X425:AB425))</f>
        <v>.</v>
      </c>
      <c r="AS425" s="1044" t="str">
        <f>IF(AC425=".",".",SUM($X425:AC425))</f>
        <v>.</v>
      </c>
      <c r="AT425" s="1045" t="str">
        <f>IF(AD425=".",".",SUM($X425:AD425))</f>
        <v>.</v>
      </c>
      <c r="AU425" s="3"/>
      <c r="AV425" s="1055" t="str">
        <f t="shared" si="285"/>
        <v>.</v>
      </c>
      <c r="AW425" s="258" t="str">
        <f t="shared" si="286"/>
        <v>.</v>
      </c>
      <c r="AX425" s="258" t="str">
        <f t="shared" si="287"/>
        <v>.</v>
      </c>
      <c r="AY425" s="258" t="str">
        <f t="shared" si="288"/>
        <v>.</v>
      </c>
      <c r="AZ425" s="258" t="str">
        <f t="shared" si="289"/>
        <v>.</v>
      </c>
      <c r="BA425" s="258" t="str">
        <f t="shared" si="290"/>
        <v>.</v>
      </c>
      <c r="BB425" s="1056" t="str">
        <f t="shared" si="291"/>
        <v>.</v>
      </c>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1:89" x14ac:dyDescent="0.2">
      <c r="A426" s="620"/>
      <c r="B426" s="1091"/>
      <c r="C426" s="456"/>
      <c r="D426" s="1077" t="s">
        <v>687</v>
      </c>
      <c r="E426" s="484"/>
      <c r="F426" s="484"/>
      <c r="G426" s="484"/>
      <c r="H426" s="484"/>
      <c r="I426" s="485"/>
      <c r="J426" s="703"/>
      <c r="K426" s="1012"/>
      <c r="L426" s="1024"/>
      <c r="M426" s="1024"/>
      <c r="N426" s="1024"/>
      <c r="O426" s="1024"/>
      <c r="P426" s="1078"/>
      <c r="Q426" s="1078"/>
      <c r="R426" s="76"/>
      <c r="S426" s="3"/>
      <c r="T426" s="3"/>
      <c r="U426" s="3"/>
      <c r="V426" s="1035"/>
      <c r="W426" s="3"/>
      <c r="X426" s="1043" t="str">
        <f t="shared" si="271"/>
        <v>.</v>
      </c>
      <c r="Y426" s="1044" t="str">
        <f t="shared" si="272"/>
        <v>.</v>
      </c>
      <c r="Z426" s="1044" t="str">
        <f t="shared" si="273"/>
        <v>.</v>
      </c>
      <c r="AA426" s="1044" t="str">
        <f t="shared" si="274"/>
        <v>.</v>
      </c>
      <c r="AB426" s="1044" t="str">
        <f t="shared" si="275"/>
        <v>.</v>
      </c>
      <c r="AC426" s="1044" t="str">
        <f t="shared" si="276"/>
        <v>.</v>
      </c>
      <c r="AD426" s="1045" t="str">
        <f t="shared" si="277"/>
        <v>.</v>
      </c>
      <c r="AE426" s="3"/>
      <c r="AF426" s="1055" t="str">
        <f t="shared" si="278"/>
        <v>.</v>
      </c>
      <c r="AG426" s="258" t="str">
        <f t="shared" si="279"/>
        <v>.</v>
      </c>
      <c r="AH426" s="258" t="str">
        <f t="shared" si="280"/>
        <v>.</v>
      </c>
      <c r="AI426" s="258" t="str">
        <f t="shared" si="281"/>
        <v>.</v>
      </c>
      <c r="AJ426" s="258" t="str">
        <f t="shared" si="282"/>
        <v>.</v>
      </c>
      <c r="AK426" s="258" t="str">
        <f t="shared" si="283"/>
        <v>.</v>
      </c>
      <c r="AL426" s="1056" t="str">
        <f t="shared" si="284"/>
        <v>.</v>
      </c>
      <c r="AM426" s="3"/>
      <c r="AN426" s="1043" t="str">
        <f>IF(X426=".",".",SUM($X426:X426))</f>
        <v>.</v>
      </c>
      <c r="AO426" s="1044" t="str">
        <f>IF(Y426=".",".",SUM($X426:Y426))</f>
        <v>.</v>
      </c>
      <c r="AP426" s="1044" t="str">
        <f>IF(Z426=".",".",SUM($X426:Z426))</f>
        <v>.</v>
      </c>
      <c r="AQ426" s="1044" t="str">
        <f>IF(AA426=".",".",SUM($X426:AA426))</f>
        <v>.</v>
      </c>
      <c r="AR426" s="1044" t="str">
        <f>IF(AB426=".",".",SUM($X426:AB426))</f>
        <v>.</v>
      </c>
      <c r="AS426" s="1044" t="str">
        <f>IF(AC426=".",".",SUM($X426:AC426))</f>
        <v>.</v>
      </c>
      <c r="AT426" s="1045" t="str">
        <f>IF(AD426=".",".",SUM($X426:AD426))</f>
        <v>.</v>
      </c>
      <c r="AU426" s="3"/>
      <c r="AV426" s="1055" t="str">
        <f t="shared" si="285"/>
        <v>.</v>
      </c>
      <c r="AW426" s="258" t="str">
        <f t="shared" si="286"/>
        <v>.</v>
      </c>
      <c r="AX426" s="258" t="str">
        <f t="shared" si="287"/>
        <v>.</v>
      </c>
      <c r="AY426" s="258" t="str">
        <f t="shared" si="288"/>
        <v>.</v>
      </c>
      <c r="AZ426" s="258" t="str">
        <f t="shared" si="289"/>
        <v>.</v>
      </c>
      <c r="BA426" s="258" t="str">
        <f t="shared" si="290"/>
        <v>.</v>
      </c>
      <c r="BB426" s="1056" t="str">
        <f t="shared" si="291"/>
        <v>.</v>
      </c>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1:89" x14ac:dyDescent="0.2">
      <c r="A427" s="620"/>
      <c r="B427" s="1092"/>
      <c r="C427" s="1098"/>
      <c r="D427" s="1125" t="s">
        <v>687</v>
      </c>
      <c r="E427" s="1107"/>
      <c r="F427" s="1107"/>
      <c r="G427" s="1107"/>
      <c r="H427" s="1107"/>
      <c r="I427" s="1108"/>
      <c r="J427" s="1127"/>
      <c r="K427" s="1013"/>
      <c r="L427" s="1102"/>
      <c r="M427" s="1102"/>
      <c r="N427" s="1102"/>
      <c r="O427" s="1102"/>
      <c r="P427" s="1123"/>
      <c r="Q427" s="1123"/>
      <c r="R427" s="76"/>
      <c r="S427" s="3"/>
      <c r="T427" s="3"/>
      <c r="U427" s="3"/>
      <c r="V427" s="1035"/>
      <c r="W427" s="3"/>
      <c r="X427" s="1046" t="str">
        <f t="shared" si="271"/>
        <v>.</v>
      </c>
      <c r="Y427" s="1047" t="str">
        <f t="shared" si="272"/>
        <v>.</v>
      </c>
      <c r="Z427" s="1047" t="str">
        <f t="shared" si="273"/>
        <v>.</v>
      </c>
      <c r="AA427" s="1047" t="str">
        <f t="shared" si="274"/>
        <v>.</v>
      </c>
      <c r="AB427" s="1047" t="str">
        <f t="shared" si="275"/>
        <v>.</v>
      </c>
      <c r="AC427" s="1047" t="str">
        <f t="shared" si="276"/>
        <v>.</v>
      </c>
      <c r="AD427" s="1048" t="str">
        <f t="shared" si="277"/>
        <v>.</v>
      </c>
      <c r="AE427" s="3"/>
      <c r="AF427" s="1057" t="str">
        <f t="shared" si="278"/>
        <v>.</v>
      </c>
      <c r="AG427" s="1054" t="str">
        <f t="shared" si="279"/>
        <v>.</v>
      </c>
      <c r="AH427" s="1054" t="str">
        <f t="shared" si="280"/>
        <v>.</v>
      </c>
      <c r="AI427" s="1054" t="str">
        <f t="shared" si="281"/>
        <v>.</v>
      </c>
      <c r="AJ427" s="1054" t="str">
        <f t="shared" si="282"/>
        <v>.</v>
      </c>
      <c r="AK427" s="1054" t="str">
        <f t="shared" si="283"/>
        <v>.</v>
      </c>
      <c r="AL427" s="1058" t="str">
        <f t="shared" si="284"/>
        <v>.</v>
      </c>
      <c r="AM427" s="3"/>
      <c r="AN427" s="1046" t="str">
        <f>IF(X427=".",".",SUM($X427:X427))</f>
        <v>.</v>
      </c>
      <c r="AO427" s="1047" t="str">
        <f>IF(Y427=".",".",SUM($X427:Y427))</f>
        <v>.</v>
      </c>
      <c r="AP427" s="1047" t="str">
        <f>IF(Z427=".",".",SUM($X427:Z427))</f>
        <v>.</v>
      </c>
      <c r="AQ427" s="1047" t="str">
        <f>IF(AA427=".",".",SUM($X427:AA427))</f>
        <v>.</v>
      </c>
      <c r="AR427" s="1047" t="str">
        <f>IF(AB427=".",".",SUM($X427:AB427))</f>
        <v>.</v>
      </c>
      <c r="AS427" s="1047" t="str">
        <f>IF(AC427=".",".",SUM($X427:AC427))</f>
        <v>.</v>
      </c>
      <c r="AT427" s="1048" t="str">
        <f>IF(AD427=".",".",SUM($X427:AD427))</f>
        <v>.</v>
      </c>
      <c r="AU427" s="3"/>
      <c r="AV427" s="1057" t="str">
        <f t="shared" si="285"/>
        <v>.</v>
      </c>
      <c r="AW427" s="1054" t="str">
        <f t="shared" si="286"/>
        <v>.</v>
      </c>
      <c r="AX427" s="1054" t="str">
        <f t="shared" si="287"/>
        <v>.</v>
      </c>
      <c r="AY427" s="1054" t="str">
        <f t="shared" si="288"/>
        <v>.</v>
      </c>
      <c r="AZ427" s="1054" t="str">
        <f t="shared" si="289"/>
        <v>.</v>
      </c>
      <c r="BA427" s="1054" t="str">
        <f t="shared" si="290"/>
        <v>.</v>
      </c>
      <c r="BB427" s="1058" t="str">
        <f t="shared" si="291"/>
        <v>.</v>
      </c>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1:89" x14ac:dyDescent="0.2">
      <c r="A428" s="620"/>
      <c r="B428" s="3"/>
      <c r="C428" s="3"/>
      <c r="D428" s="3"/>
      <c r="E428" s="3"/>
      <c r="F428" s="3"/>
      <c r="G428" s="3"/>
      <c r="H428" s="3"/>
      <c r="I428" s="3"/>
      <c r="J428" s="16"/>
      <c r="K428" s="16"/>
      <c r="L428" s="3"/>
      <c r="M428" s="3"/>
      <c r="N428" s="3"/>
      <c r="O428" s="3"/>
      <c r="P428" s="3"/>
      <c r="Q428" s="3"/>
      <c r="R428" s="76"/>
      <c r="S428" s="3"/>
      <c r="T428" s="3"/>
      <c r="U428" s="3"/>
      <c r="V428" s="1035"/>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row>
    <row r="429" spans="1:89" x14ac:dyDescent="0.2">
      <c r="A429" s="620"/>
      <c r="B429" s="3"/>
      <c r="C429" s="3"/>
      <c r="D429" s="3"/>
      <c r="E429" s="3"/>
      <c r="F429" s="3"/>
      <c r="G429" s="3"/>
      <c r="H429" s="3"/>
      <c r="I429" s="3"/>
      <c r="J429" s="16"/>
      <c r="K429" s="16"/>
      <c r="L429" s="3"/>
      <c r="M429" s="3"/>
      <c r="N429" s="3"/>
      <c r="O429" s="3"/>
      <c r="P429" s="3"/>
      <c r="Q429" s="3"/>
      <c r="R429" s="76"/>
      <c r="S429" s="3"/>
      <c r="T429" s="3"/>
      <c r="U429" s="3"/>
      <c r="V429" s="1035"/>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row>
    <row r="430" spans="1:89" ht="12.75" x14ac:dyDescent="0.2">
      <c r="A430" s="620">
        <f>A404+1</f>
        <v>7</v>
      </c>
      <c r="B430" s="1086" t="str">
        <f>"Table "&amp;A1&amp;"."&amp;A430&amp;": Other Annual Charges"</f>
        <v>Table 7.7: Other Annual Charges</v>
      </c>
      <c r="C430" s="1067"/>
      <c r="D430" s="1067"/>
      <c r="E430" s="1067"/>
      <c r="F430" s="1067"/>
      <c r="G430" s="1067"/>
      <c r="H430" s="1067"/>
      <c r="I430" s="1067"/>
      <c r="J430" s="1067"/>
      <c r="K430" s="1103"/>
      <c r="L430" s="1069"/>
      <c r="M430" s="1069"/>
      <c r="N430" s="1069"/>
      <c r="O430" s="1069"/>
      <c r="P430" s="1069"/>
      <c r="Q430" s="1071"/>
      <c r="R430" s="76"/>
      <c r="S430" s="3"/>
      <c r="T430" s="3"/>
      <c r="U430" s="3"/>
      <c r="V430" s="1035"/>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row>
    <row r="431" spans="1:89" x14ac:dyDescent="0.2">
      <c r="A431" s="620"/>
      <c r="B431" s="1088" t="s">
        <v>700</v>
      </c>
      <c r="C431" s="79"/>
      <c r="D431" s="18"/>
      <c r="E431" s="18"/>
      <c r="F431" s="18"/>
      <c r="G431" s="18"/>
      <c r="H431" s="18"/>
      <c r="I431" s="18"/>
      <c r="J431" s="195"/>
      <c r="K431" s="195"/>
      <c r="L431" s="80"/>
      <c r="M431" s="80"/>
      <c r="N431" s="80"/>
      <c r="O431" s="80"/>
      <c r="P431" s="80"/>
      <c r="Q431" s="1089"/>
      <c r="R431" s="76"/>
      <c r="S431" s="3"/>
      <c r="T431" s="3"/>
      <c r="U431" s="3"/>
      <c r="V431" s="1035"/>
      <c r="W431" s="3"/>
      <c r="X431" s="208" t="str">
        <f>X$25</f>
        <v>Annual increases (nominal $ per year)</v>
      </c>
      <c r="Y431" s="3"/>
      <c r="Z431" s="3"/>
      <c r="AA431" s="3"/>
      <c r="AB431" s="3"/>
      <c r="AC431" s="3"/>
      <c r="AD431" s="3"/>
      <c r="AE431" s="3"/>
      <c r="AF431" s="208" t="str">
        <f>AF$25</f>
        <v>Annual increases (%)</v>
      </c>
      <c r="AG431" s="3"/>
      <c r="AH431" s="3"/>
      <c r="AI431" s="3"/>
      <c r="AJ431" s="3"/>
      <c r="AK431" s="3"/>
      <c r="AL431" s="3"/>
      <c r="AM431" s="3"/>
      <c r="AN431" s="208" t="str">
        <f>AN$25</f>
        <v>Cumulative increases (nominal $ per year)</v>
      </c>
      <c r="AO431" s="3"/>
      <c r="AP431" s="3"/>
      <c r="AQ431" s="3"/>
      <c r="AR431" s="3"/>
      <c r="AS431" s="3"/>
      <c r="AT431" s="3"/>
      <c r="AU431" s="3"/>
      <c r="AV431" s="208" t="str">
        <f>AV$25</f>
        <v>Cumulative increases (%)</v>
      </c>
      <c r="AW431" s="3"/>
      <c r="AX431" s="3"/>
      <c r="AY431" s="3"/>
      <c r="AZ431" s="3"/>
      <c r="BA431" s="3"/>
      <c r="BB431" s="3"/>
      <c r="BC431" s="3"/>
      <c r="BD431" s="3"/>
      <c r="BE431" s="3"/>
      <c r="BF431" s="3"/>
      <c r="BG431" s="3"/>
      <c r="BH431" s="3"/>
      <c r="BI431" s="3"/>
      <c r="BJ431" s="3"/>
      <c r="BK431" s="3"/>
    </row>
    <row r="432" spans="1:89" ht="39" customHeight="1" x14ac:dyDescent="0.2">
      <c r="A432" s="620"/>
      <c r="B432" s="1090" t="s">
        <v>701</v>
      </c>
      <c r="C432" s="455"/>
      <c r="D432" s="1116"/>
      <c r="E432" s="1116"/>
      <c r="F432" s="1116"/>
      <c r="G432" s="1116"/>
      <c r="H432" s="1116"/>
      <c r="I432" s="1116"/>
      <c r="J432" s="1117" t="s">
        <v>702</v>
      </c>
      <c r="K432" s="1117" t="s">
        <v>703</v>
      </c>
      <c r="L432" s="1117" t="s">
        <v>704</v>
      </c>
      <c r="M432" s="1117" t="s">
        <v>705</v>
      </c>
      <c r="N432" s="1117" t="s">
        <v>706</v>
      </c>
      <c r="O432" s="1117" t="s">
        <v>707</v>
      </c>
      <c r="P432" s="1117" t="s">
        <v>708</v>
      </c>
      <c r="Q432" s="1117" t="s">
        <v>709</v>
      </c>
      <c r="R432" s="76"/>
      <c r="S432" s="3"/>
      <c r="T432" s="3"/>
      <c r="U432" s="3"/>
      <c r="V432" s="1035"/>
      <c r="W432" s="3"/>
      <c r="X432" s="1049" t="str">
        <f>B430</f>
        <v>Table 7.7: Other Annual Charges</v>
      </c>
      <c r="Y432" s="695"/>
      <c r="Z432" s="695"/>
      <c r="AA432" s="695"/>
      <c r="AB432" s="695"/>
      <c r="AC432" s="695"/>
      <c r="AD432" s="1050"/>
      <c r="AE432" s="3"/>
      <c r="AF432" s="1049" t="str">
        <f>$X432</f>
        <v>Table 7.7: Other Annual Charges</v>
      </c>
      <c r="AG432" s="695"/>
      <c r="AH432" s="695"/>
      <c r="AI432" s="695"/>
      <c r="AJ432" s="695"/>
      <c r="AK432" s="695"/>
      <c r="AL432" s="1050"/>
      <c r="AM432" s="3"/>
      <c r="AN432" s="1049" t="str">
        <f>$X432</f>
        <v>Table 7.7: Other Annual Charges</v>
      </c>
      <c r="AO432" s="695"/>
      <c r="AP432" s="695"/>
      <c r="AQ432" s="695"/>
      <c r="AR432" s="695"/>
      <c r="AS432" s="695"/>
      <c r="AT432" s="1050"/>
      <c r="AU432" s="3"/>
      <c r="AV432" s="1049" t="str">
        <f>$X432</f>
        <v>Table 7.7: Other Annual Charges</v>
      </c>
      <c r="AW432" s="695"/>
      <c r="AX432" s="695"/>
      <c r="AY432" s="695"/>
      <c r="AZ432" s="695"/>
      <c r="BA432" s="695"/>
      <c r="BB432" s="1050"/>
      <c r="BC432" s="3"/>
      <c r="BD432" s="3"/>
      <c r="BE432" s="3"/>
      <c r="BF432" s="3"/>
      <c r="BG432" s="3"/>
      <c r="BH432" s="3"/>
      <c r="BI432" s="3"/>
      <c r="BJ432" s="3"/>
      <c r="BK432" s="3"/>
    </row>
    <row r="433" spans="1:89" x14ac:dyDescent="0.2">
      <c r="A433" s="620"/>
      <c r="B433" s="299"/>
      <c r="C433" s="3"/>
      <c r="D433" s="776"/>
      <c r="E433" s="776"/>
      <c r="F433" s="776"/>
      <c r="G433" s="776"/>
      <c r="H433" s="776"/>
      <c r="I433" s="776"/>
      <c r="J433" s="1130" t="str">
        <f t="shared" ref="J433:Q433" si="292">J407</f>
        <v>2023-24</v>
      </c>
      <c r="K433" s="1130" t="str">
        <f t="shared" si="292"/>
        <v>2024-25</v>
      </c>
      <c r="L433" s="1130" t="str">
        <f t="shared" si="292"/>
        <v>2025-26</v>
      </c>
      <c r="M433" s="1130" t="str">
        <f t="shared" si="292"/>
        <v>2026-27</v>
      </c>
      <c r="N433" s="1130" t="str">
        <f t="shared" si="292"/>
        <v>2027-28</v>
      </c>
      <c r="O433" s="1130" t="str">
        <f t="shared" si="292"/>
        <v>2028-29</v>
      </c>
      <c r="P433" s="1130" t="str">
        <f t="shared" si="292"/>
        <v>2029-30</v>
      </c>
      <c r="Q433" s="1130" t="str">
        <f t="shared" si="292"/>
        <v>2030-31</v>
      </c>
      <c r="R433" s="76"/>
      <c r="S433" s="3"/>
      <c r="T433" s="3"/>
      <c r="U433" s="3"/>
      <c r="V433" s="1035"/>
      <c r="W433" s="3"/>
      <c r="X433" s="1051" t="str">
        <f>X$27</f>
        <v>Year 1</v>
      </c>
      <c r="Y433" s="1052" t="str">
        <f t="shared" ref="Y433:AD433" si="293">Y$27</f>
        <v>Year 2</v>
      </c>
      <c r="Z433" s="1052" t="str">
        <f t="shared" si="293"/>
        <v>Year 3</v>
      </c>
      <c r="AA433" s="1052" t="str">
        <f t="shared" si="293"/>
        <v>Year 4</v>
      </c>
      <c r="AB433" s="1052" t="str">
        <f t="shared" si="293"/>
        <v>Year 5</v>
      </c>
      <c r="AC433" s="1052" t="str">
        <f t="shared" si="293"/>
        <v>Year 6</v>
      </c>
      <c r="AD433" s="1053" t="str">
        <f t="shared" si="293"/>
        <v>Year 7</v>
      </c>
      <c r="AE433" s="19"/>
      <c r="AF433" s="1039" t="str">
        <f t="shared" ref="AF433:AL433" si="294">AF$27</f>
        <v>Year 1</v>
      </c>
      <c r="AG433" s="257" t="str">
        <f t="shared" si="294"/>
        <v>Year 2</v>
      </c>
      <c r="AH433" s="257" t="str">
        <f t="shared" si="294"/>
        <v>Year 3</v>
      </c>
      <c r="AI433" s="257" t="str">
        <f t="shared" si="294"/>
        <v>Year 4</v>
      </c>
      <c r="AJ433" s="257" t="str">
        <f t="shared" si="294"/>
        <v>Year 5</v>
      </c>
      <c r="AK433" s="257" t="str">
        <f t="shared" si="294"/>
        <v>Year 6</v>
      </c>
      <c r="AL433" s="1040" t="str">
        <f t="shared" si="294"/>
        <v>Year 7</v>
      </c>
      <c r="AM433" s="19"/>
      <c r="AN433" s="1051" t="str">
        <f>AN$27</f>
        <v>Year 1</v>
      </c>
      <c r="AO433" s="1052" t="str">
        <f t="shared" ref="AO433:AT433" si="295">AO$27</f>
        <v>Year 2</v>
      </c>
      <c r="AP433" s="1052" t="str">
        <f t="shared" si="295"/>
        <v>Year 3</v>
      </c>
      <c r="AQ433" s="1052" t="str">
        <f t="shared" si="295"/>
        <v>Year 4</v>
      </c>
      <c r="AR433" s="1052" t="str">
        <f t="shared" si="295"/>
        <v>Year 5</v>
      </c>
      <c r="AS433" s="1052" t="str">
        <f t="shared" si="295"/>
        <v>Year 6</v>
      </c>
      <c r="AT433" s="1053" t="str">
        <f t="shared" si="295"/>
        <v>Year 7</v>
      </c>
      <c r="AU433" s="19"/>
      <c r="AV433" s="1039" t="str">
        <f>AV$27</f>
        <v>Year 1</v>
      </c>
      <c r="AW433" s="257" t="str">
        <f t="shared" ref="AW433:BB433" si="296">AW$27</f>
        <v>Year 2</v>
      </c>
      <c r="AX433" s="257" t="str">
        <f t="shared" si="296"/>
        <v>Year 3</v>
      </c>
      <c r="AY433" s="257" t="str">
        <f t="shared" si="296"/>
        <v>Year 4</v>
      </c>
      <c r="AZ433" s="257" t="str">
        <f t="shared" si="296"/>
        <v>Year 5</v>
      </c>
      <c r="BA433" s="257" t="str">
        <f t="shared" si="296"/>
        <v>Year 6</v>
      </c>
      <c r="BB433" s="1040" t="str">
        <f t="shared" si="296"/>
        <v>Year 7</v>
      </c>
      <c r="BC433" s="3"/>
      <c r="BD433" s="3"/>
      <c r="BE433" s="3"/>
      <c r="BF433" s="3"/>
      <c r="BG433" s="3"/>
      <c r="BH433" s="3"/>
      <c r="BI433" s="3"/>
      <c r="BJ433" s="3"/>
      <c r="BK433" s="3"/>
    </row>
    <row r="434" spans="1:89" x14ac:dyDescent="0.2">
      <c r="A434" s="620"/>
      <c r="B434" s="1118"/>
      <c r="C434" s="1131"/>
      <c r="D434" s="218" t="s">
        <v>687</v>
      </c>
      <c r="E434" s="484"/>
      <c r="F434" s="484"/>
      <c r="G434" s="484"/>
      <c r="H434" s="484"/>
      <c r="I434" s="485"/>
      <c r="J434" s="703"/>
      <c r="K434" s="1081"/>
      <c r="L434" s="1082"/>
      <c r="M434" s="1082"/>
      <c r="N434" s="1082"/>
      <c r="O434" s="1082"/>
      <c r="P434" s="1082"/>
      <c r="Q434" s="1078"/>
      <c r="R434" s="76"/>
      <c r="S434" s="3"/>
      <c r="T434" s="3"/>
      <c r="U434" s="3"/>
      <c r="V434" s="1035"/>
      <c r="W434" s="3"/>
      <c r="X434" s="1043" t="str">
        <f t="shared" ref="X434:X443" si="297">IF(K434="",".",K434-J434)</f>
        <v>.</v>
      </c>
      <c r="Y434" s="1044" t="str">
        <f t="shared" ref="Y434:Y443" si="298">IF(L434="",".",L434-K434)</f>
        <v>.</v>
      </c>
      <c r="Z434" s="1044" t="str">
        <f t="shared" ref="Z434:Z443" si="299">IF(M434="",".",M434-L434)</f>
        <v>.</v>
      </c>
      <c r="AA434" s="1044" t="str">
        <f t="shared" ref="AA434:AA443" si="300">IF(N434="",".",N434-M434)</f>
        <v>.</v>
      </c>
      <c r="AB434" s="1044" t="str">
        <f t="shared" ref="AB434:AB443" si="301">IF(O434="",".",O434-N434)</f>
        <v>.</v>
      </c>
      <c r="AC434" s="1044" t="str">
        <f t="shared" ref="AC434:AC443" si="302">IF(P434="",".",P434-O434)</f>
        <v>.</v>
      </c>
      <c r="AD434" s="1045" t="str">
        <f t="shared" ref="AD434:AD443" si="303">IF(Q434="",".",Q434-P434)</f>
        <v>.</v>
      </c>
      <c r="AE434" s="3"/>
      <c r="AF434" s="1055" t="str">
        <f t="shared" ref="AF434:AF443" si="304">IFERROR(K434/J434-1,".")</f>
        <v>.</v>
      </c>
      <c r="AG434" s="258" t="str">
        <f t="shared" ref="AG434:AG443" si="305">IFERROR(L434/K434-1,".")</f>
        <v>.</v>
      </c>
      <c r="AH434" s="258" t="str">
        <f t="shared" ref="AH434:AH443" si="306">IFERROR(M434/L434-1,".")</f>
        <v>.</v>
      </c>
      <c r="AI434" s="258" t="str">
        <f t="shared" ref="AI434:AI443" si="307">IFERROR(N434/M434-1,".")</f>
        <v>.</v>
      </c>
      <c r="AJ434" s="258" t="str">
        <f t="shared" ref="AJ434:AJ443" si="308">IFERROR(O434/N434-1,".")</f>
        <v>.</v>
      </c>
      <c r="AK434" s="258" t="str">
        <f t="shared" ref="AK434:AK443" si="309">IFERROR(P434/O434-1,".")</f>
        <v>.</v>
      </c>
      <c r="AL434" s="1056" t="str">
        <f t="shared" ref="AL434:AL443" si="310">IFERROR(Q434/P434-1,".")</f>
        <v>.</v>
      </c>
      <c r="AM434" s="3"/>
      <c r="AN434" s="1043" t="str">
        <f>IF(X434=".",".",SUM($X434:X434))</f>
        <v>.</v>
      </c>
      <c r="AO434" s="1044" t="str">
        <f>IF(Y434=".",".",SUM($X434:Y434))</f>
        <v>.</v>
      </c>
      <c r="AP434" s="1044" t="str">
        <f>IF(Z434=".",".",SUM($X434:Z434))</f>
        <v>.</v>
      </c>
      <c r="AQ434" s="1044" t="str">
        <f>IF(AA434=".",".",SUM($X434:AA434))</f>
        <v>.</v>
      </c>
      <c r="AR434" s="1044" t="str">
        <f>IF(AB434=".",".",SUM($X434:AB434))</f>
        <v>.</v>
      </c>
      <c r="AS434" s="1044" t="str">
        <f>IF(AC434=".",".",SUM($X434:AC434))</f>
        <v>.</v>
      </c>
      <c r="AT434" s="1045" t="str">
        <f>IF(AD434=".",".",SUM($X434:AD434))</f>
        <v>.</v>
      </c>
      <c r="AU434" s="3"/>
      <c r="AV434" s="1055" t="str">
        <f t="shared" ref="AV434:AV443" si="311">IFERROR(K434/$J434-1,".")</f>
        <v>.</v>
      </c>
      <c r="AW434" s="258" t="str">
        <f t="shared" ref="AW434:AW443" si="312">IFERROR(L434/$J434-1,".")</f>
        <v>.</v>
      </c>
      <c r="AX434" s="258" t="str">
        <f t="shared" ref="AX434:AX443" si="313">IFERROR(M434/$J434-1,".")</f>
        <v>.</v>
      </c>
      <c r="AY434" s="258" t="str">
        <f t="shared" ref="AY434:AY443" si="314">IFERROR(N434/$J434-1,".")</f>
        <v>.</v>
      </c>
      <c r="AZ434" s="258" t="str">
        <f t="shared" ref="AZ434:AZ443" si="315">IFERROR(O434/$J434-1,".")</f>
        <v>.</v>
      </c>
      <c r="BA434" s="258" t="str">
        <f t="shared" ref="BA434:BA443" si="316">IFERROR(P434/$J434-1,".")</f>
        <v>.</v>
      </c>
      <c r="BB434" s="1056" t="str">
        <f t="shared" ref="BB434:BB443" si="317">IFERROR(Q434/$J434-1,".")</f>
        <v>.</v>
      </c>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1:89" x14ac:dyDescent="0.2">
      <c r="A435" s="620"/>
      <c r="B435" s="1091"/>
      <c r="C435" s="456"/>
      <c r="D435" s="218" t="s">
        <v>687</v>
      </c>
      <c r="E435" s="484"/>
      <c r="F435" s="484"/>
      <c r="G435" s="484"/>
      <c r="H435" s="484"/>
      <c r="I435" s="485"/>
      <c r="J435" s="703"/>
      <c r="K435" s="1012"/>
      <c r="L435" s="1024"/>
      <c r="M435" s="1024"/>
      <c r="N435" s="1024"/>
      <c r="O435" s="1024"/>
      <c r="P435" s="1024"/>
      <c r="Q435" s="1078"/>
      <c r="R435" s="76"/>
      <c r="S435" s="3"/>
      <c r="T435" s="3"/>
      <c r="U435" s="3"/>
      <c r="V435" s="1035"/>
      <c r="W435" s="3"/>
      <c r="X435" s="1043" t="str">
        <f t="shared" si="297"/>
        <v>.</v>
      </c>
      <c r="Y435" s="1044" t="str">
        <f t="shared" si="298"/>
        <v>.</v>
      </c>
      <c r="Z435" s="1044" t="str">
        <f t="shared" si="299"/>
        <v>.</v>
      </c>
      <c r="AA435" s="1044" t="str">
        <f t="shared" si="300"/>
        <v>.</v>
      </c>
      <c r="AB435" s="1044" t="str">
        <f t="shared" si="301"/>
        <v>.</v>
      </c>
      <c r="AC435" s="1044" t="str">
        <f t="shared" si="302"/>
        <v>.</v>
      </c>
      <c r="AD435" s="1045" t="str">
        <f t="shared" si="303"/>
        <v>.</v>
      </c>
      <c r="AE435" s="3"/>
      <c r="AF435" s="1055" t="str">
        <f t="shared" si="304"/>
        <v>.</v>
      </c>
      <c r="AG435" s="258" t="str">
        <f t="shared" si="305"/>
        <v>.</v>
      </c>
      <c r="AH435" s="258" t="str">
        <f t="shared" si="306"/>
        <v>.</v>
      </c>
      <c r="AI435" s="258" t="str">
        <f t="shared" si="307"/>
        <v>.</v>
      </c>
      <c r="AJ435" s="258" t="str">
        <f t="shared" si="308"/>
        <v>.</v>
      </c>
      <c r="AK435" s="258" t="str">
        <f t="shared" si="309"/>
        <v>.</v>
      </c>
      <c r="AL435" s="1056" t="str">
        <f t="shared" si="310"/>
        <v>.</v>
      </c>
      <c r="AM435" s="3"/>
      <c r="AN435" s="1043" t="str">
        <f>IF(X435=".",".",SUM($X435:X435))</f>
        <v>.</v>
      </c>
      <c r="AO435" s="1044" t="str">
        <f>IF(Y435=".",".",SUM($X435:Y435))</f>
        <v>.</v>
      </c>
      <c r="AP435" s="1044" t="str">
        <f>IF(Z435=".",".",SUM($X435:Z435))</f>
        <v>.</v>
      </c>
      <c r="AQ435" s="1044" t="str">
        <f>IF(AA435=".",".",SUM($X435:AA435))</f>
        <v>.</v>
      </c>
      <c r="AR435" s="1044" t="str">
        <f>IF(AB435=".",".",SUM($X435:AB435))</f>
        <v>.</v>
      </c>
      <c r="AS435" s="1044" t="str">
        <f>IF(AC435=".",".",SUM($X435:AC435))</f>
        <v>.</v>
      </c>
      <c r="AT435" s="1045" t="str">
        <f>IF(AD435=".",".",SUM($X435:AD435))</f>
        <v>.</v>
      </c>
      <c r="AU435" s="3"/>
      <c r="AV435" s="1055" t="str">
        <f t="shared" si="311"/>
        <v>.</v>
      </c>
      <c r="AW435" s="258" t="str">
        <f t="shared" si="312"/>
        <v>.</v>
      </c>
      <c r="AX435" s="258" t="str">
        <f t="shared" si="313"/>
        <v>.</v>
      </c>
      <c r="AY435" s="258" t="str">
        <f t="shared" si="314"/>
        <v>.</v>
      </c>
      <c r="AZ435" s="258" t="str">
        <f t="shared" si="315"/>
        <v>.</v>
      </c>
      <c r="BA435" s="258" t="str">
        <f t="shared" si="316"/>
        <v>.</v>
      </c>
      <c r="BB435" s="1056" t="str">
        <f t="shared" si="317"/>
        <v>.</v>
      </c>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1:89" x14ac:dyDescent="0.2">
      <c r="A436" s="620"/>
      <c r="B436" s="1091"/>
      <c r="C436" s="456"/>
      <c r="D436" s="218" t="s">
        <v>687</v>
      </c>
      <c r="E436" s="484"/>
      <c r="F436" s="484"/>
      <c r="G436" s="484"/>
      <c r="H436" s="484"/>
      <c r="I436" s="485"/>
      <c r="J436" s="703"/>
      <c r="K436" s="1012"/>
      <c r="L436" s="1024"/>
      <c r="M436" s="1024"/>
      <c r="N436" s="1024"/>
      <c r="O436" s="1024"/>
      <c r="P436" s="1024"/>
      <c r="Q436" s="1078"/>
      <c r="R436" s="76"/>
      <c r="S436" s="3"/>
      <c r="T436" s="3"/>
      <c r="U436" s="3"/>
      <c r="V436" s="1035"/>
      <c r="W436" s="3"/>
      <c r="X436" s="1043" t="str">
        <f t="shared" si="297"/>
        <v>.</v>
      </c>
      <c r="Y436" s="1044" t="str">
        <f t="shared" si="298"/>
        <v>.</v>
      </c>
      <c r="Z436" s="1044" t="str">
        <f t="shared" si="299"/>
        <v>.</v>
      </c>
      <c r="AA436" s="1044" t="str">
        <f t="shared" si="300"/>
        <v>.</v>
      </c>
      <c r="AB436" s="1044" t="str">
        <f t="shared" si="301"/>
        <v>.</v>
      </c>
      <c r="AC436" s="1044" t="str">
        <f t="shared" si="302"/>
        <v>.</v>
      </c>
      <c r="AD436" s="1045" t="str">
        <f t="shared" si="303"/>
        <v>.</v>
      </c>
      <c r="AE436" s="3"/>
      <c r="AF436" s="1055" t="str">
        <f t="shared" si="304"/>
        <v>.</v>
      </c>
      <c r="AG436" s="258" t="str">
        <f t="shared" si="305"/>
        <v>.</v>
      </c>
      <c r="AH436" s="258" t="str">
        <f t="shared" si="306"/>
        <v>.</v>
      </c>
      <c r="AI436" s="258" t="str">
        <f t="shared" si="307"/>
        <v>.</v>
      </c>
      <c r="AJ436" s="258" t="str">
        <f t="shared" si="308"/>
        <v>.</v>
      </c>
      <c r="AK436" s="258" t="str">
        <f t="shared" si="309"/>
        <v>.</v>
      </c>
      <c r="AL436" s="1056" t="str">
        <f t="shared" si="310"/>
        <v>.</v>
      </c>
      <c r="AM436" s="3"/>
      <c r="AN436" s="1043" t="str">
        <f>IF(X436=".",".",SUM($X436:X436))</f>
        <v>.</v>
      </c>
      <c r="AO436" s="1044" t="str">
        <f>IF(Y436=".",".",SUM($X436:Y436))</f>
        <v>.</v>
      </c>
      <c r="AP436" s="1044" t="str">
        <f>IF(Z436=".",".",SUM($X436:Z436))</f>
        <v>.</v>
      </c>
      <c r="AQ436" s="1044" t="str">
        <f>IF(AA436=".",".",SUM($X436:AA436))</f>
        <v>.</v>
      </c>
      <c r="AR436" s="1044" t="str">
        <f>IF(AB436=".",".",SUM($X436:AB436))</f>
        <v>.</v>
      </c>
      <c r="AS436" s="1044" t="str">
        <f>IF(AC436=".",".",SUM($X436:AC436))</f>
        <v>.</v>
      </c>
      <c r="AT436" s="1045" t="str">
        <f>IF(AD436=".",".",SUM($X436:AD436))</f>
        <v>.</v>
      </c>
      <c r="AU436" s="3"/>
      <c r="AV436" s="1055" t="str">
        <f t="shared" si="311"/>
        <v>.</v>
      </c>
      <c r="AW436" s="258" t="str">
        <f t="shared" si="312"/>
        <v>.</v>
      </c>
      <c r="AX436" s="258" t="str">
        <f t="shared" si="313"/>
        <v>.</v>
      </c>
      <c r="AY436" s="258" t="str">
        <f t="shared" si="314"/>
        <v>.</v>
      </c>
      <c r="AZ436" s="258" t="str">
        <f t="shared" si="315"/>
        <v>.</v>
      </c>
      <c r="BA436" s="258" t="str">
        <f t="shared" si="316"/>
        <v>.</v>
      </c>
      <c r="BB436" s="1056" t="str">
        <f t="shared" si="317"/>
        <v>.</v>
      </c>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1:89" x14ac:dyDescent="0.2">
      <c r="A437" s="620"/>
      <c r="B437" s="1091"/>
      <c r="C437" s="456"/>
      <c r="D437" s="218" t="s">
        <v>687</v>
      </c>
      <c r="E437" s="484"/>
      <c r="F437" s="484"/>
      <c r="G437" s="484"/>
      <c r="H437" s="484"/>
      <c r="I437" s="485"/>
      <c r="J437" s="703"/>
      <c r="K437" s="1012"/>
      <c r="L437" s="1024"/>
      <c r="M437" s="1024"/>
      <c r="N437" s="1024"/>
      <c r="O437" s="1024"/>
      <c r="P437" s="1024"/>
      <c r="Q437" s="1078"/>
      <c r="R437" s="76"/>
      <c r="S437" s="3"/>
      <c r="T437" s="3"/>
      <c r="U437" s="3"/>
      <c r="V437" s="1035"/>
      <c r="W437" s="3"/>
      <c r="X437" s="1043" t="str">
        <f t="shared" si="297"/>
        <v>.</v>
      </c>
      <c r="Y437" s="1044" t="str">
        <f t="shared" si="298"/>
        <v>.</v>
      </c>
      <c r="Z437" s="1044" t="str">
        <f t="shared" si="299"/>
        <v>.</v>
      </c>
      <c r="AA437" s="1044" t="str">
        <f t="shared" si="300"/>
        <v>.</v>
      </c>
      <c r="AB437" s="1044" t="str">
        <f t="shared" si="301"/>
        <v>.</v>
      </c>
      <c r="AC437" s="1044" t="str">
        <f t="shared" si="302"/>
        <v>.</v>
      </c>
      <c r="AD437" s="1045" t="str">
        <f t="shared" si="303"/>
        <v>.</v>
      </c>
      <c r="AE437" s="3"/>
      <c r="AF437" s="1055" t="str">
        <f t="shared" si="304"/>
        <v>.</v>
      </c>
      <c r="AG437" s="258" t="str">
        <f t="shared" si="305"/>
        <v>.</v>
      </c>
      <c r="AH437" s="258" t="str">
        <f t="shared" si="306"/>
        <v>.</v>
      </c>
      <c r="AI437" s="258" t="str">
        <f t="shared" si="307"/>
        <v>.</v>
      </c>
      <c r="AJ437" s="258" t="str">
        <f t="shared" si="308"/>
        <v>.</v>
      </c>
      <c r="AK437" s="258" t="str">
        <f t="shared" si="309"/>
        <v>.</v>
      </c>
      <c r="AL437" s="1056" t="str">
        <f t="shared" si="310"/>
        <v>.</v>
      </c>
      <c r="AM437" s="3"/>
      <c r="AN437" s="1043" t="str">
        <f>IF(X437=".",".",SUM($X437:X437))</f>
        <v>.</v>
      </c>
      <c r="AO437" s="1044" t="str">
        <f>IF(Y437=".",".",SUM($X437:Y437))</f>
        <v>.</v>
      </c>
      <c r="AP437" s="1044" t="str">
        <f>IF(Z437=".",".",SUM($X437:Z437))</f>
        <v>.</v>
      </c>
      <c r="AQ437" s="1044" t="str">
        <f>IF(AA437=".",".",SUM($X437:AA437))</f>
        <v>.</v>
      </c>
      <c r="AR437" s="1044" t="str">
        <f>IF(AB437=".",".",SUM($X437:AB437))</f>
        <v>.</v>
      </c>
      <c r="AS437" s="1044" t="str">
        <f>IF(AC437=".",".",SUM($X437:AC437))</f>
        <v>.</v>
      </c>
      <c r="AT437" s="1045" t="str">
        <f>IF(AD437=".",".",SUM($X437:AD437))</f>
        <v>.</v>
      </c>
      <c r="AU437" s="3"/>
      <c r="AV437" s="1055" t="str">
        <f t="shared" si="311"/>
        <v>.</v>
      </c>
      <c r="AW437" s="258" t="str">
        <f t="shared" si="312"/>
        <v>.</v>
      </c>
      <c r="AX437" s="258" t="str">
        <f t="shared" si="313"/>
        <v>.</v>
      </c>
      <c r="AY437" s="258" t="str">
        <f t="shared" si="314"/>
        <v>.</v>
      </c>
      <c r="AZ437" s="258" t="str">
        <f t="shared" si="315"/>
        <v>.</v>
      </c>
      <c r="BA437" s="258" t="str">
        <f t="shared" si="316"/>
        <v>.</v>
      </c>
      <c r="BB437" s="1056" t="str">
        <f t="shared" si="317"/>
        <v>.</v>
      </c>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1:89" x14ac:dyDescent="0.2">
      <c r="A438" s="620"/>
      <c r="B438" s="1091"/>
      <c r="C438" s="456"/>
      <c r="D438" s="218" t="s">
        <v>687</v>
      </c>
      <c r="E438" s="484"/>
      <c r="F438" s="484"/>
      <c r="G438" s="484"/>
      <c r="H438" s="484"/>
      <c r="I438" s="485"/>
      <c r="J438" s="703"/>
      <c r="K438" s="1012"/>
      <c r="L438" s="1024"/>
      <c r="M438" s="1024"/>
      <c r="N438" s="1024"/>
      <c r="O438" s="1024"/>
      <c r="P438" s="1024"/>
      <c r="Q438" s="1078"/>
      <c r="R438" s="76"/>
      <c r="S438" s="3"/>
      <c r="T438" s="3"/>
      <c r="U438" s="3"/>
      <c r="V438" s="1035"/>
      <c r="W438" s="3"/>
      <c r="X438" s="1043" t="str">
        <f t="shared" si="297"/>
        <v>.</v>
      </c>
      <c r="Y438" s="1044" t="str">
        <f t="shared" si="298"/>
        <v>.</v>
      </c>
      <c r="Z438" s="1044" t="str">
        <f t="shared" si="299"/>
        <v>.</v>
      </c>
      <c r="AA438" s="1044" t="str">
        <f t="shared" si="300"/>
        <v>.</v>
      </c>
      <c r="AB438" s="1044" t="str">
        <f t="shared" si="301"/>
        <v>.</v>
      </c>
      <c r="AC438" s="1044" t="str">
        <f t="shared" si="302"/>
        <v>.</v>
      </c>
      <c r="AD438" s="1045" t="str">
        <f t="shared" si="303"/>
        <v>.</v>
      </c>
      <c r="AE438" s="3"/>
      <c r="AF438" s="1055" t="str">
        <f t="shared" si="304"/>
        <v>.</v>
      </c>
      <c r="AG438" s="258" t="str">
        <f t="shared" si="305"/>
        <v>.</v>
      </c>
      <c r="AH438" s="258" t="str">
        <f t="shared" si="306"/>
        <v>.</v>
      </c>
      <c r="AI438" s="258" t="str">
        <f t="shared" si="307"/>
        <v>.</v>
      </c>
      <c r="AJ438" s="258" t="str">
        <f t="shared" si="308"/>
        <v>.</v>
      </c>
      <c r="AK438" s="258" t="str">
        <f t="shared" si="309"/>
        <v>.</v>
      </c>
      <c r="AL438" s="1056" t="str">
        <f t="shared" si="310"/>
        <v>.</v>
      </c>
      <c r="AM438" s="3"/>
      <c r="AN438" s="1043" t="str">
        <f>IF(X438=".",".",SUM($X438:X438))</f>
        <v>.</v>
      </c>
      <c r="AO438" s="1044" t="str">
        <f>IF(Y438=".",".",SUM($X438:Y438))</f>
        <v>.</v>
      </c>
      <c r="AP438" s="1044" t="str">
        <f>IF(Z438=".",".",SUM($X438:Z438))</f>
        <v>.</v>
      </c>
      <c r="AQ438" s="1044" t="str">
        <f>IF(AA438=".",".",SUM($X438:AA438))</f>
        <v>.</v>
      </c>
      <c r="AR438" s="1044" t="str">
        <f>IF(AB438=".",".",SUM($X438:AB438))</f>
        <v>.</v>
      </c>
      <c r="AS438" s="1044" t="str">
        <f>IF(AC438=".",".",SUM($X438:AC438))</f>
        <v>.</v>
      </c>
      <c r="AT438" s="1045" t="str">
        <f>IF(AD438=".",".",SUM($X438:AD438))</f>
        <v>.</v>
      </c>
      <c r="AU438" s="3"/>
      <c r="AV438" s="1055" t="str">
        <f t="shared" si="311"/>
        <v>.</v>
      </c>
      <c r="AW438" s="258" t="str">
        <f t="shared" si="312"/>
        <v>.</v>
      </c>
      <c r="AX438" s="258" t="str">
        <f t="shared" si="313"/>
        <v>.</v>
      </c>
      <c r="AY438" s="258" t="str">
        <f t="shared" si="314"/>
        <v>.</v>
      </c>
      <c r="AZ438" s="258" t="str">
        <f t="shared" si="315"/>
        <v>.</v>
      </c>
      <c r="BA438" s="258" t="str">
        <f t="shared" si="316"/>
        <v>.</v>
      </c>
      <c r="BB438" s="1056" t="str">
        <f t="shared" si="317"/>
        <v>.</v>
      </c>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1:89" x14ac:dyDescent="0.2">
      <c r="A439" s="620"/>
      <c r="B439" s="1091"/>
      <c r="C439" s="456"/>
      <c r="D439" s="218" t="s">
        <v>687</v>
      </c>
      <c r="E439" s="484"/>
      <c r="F439" s="484"/>
      <c r="G439" s="484"/>
      <c r="H439" s="484"/>
      <c r="I439" s="485"/>
      <c r="J439" s="703"/>
      <c r="K439" s="1012"/>
      <c r="L439" s="1024"/>
      <c r="M439" s="1024"/>
      <c r="N439" s="1024"/>
      <c r="O439" s="1024"/>
      <c r="P439" s="1024"/>
      <c r="Q439" s="1078"/>
      <c r="R439" s="76"/>
      <c r="S439" s="3"/>
      <c r="T439" s="3"/>
      <c r="U439" s="3"/>
      <c r="V439" s="1035"/>
      <c r="W439" s="3"/>
      <c r="X439" s="1043" t="str">
        <f t="shared" si="297"/>
        <v>.</v>
      </c>
      <c r="Y439" s="1044" t="str">
        <f t="shared" si="298"/>
        <v>.</v>
      </c>
      <c r="Z439" s="1044" t="str">
        <f t="shared" si="299"/>
        <v>.</v>
      </c>
      <c r="AA439" s="1044" t="str">
        <f t="shared" si="300"/>
        <v>.</v>
      </c>
      <c r="AB439" s="1044" t="str">
        <f t="shared" si="301"/>
        <v>.</v>
      </c>
      <c r="AC439" s="1044" t="str">
        <f t="shared" si="302"/>
        <v>.</v>
      </c>
      <c r="AD439" s="1045" t="str">
        <f t="shared" si="303"/>
        <v>.</v>
      </c>
      <c r="AE439" s="3"/>
      <c r="AF439" s="1055" t="str">
        <f t="shared" si="304"/>
        <v>.</v>
      </c>
      <c r="AG439" s="258" t="str">
        <f t="shared" si="305"/>
        <v>.</v>
      </c>
      <c r="AH439" s="258" t="str">
        <f t="shared" si="306"/>
        <v>.</v>
      </c>
      <c r="AI439" s="258" t="str">
        <f t="shared" si="307"/>
        <v>.</v>
      </c>
      <c r="AJ439" s="258" t="str">
        <f t="shared" si="308"/>
        <v>.</v>
      </c>
      <c r="AK439" s="258" t="str">
        <f t="shared" si="309"/>
        <v>.</v>
      </c>
      <c r="AL439" s="1056" t="str">
        <f t="shared" si="310"/>
        <v>.</v>
      </c>
      <c r="AM439" s="3"/>
      <c r="AN439" s="1043" t="str">
        <f>IF(X439=".",".",SUM($X439:X439))</f>
        <v>.</v>
      </c>
      <c r="AO439" s="1044" t="str">
        <f>IF(Y439=".",".",SUM($X439:Y439))</f>
        <v>.</v>
      </c>
      <c r="AP439" s="1044" t="str">
        <f>IF(Z439=".",".",SUM($X439:Z439))</f>
        <v>.</v>
      </c>
      <c r="AQ439" s="1044" t="str">
        <f>IF(AA439=".",".",SUM($X439:AA439))</f>
        <v>.</v>
      </c>
      <c r="AR439" s="1044" t="str">
        <f>IF(AB439=".",".",SUM($X439:AB439))</f>
        <v>.</v>
      </c>
      <c r="AS439" s="1044" t="str">
        <f>IF(AC439=".",".",SUM($X439:AC439))</f>
        <v>.</v>
      </c>
      <c r="AT439" s="1045" t="str">
        <f>IF(AD439=".",".",SUM($X439:AD439))</f>
        <v>.</v>
      </c>
      <c r="AU439" s="3"/>
      <c r="AV439" s="1055" t="str">
        <f t="shared" si="311"/>
        <v>.</v>
      </c>
      <c r="AW439" s="258" t="str">
        <f t="shared" si="312"/>
        <v>.</v>
      </c>
      <c r="AX439" s="258" t="str">
        <f t="shared" si="313"/>
        <v>.</v>
      </c>
      <c r="AY439" s="258" t="str">
        <f t="shared" si="314"/>
        <v>.</v>
      </c>
      <c r="AZ439" s="258" t="str">
        <f t="shared" si="315"/>
        <v>.</v>
      </c>
      <c r="BA439" s="258" t="str">
        <f t="shared" si="316"/>
        <v>.</v>
      </c>
      <c r="BB439" s="1056" t="str">
        <f t="shared" si="317"/>
        <v>.</v>
      </c>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1:89" x14ac:dyDescent="0.2">
      <c r="A440" s="620"/>
      <c r="B440" s="1091"/>
      <c r="C440" s="456"/>
      <c r="D440" s="218" t="s">
        <v>687</v>
      </c>
      <c r="E440" s="484"/>
      <c r="F440" s="484"/>
      <c r="G440" s="484"/>
      <c r="H440" s="484"/>
      <c r="I440" s="485"/>
      <c r="J440" s="703"/>
      <c r="K440" s="1012"/>
      <c r="L440" s="1024"/>
      <c r="M440" s="1024"/>
      <c r="N440" s="1024"/>
      <c r="O440" s="1024"/>
      <c r="P440" s="1024"/>
      <c r="Q440" s="1078"/>
      <c r="R440" s="76"/>
      <c r="S440" s="3"/>
      <c r="T440" s="3"/>
      <c r="U440" s="3"/>
      <c r="V440" s="1035"/>
      <c r="W440" s="3"/>
      <c r="X440" s="1043" t="str">
        <f t="shared" si="297"/>
        <v>.</v>
      </c>
      <c r="Y440" s="1044" t="str">
        <f t="shared" si="298"/>
        <v>.</v>
      </c>
      <c r="Z440" s="1044" t="str">
        <f t="shared" si="299"/>
        <v>.</v>
      </c>
      <c r="AA440" s="1044" t="str">
        <f t="shared" si="300"/>
        <v>.</v>
      </c>
      <c r="AB440" s="1044" t="str">
        <f t="shared" si="301"/>
        <v>.</v>
      </c>
      <c r="AC440" s="1044" t="str">
        <f t="shared" si="302"/>
        <v>.</v>
      </c>
      <c r="AD440" s="1045" t="str">
        <f t="shared" si="303"/>
        <v>.</v>
      </c>
      <c r="AE440" s="3"/>
      <c r="AF440" s="1055" t="str">
        <f t="shared" si="304"/>
        <v>.</v>
      </c>
      <c r="AG440" s="258" t="str">
        <f t="shared" si="305"/>
        <v>.</v>
      </c>
      <c r="AH440" s="258" t="str">
        <f t="shared" si="306"/>
        <v>.</v>
      </c>
      <c r="AI440" s="258" t="str">
        <f t="shared" si="307"/>
        <v>.</v>
      </c>
      <c r="AJ440" s="258" t="str">
        <f t="shared" si="308"/>
        <v>.</v>
      </c>
      <c r="AK440" s="258" t="str">
        <f t="shared" si="309"/>
        <v>.</v>
      </c>
      <c r="AL440" s="1056" t="str">
        <f t="shared" si="310"/>
        <v>.</v>
      </c>
      <c r="AM440" s="3"/>
      <c r="AN440" s="1043" t="str">
        <f>IF(X440=".",".",SUM($X440:X440))</f>
        <v>.</v>
      </c>
      <c r="AO440" s="1044" t="str">
        <f>IF(Y440=".",".",SUM($X440:Y440))</f>
        <v>.</v>
      </c>
      <c r="AP440" s="1044" t="str">
        <f>IF(Z440=".",".",SUM($X440:Z440))</f>
        <v>.</v>
      </c>
      <c r="AQ440" s="1044" t="str">
        <f>IF(AA440=".",".",SUM($X440:AA440))</f>
        <v>.</v>
      </c>
      <c r="AR440" s="1044" t="str">
        <f>IF(AB440=".",".",SUM($X440:AB440))</f>
        <v>.</v>
      </c>
      <c r="AS440" s="1044" t="str">
        <f>IF(AC440=".",".",SUM($X440:AC440))</f>
        <v>.</v>
      </c>
      <c r="AT440" s="1045" t="str">
        <f>IF(AD440=".",".",SUM($X440:AD440))</f>
        <v>.</v>
      </c>
      <c r="AU440" s="3"/>
      <c r="AV440" s="1055" t="str">
        <f t="shared" si="311"/>
        <v>.</v>
      </c>
      <c r="AW440" s="258" t="str">
        <f t="shared" si="312"/>
        <v>.</v>
      </c>
      <c r="AX440" s="258" t="str">
        <f t="shared" si="313"/>
        <v>.</v>
      </c>
      <c r="AY440" s="258" t="str">
        <f t="shared" si="314"/>
        <v>.</v>
      </c>
      <c r="AZ440" s="258" t="str">
        <f t="shared" si="315"/>
        <v>.</v>
      </c>
      <c r="BA440" s="258" t="str">
        <f t="shared" si="316"/>
        <v>.</v>
      </c>
      <c r="BB440" s="1056" t="str">
        <f t="shared" si="317"/>
        <v>.</v>
      </c>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1:89" x14ac:dyDescent="0.2">
      <c r="A441" s="620"/>
      <c r="B441" s="1091"/>
      <c r="C441" s="456"/>
      <c r="D441" s="218" t="s">
        <v>687</v>
      </c>
      <c r="E441" s="484"/>
      <c r="F441" s="484"/>
      <c r="G441" s="484"/>
      <c r="H441" s="484"/>
      <c r="I441" s="485"/>
      <c r="J441" s="703"/>
      <c r="K441" s="1012"/>
      <c r="L441" s="1024"/>
      <c r="M441" s="1024"/>
      <c r="N441" s="1024"/>
      <c r="O441" s="1024"/>
      <c r="P441" s="1024"/>
      <c r="Q441" s="1078"/>
      <c r="R441" s="76"/>
      <c r="S441" s="3"/>
      <c r="T441" s="3"/>
      <c r="U441" s="3"/>
      <c r="V441" s="1035"/>
      <c r="W441" s="3"/>
      <c r="X441" s="1043" t="str">
        <f t="shared" si="297"/>
        <v>.</v>
      </c>
      <c r="Y441" s="1044" t="str">
        <f t="shared" si="298"/>
        <v>.</v>
      </c>
      <c r="Z441" s="1044" t="str">
        <f t="shared" si="299"/>
        <v>.</v>
      </c>
      <c r="AA441" s="1044" t="str">
        <f t="shared" si="300"/>
        <v>.</v>
      </c>
      <c r="AB441" s="1044" t="str">
        <f t="shared" si="301"/>
        <v>.</v>
      </c>
      <c r="AC441" s="1044" t="str">
        <f t="shared" si="302"/>
        <v>.</v>
      </c>
      <c r="AD441" s="1045" t="str">
        <f t="shared" si="303"/>
        <v>.</v>
      </c>
      <c r="AE441" s="3"/>
      <c r="AF441" s="1055" t="str">
        <f t="shared" si="304"/>
        <v>.</v>
      </c>
      <c r="AG441" s="258" t="str">
        <f t="shared" si="305"/>
        <v>.</v>
      </c>
      <c r="AH441" s="258" t="str">
        <f t="shared" si="306"/>
        <v>.</v>
      </c>
      <c r="AI441" s="258" t="str">
        <f t="shared" si="307"/>
        <v>.</v>
      </c>
      <c r="AJ441" s="258" t="str">
        <f t="shared" si="308"/>
        <v>.</v>
      </c>
      <c r="AK441" s="258" t="str">
        <f t="shared" si="309"/>
        <v>.</v>
      </c>
      <c r="AL441" s="1056" t="str">
        <f t="shared" si="310"/>
        <v>.</v>
      </c>
      <c r="AM441" s="3"/>
      <c r="AN441" s="1043" t="str">
        <f>IF(X441=".",".",SUM($X441:X441))</f>
        <v>.</v>
      </c>
      <c r="AO441" s="1044" t="str">
        <f>IF(Y441=".",".",SUM($X441:Y441))</f>
        <v>.</v>
      </c>
      <c r="AP441" s="1044" t="str">
        <f>IF(Z441=".",".",SUM($X441:Z441))</f>
        <v>.</v>
      </c>
      <c r="AQ441" s="1044" t="str">
        <f>IF(AA441=".",".",SUM($X441:AA441))</f>
        <v>.</v>
      </c>
      <c r="AR441" s="1044" t="str">
        <f>IF(AB441=".",".",SUM($X441:AB441))</f>
        <v>.</v>
      </c>
      <c r="AS441" s="1044" t="str">
        <f>IF(AC441=".",".",SUM($X441:AC441))</f>
        <v>.</v>
      </c>
      <c r="AT441" s="1045" t="str">
        <f>IF(AD441=".",".",SUM($X441:AD441))</f>
        <v>.</v>
      </c>
      <c r="AU441" s="3"/>
      <c r="AV441" s="1055" t="str">
        <f t="shared" si="311"/>
        <v>.</v>
      </c>
      <c r="AW441" s="258" t="str">
        <f t="shared" si="312"/>
        <v>.</v>
      </c>
      <c r="AX441" s="258" t="str">
        <f t="shared" si="313"/>
        <v>.</v>
      </c>
      <c r="AY441" s="258" t="str">
        <f t="shared" si="314"/>
        <v>.</v>
      </c>
      <c r="AZ441" s="258" t="str">
        <f t="shared" si="315"/>
        <v>.</v>
      </c>
      <c r="BA441" s="258" t="str">
        <f t="shared" si="316"/>
        <v>.</v>
      </c>
      <c r="BB441" s="1056" t="str">
        <f t="shared" si="317"/>
        <v>.</v>
      </c>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1:89" x14ac:dyDescent="0.2">
      <c r="A442" s="620"/>
      <c r="B442" s="1091"/>
      <c r="C442" s="456"/>
      <c r="D442" s="218" t="s">
        <v>687</v>
      </c>
      <c r="E442" s="484"/>
      <c r="F442" s="484"/>
      <c r="G442" s="484"/>
      <c r="H442" s="484"/>
      <c r="I442" s="485"/>
      <c r="J442" s="703"/>
      <c r="K442" s="1012"/>
      <c r="L442" s="1024"/>
      <c r="M442" s="1024"/>
      <c r="N442" s="1024"/>
      <c r="O442" s="1024"/>
      <c r="P442" s="1024"/>
      <c r="Q442" s="1078"/>
      <c r="R442" s="76"/>
      <c r="S442" s="3"/>
      <c r="T442" s="3"/>
      <c r="U442" s="3"/>
      <c r="V442" s="1035"/>
      <c r="W442" s="3"/>
      <c r="X442" s="1043" t="str">
        <f t="shared" si="297"/>
        <v>.</v>
      </c>
      <c r="Y442" s="1044" t="str">
        <f t="shared" si="298"/>
        <v>.</v>
      </c>
      <c r="Z442" s="1044" t="str">
        <f t="shared" si="299"/>
        <v>.</v>
      </c>
      <c r="AA442" s="1044" t="str">
        <f t="shared" si="300"/>
        <v>.</v>
      </c>
      <c r="AB442" s="1044" t="str">
        <f t="shared" si="301"/>
        <v>.</v>
      </c>
      <c r="AC442" s="1044" t="str">
        <f t="shared" si="302"/>
        <v>.</v>
      </c>
      <c r="AD442" s="1045" t="str">
        <f t="shared" si="303"/>
        <v>.</v>
      </c>
      <c r="AE442" s="3"/>
      <c r="AF442" s="1055" t="str">
        <f t="shared" si="304"/>
        <v>.</v>
      </c>
      <c r="AG442" s="258" t="str">
        <f t="shared" si="305"/>
        <v>.</v>
      </c>
      <c r="AH442" s="258" t="str">
        <f t="shared" si="306"/>
        <v>.</v>
      </c>
      <c r="AI442" s="258" t="str">
        <f t="shared" si="307"/>
        <v>.</v>
      </c>
      <c r="AJ442" s="258" t="str">
        <f t="shared" si="308"/>
        <v>.</v>
      </c>
      <c r="AK442" s="258" t="str">
        <f t="shared" si="309"/>
        <v>.</v>
      </c>
      <c r="AL442" s="1056" t="str">
        <f t="shared" si="310"/>
        <v>.</v>
      </c>
      <c r="AM442" s="3"/>
      <c r="AN442" s="1043" t="str">
        <f>IF(X442=".",".",SUM($X442:X442))</f>
        <v>.</v>
      </c>
      <c r="AO442" s="1044" t="str">
        <f>IF(Y442=".",".",SUM($X442:Y442))</f>
        <v>.</v>
      </c>
      <c r="AP442" s="1044" t="str">
        <f>IF(Z442=".",".",SUM($X442:Z442))</f>
        <v>.</v>
      </c>
      <c r="AQ442" s="1044" t="str">
        <f>IF(AA442=".",".",SUM($X442:AA442))</f>
        <v>.</v>
      </c>
      <c r="AR442" s="1044" t="str">
        <f>IF(AB442=".",".",SUM($X442:AB442))</f>
        <v>.</v>
      </c>
      <c r="AS442" s="1044" t="str">
        <f>IF(AC442=".",".",SUM($X442:AC442))</f>
        <v>.</v>
      </c>
      <c r="AT442" s="1045" t="str">
        <f>IF(AD442=".",".",SUM($X442:AD442))</f>
        <v>.</v>
      </c>
      <c r="AU442" s="3"/>
      <c r="AV442" s="1055" t="str">
        <f t="shared" si="311"/>
        <v>.</v>
      </c>
      <c r="AW442" s="258" t="str">
        <f t="shared" si="312"/>
        <v>.</v>
      </c>
      <c r="AX442" s="258" t="str">
        <f t="shared" si="313"/>
        <v>.</v>
      </c>
      <c r="AY442" s="258" t="str">
        <f t="shared" si="314"/>
        <v>.</v>
      </c>
      <c r="AZ442" s="258" t="str">
        <f t="shared" si="315"/>
        <v>.</v>
      </c>
      <c r="BA442" s="258" t="str">
        <f t="shared" si="316"/>
        <v>.</v>
      </c>
      <c r="BB442" s="1056" t="str">
        <f t="shared" si="317"/>
        <v>.</v>
      </c>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1:89" x14ac:dyDescent="0.2">
      <c r="A443" s="620"/>
      <c r="B443" s="1092"/>
      <c r="C443" s="1098"/>
      <c r="D443" s="1106" t="s">
        <v>687</v>
      </c>
      <c r="E443" s="1107"/>
      <c r="F443" s="1107"/>
      <c r="G443" s="1107"/>
      <c r="H443" s="1107"/>
      <c r="I443" s="1108"/>
      <c r="J443" s="1127"/>
      <c r="K443" s="1013"/>
      <c r="L443" s="1102"/>
      <c r="M443" s="1102"/>
      <c r="N443" s="1102"/>
      <c r="O443" s="1102"/>
      <c r="P443" s="1102"/>
      <c r="Q443" s="1123"/>
      <c r="R443" s="76"/>
      <c r="S443" s="3"/>
      <c r="T443" s="3"/>
      <c r="U443" s="3"/>
      <c r="V443" s="1035"/>
      <c r="W443" s="3"/>
      <c r="X443" s="1046" t="str">
        <f t="shared" si="297"/>
        <v>.</v>
      </c>
      <c r="Y443" s="1047" t="str">
        <f t="shared" si="298"/>
        <v>.</v>
      </c>
      <c r="Z443" s="1047" t="str">
        <f t="shared" si="299"/>
        <v>.</v>
      </c>
      <c r="AA443" s="1047" t="str">
        <f t="shared" si="300"/>
        <v>.</v>
      </c>
      <c r="AB443" s="1047" t="str">
        <f t="shared" si="301"/>
        <v>.</v>
      </c>
      <c r="AC443" s="1047" t="str">
        <f t="shared" si="302"/>
        <v>.</v>
      </c>
      <c r="AD443" s="1048" t="str">
        <f t="shared" si="303"/>
        <v>.</v>
      </c>
      <c r="AE443" s="3"/>
      <c r="AF443" s="1057" t="str">
        <f t="shared" si="304"/>
        <v>.</v>
      </c>
      <c r="AG443" s="1054" t="str">
        <f t="shared" si="305"/>
        <v>.</v>
      </c>
      <c r="AH443" s="1054" t="str">
        <f t="shared" si="306"/>
        <v>.</v>
      </c>
      <c r="AI443" s="1054" t="str">
        <f t="shared" si="307"/>
        <v>.</v>
      </c>
      <c r="AJ443" s="1054" t="str">
        <f t="shared" si="308"/>
        <v>.</v>
      </c>
      <c r="AK443" s="1054" t="str">
        <f t="shared" si="309"/>
        <v>.</v>
      </c>
      <c r="AL443" s="1058" t="str">
        <f t="shared" si="310"/>
        <v>.</v>
      </c>
      <c r="AM443" s="3"/>
      <c r="AN443" s="1046" t="str">
        <f>IF(X443=".",".",SUM($X443:X443))</f>
        <v>.</v>
      </c>
      <c r="AO443" s="1047" t="str">
        <f>IF(Y443=".",".",SUM($X443:Y443))</f>
        <v>.</v>
      </c>
      <c r="AP443" s="1047" t="str">
        <f>IF(Z443=".",".",SUM($X443:Z443))</f>
        <v>.</v>
      </c>
      <c r="AQ443" s="1047" t="str">
        <f>IF(AA443=".",".",SUM($X443:AA443))</f>
        <v>.</v>
      </c>
      <c r="AR443" s="1047" t="str">
        <f>IF(AB443=".",".",SUM($X443:AB443))</f>
        <v>.</v>
      </c>
      <c r="AS443" s="1047" t="str">
        <f>IF(AC443=".",".",SUM($X443:AC443))</f>
        <v>.</v>
      </c>
      <c r="AT443" s="1048" t="str">
        <f>IF(AD443=".",".",SUM($X443:AD443))</f>
        <v>.</v>
      </c>
      <c r="AU443" s="3"/>
      <c r="AV443" s="1057" t="str">
        <f t="shared" si="311"/>
        <v>.</v>
      </c>
      <c r="AW443" s="1054" t="str">
        <f t="shared" si="312"/>
        <v>.</v>
      </c>
      <c r="AX443" s="1054" t="str">
        <f t="shared" si="313"/>
        <v>.</v>
      </c>
      <c r="AY443" s="1054" t="str">
        <f t="shared" si="314"/>
        <v>.</v>
      </c>
      <c r="AZ443" s="1054" t="str">
        <f t="shared" si="315"/>
        <v>.</v>
      </c>
      <c r="BA443" s="1054" t="str">
        <f t="shared" si="316"/>
        <v>.</v>
      </c>
      <c r="BB443" s="1058" t="str">
        <f t="shared" si="317"/>
        <v>.</v>
      </c>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1:89" x14ac:dyDescent="0.2">
      <c r="A444" s="620"/>
      <c r="B444" s="52"/>
      <c r="C444" s="52"/>
      <c r="D444" s="52"/>
      <c r="E444" s="52"/>
      <c r="F444" s="52"/>
      <c r="G444" s="52"/>
      <c r="H444" s="52"/>
      <c r="I444" s="52"/>
      <c r="J444" s="95"/>
      <c r="K444" s="95"/>
      <c r="L444" s="52"/>
      <c r="M444" s="52"/>
      <c r="N444" s="52"/>
      <c r="O444" s="52"/>
      <c r="P444" s="52"/>
      <c r="Q444" s="52"/>
      <c r="R444" s="76"/>
      <c r="S444" s="3"/>
      <c r="T444" s="3"/>
      <c r="U444" s="3"/>
      <c r="V444" s="1035"/>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row>
    <row r="445" spans="1:89" ht="12.75" customHeight="1" x14ac:dyDescent="0.2">
      <c r="A445" s="620"/>
      <c r="B445" s="3"/>
      <c r="C445" s="3"/>
      <c r="D445" s="3"/>
      <c r="E445" s="3"/>
      <c r="F445" s="3"/>
      <c r="G445" s="3"/>
      <c r="H445" s="3"/>
      <c r="I445" s="3"/>
      <c r="J445" s="16"/>
      <c r="K445" s="16"/>
      <c r="L445" s="3"/>
      <c r="M445" s="3"/>
      <c r="N445" s="3"/>
      <c r="O445" s="3"/>
      <c r="P445" s="3"/>
      <c r="Q445" s="3"/>
      <c r="R445" s="76"/>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row>
    <row r="446" spans="1:89" x14ac:dyDescent="0.2">
      <c r="A446" s="620"/>
      <c r="B446" s="3"/>
      <c r="C446" s="3"/>
      <c r="D446" s="3"/>
      <c r="E446" s="3"/>
      <c r="F446" s="3"/>
      <c r="G446" s="3"/>
      <c r="H446" s="3"/>
      <c r="I446" s="3"/>
      <c r="J446" s="16"/>
      <c r="K446" s="16"/>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row>
    <row r="447" spans="1:89" x14ac:dyDescent="0.2">
      <c r="A447" s="620"/>
      <c r="B447" s="3"/>
      <c r="C447" s="3"/>
      <c r="D447" s="3"/>
      <c r="E447" s="3"/>
      <c r="F447" s="3"/>
      <c r="G447" s="3"/>
      <c r="H447" s="3"/>
      <c r="I447" s="3"/>
      <c r="J447" s="16"/>
      <c r="K447" s="16"/>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row>
    <row r="448" spans="1:89" x14ac:dyDescent="0.2">
      <c r="A448" s="620"/>
      <c r="B448" s="3"/>
      <c r="C448" s="3"/>
      <c r="D448" s="3"/>
      <c r="E448" s="3"/>
      <c r="F448" s="3"/>
      <c r="G448" s="3"/>
      <c r="H448" s="3"/>
      <c r="I448" s="3"/>
      <c r="J448" s="16"/>
      <c r="K448" s="16"/>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row>
    <row r="449" spans="1:63" x14ac:dyDescent="0.2">
      <c r="A449" s="620"/>
      <c r="B449" s="3"/>
      <c r="C449" s="3"/>
      <c r="D449" s="3"/>
      <c r="E449" s="3"/>
      <c r="F449" s="3"/>
      <c r="G449" s="3"/>
      <c r="H449" s="3"/>
      <c r="I449" s="3"/>
      <c r="J449" s="16"/>
      <c r="K449" s="16"/>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row>
    <row r="450" spans="1:63" x14ac:dyDescent="0.2">
      <c r="A450" s="620"/>
      <c r="B450" s="3"/>
      <c r="C450" s="3"/>
      <c r="D450" s="3"/>
      <c r="E450" s="3"/>
      <c r="F450" s="3"/>
      <c r="G450" s="3"/>
      <c r="H450" s="3"/>
      <c r="I450" s="3"/>
      <c r="J450" s="16"/>
      <c r="K450" s="16"/>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row>
    <row r="451" spans="1:63" x14ac:dyDescent="0.2">
      <c r="A451" s="620"/>
      <c r="B451" s="3"/>
      <c r="C451" s="3"/>
      <c r="D451" s="3"/>
      <c r="E451" s="3"/>
      <c r="F451" s="3"/>
      <c r="G451" s="3"/>
      <c r="H451" s="3"/>
      <c r="I451" s="3"/>
      <c r="J451" s="16"/>
      <c r="K451" s="16"/>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row>
    <row r="452" spans="1:63" x14ac:dyDescent="0.2">
      <c r="A452" s="620"/>
      <c r="B452" s="3"/>
      <c r="C452" s="3"/>
      <c r="D452" s="3"/>
      <c r="E452" s="3"/>
      <c r="F452" s="3"/>
      <c r="G452" s="3"/>
      <c r="H452" s="3"/>
      <c r="I452" s="3"/>
      <c r="J452" s="16"/>
      <c r="K452" s="16"/>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row>
    <row r="453" spans="1:63" x14ac:dyDescent="0.2">
      <c r="A453" s="620"/>
      <c r="B453" s="3"/>
      <c r="C453" s="3"/>
      <c r="D453" s="3"/>
      <c r="E453" s="3"/>
      <c r="F453" s="3"/>
      <c r="G453" s="3"/>
      <c r="H453" s="3"/>
      <c r="I453" s="3"/>
      <c r="J453" s="16"/>
      <c r="K453" s="16"/>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row>
    <row r="454" spans="1:63" x14ac:dyDescent="0.2">
      <c r="A454" s="620"/>
      <c r="B454" s="3"/>
      <c r="C454" s="3"/>
      <c r="D454" s="3"/>
      <c r="E454" s="3"/>
      <c r="F454" s="3"/>
      <c r="G454" s="3"/>
      <c r="H454" s="3"/>
      <c r="I454" s="3"/>
      <c r="J454" s="16"/>
      <c r="K454" s="16"/>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row>
    <row r="455" spans="1:63" x14ac:dyDescent="0.2">
      <c r="A455" s="620"/>
      <c r="B455" s="3"/>
      <c r="C455" s="3"/>
      <c r="D455" s="3"/>
      <c r="E455" s="3"/>
      <c r="F455" s="3"/>
      <c r="G455" s="3"/>
      <c r="H455" s="3"/>
      <c r="I455" s="3"/>
      <c r="J455" s="16"/>
      <c r="K455" s="16"/>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row>
    <row r="456" spans="1:63" x14ac:dyDescent="0.2">
      <c r="A456" s="620"/>
      <c r="B456" s="3"/>
      <c r="C456" s="3"/>
      <c r="D456" s="3"/>
      <c r="E456" s="3"/>
      <c r="F456" s="3"/>
      <c r="G456" s="3"/>
      <c r="H456" s="3"/>
      <c r="I456" s="3"/>
      <c r="J456" s="16"/>
      <c r="K456" s="16"/>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row>
    <row r="457" spans="1:63" x14ac:dyDescent="0.2">
      <c r="A457" s="620"/>
      <c r="B457" s="3"/>
      <c r="C457" s="3"/>
      <c r="D457" s="3"/>
      <c r="E457" s="3"/>
      <c r="F457" s="3"/>
      <c r="G457" s="3"/>
      <c r="H457" s="3"/>
      <c r="I457" s="3"/>
      <c r="J457" s="16"/>
      <c r="K457" s="16"/>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row>
    <row r="458" spans="1:63" x14ac:dyDescent="0.2">
      <c r="A458" s="620"/>
      <c r="B458" s="3"/>
      <c r="C458" s="3"/>
      <c r="D458" s="3"/>
      <c r="E458" s="3"/>
      <c r="F458" s="3"/>
      <c r="G458" s="3"/>
      <c r="H458" s="3"/>
      <c r="I458" s="3"/>
      <c r="J458" s="16"/>
      <c r="K458" s="16"/>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row>
    <row r="459" spans="1:63" x14ac:dyDescent="0.2">
      <c r="A459" s="620"/>
      <c r="B459" s="3"/>
      <c r="C459" s="3"/>
      <c r="D459" s="3"/>
      <c r="E459" s="3"/>
      <c r="F459" s="3"/>
      <c r="G459" s="3"/>
      <c r="H459" s="3"/>
      <c r="I459" s="3"/>
      <c r="J459" s="16"/>
      <c r="K459" s="16"/>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row>
    <row r="460" spans="1:63" x14ac:dyDescent="0.2">
      <c r="A460" s="620"/>
      <c r="B460" s="3"/>
      <c r="C460" s="3"/>
      <c r="D460" s="3"/>
      <c r="E460" s="3"/>
      <c r="F460" s="3"/>
      <c r="G460" s="3"/>
      <c r="H460" s="3"/>
      <c r="I460" s="3"/>
      <c r="J460" s="16"/>
      <c r="K460" s="16"/>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row>
    <row r="461" spans="1:63" x14ac:dyDescent="0.2">
      <c r="A461" s="620"/>
      <c r="B461" s="3"/>
      <c r="C461" s="3"/>
      <c r="D461" s="3"/>
      <c r="E461" s="3"/>
      <c r="F461" s="3"/>
      <c r="G461" s="3"/>
      <c r="H461" s="3"/>
      <c r="I461" s="3"/>
      <c r="J461" s="16"/>
      <c r="K461" s="16"/>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row>
    <row r="462" spans="1:63" x14ac:dyDescent="0.2">
      <c r="A462" s="620"/>
      <c r="B462" s="3"/>
      <c r="C462" s="3"/>
      <c r="D462" s="3"/>
      <c r="E462" s="3"/>
      <c r="F462" s="3"/>
      <c r="G462" s="3"/>
      <c r="H462" s="3"/>
      <c r="I462" s="3"/>
      <c r="J462" s="16"/>
      <c r="K462" s="16"/>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row>
    <row r="463" spans="1:63" x14ac:dyDescent="0.2">
      <c r="A463" s="620"/>
      <c r="B463" s="3"/>
      <c r="C463" s="3"/>
      <c r="D463" s="3"/>
      <c r="E463" s="3"/>
      <c r="F463" s="3"/>
      <c r="G463" s="3"/>
      <c r="H463" s="3"/>
      <c r="I463" s="3"/>
      <c r="J463" s="16"/>
      <c r="K463" s="16"/>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row>
    <row r="464" spans="1:63" x14ac:dyDescent="0.2">
      <c r="A464" s="620"/>
      <c r="B464" s="3"/>
      <c r="C464" s="3"/>
      <c r="D464" s="3"/>
      <c r="E464" s="3"/>
      <c r="F464" s="3"/>
      <c r="G464" s="3"/>
      <c r="H464" s="3"/>
      <c r="I464" s="3"/>
      <c r="J464" s="16"/>
      <c r="K464" s="16"/>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row>
    <row r="465" spans="1:63" x14ac:dyDescent="0.2">
      <c r="A465" s="620"/>
      <c r="B465" s="3"/>
      <c r="C465" s="3"/>
      <c r="D465" s="3"/>
      <c r="E465" s="3"/>
      <c r="F465" s="3"/>
      <c r="G465" s="3"/>
      <c r="H465" s="3"/>
      <c r="I465" s="3"/>
      <c r="J465" s="16"/>
      <c r="K465" s="16"/>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row>
    <row r="466" spans="1:63" x14ac:dyDescent="0.2">
      <c r="A466" s="620"/>
      <c r="B466" s="3"/>
      <c r="C466" s="3"/>
      <c r="D466" s="3"/>
      <c r="E466" s="3"/>
      <c r="F466" s="3"/>
      <c r="G466" s="3"/>
      <c r="H466" s="3"/>
      <c r="I466" s="3"/>
      <c r="J466" s="16"/>
      <c r="K466" s="16"/>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row>
    <row r="467" spans="1:63" x14ac:dyDescent="0.2">
      <c r="A467" s="620"/>
      <c r="B467" s="3"/>
      <c r="C467" s="3"/>
      <c r="D467" s="3"/>
      <c r="E467" s="3"/>
      <c r="F467" s="3"/>
      <c r="G467" s="3"/>
      <c r="H467" s="3"/>
      <c r="I467" s="3"/>
      <c r="J467" s="16"/>
      <c r="K467" s="16"/>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row>
    <row r="468" spans="1:63" x14ac:dyDescent="0.2">
      <c r="A468" s="620"/>
      <c r="B468" s="3"/>
      <c r="C468" s="3"/>
      <c r="D468" s="3"/>
      <c r="E468" s="3"/>
      <c r="F468" s="3"/>
      <c r="G468" s="3"/>
      <c r="H468" s="3"/>
      <c r="I468" s="3"/>
      <c r="J468" s="16"/>
      <c r="K468" s="16"/>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row>
    <row r="469" spans="1:63" x14ac:dyDescent="0.2">
      <c r="A469" s="620"/>
      <c r="B469" s="3"/>
      <c r="C469" s="3"/>
      <c r="D469" s="3"/>
      <c r="E469" s="3"/>
      <c r="F469" s="3"/>
      <c r="G469" s="3"/>
      <c r="H469" s="3"/>
      <c r="I469" s="3"/>
      <c r="J469" s="16"/>
      <c r="K469" s="16"/>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row>
    <row r="470" spans="1:63" x14ac:dyDescent="0.2">
      <c r="A470" s="620"/>
      <c r="B470" s="3"/>
      <c r="C470" s="3"/>
      <c r="D470" s="3"/>
      <c r="E470" s="3"/>
      <c r="F470" s="3"/>
      <c r="G470" s="3"/>
      <c r="H470" s="3"/>
      <c r="I470" s="3"/>
      <c r="J470" s="16"/>
      <c r="K470" s="16"/>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row>
    <row r="471" spans="1:63" x14ac:dyDescent="0.2">
      <c r="A471" s="620"/>
      <c r="B471" s="3"/>
      <c r="C471" s="3"/>
      <c r="D471" s="3"/>
      <c r="E471" s="3"/>
      <c r="F471" s="3"/>
      <c r="G471" s="3"/>
      <c r="H471" s="3"/>
      <c r="I471" s="3"/>
      <c r="J471" s="16"/>
      <c r="K471" s="16"/>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row>
    <row r="472" spans="1:63" x14ac:dyDescent="0.2">
      <c r="A472" s="620"/>
      <c r="B472" s="3"/>
      <c r="C472" s="3"/>
      <c r="D472" s="3"/>
      <c r="E472" s="3"/>
      <c r="F472" s="3"/>
      <c r="G472" s="3"/>
      <c r="H472" s="3"/>
      <c r="I472" s="3"/>
      <c r="J472" s="16"/>
      <c r="K472" s="16"/>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row>
    <row r="473" spans="1:63" x14ac:dyDescent="0.2">
      <c r="A473" s="620"/>
      <c r="B473" s="3"/>
      <c r="C473" s="3"/>
      <c r="D473" s="3"/>
      <c r="E473" s="3"/>
      <c r="F473" s="3"/>
      <c r="G473" s="3"/>
      <c r="H473" s="3"/>
      <c r="I473" s="3"/>
      <c r="J473" s="16"/>
      <c r="K473" s="16"/>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row>
    <row r="474" spans="1:63" x14ac:dyDescent="0.2">
      <c r="A474" s="620"/>
      <c r="B474" s="3"/>
      <c r="C474" s="3"/>
      <c r="D474" s="3"/>
      <c r="E474" s="3"/>
      <c r="F474" s="3"/>
      <c r="G474" s="3"/>
      <c r="H474" s="3"/>
      <c r="I474" s="3"/>
      <c r="J474" s="16"/>
      <c r="K474" s="16"/>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row>
    <row r="475" spans="1:63" x14ac:dyDescent="0.2">
      <c r="A475" s="620"/>
      <c r="B475" s="3"/>
      <c r="C475" s="3"/>
      <c r="D475" s="3"/>
      <c r="E475" s="3"/>
      <c r="F475" s="3"/>
      <c r="G475" s="3"/>
      <c r="H475" s="3"/>
      <c r="I475" s="3"/>
      <c r="J475" s="16"/>
      <c r="K475" s="16"/>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row>
    <row r="476" spans="1:63" x14ac:dyDescent="0.2">
      <c r="A476" s="620"/>
      <c r="B476" s="3"/>
      <c r="C476" s="3"/>
      <c r="D476" s="3"/>
      <c r="E476" s="3"/>
      <c r="F476" s="3"/>
      <c r="G476" s="3"/>
      <c r="H476" s="3"/>
      <c r="I476" s="3"/>
      <c r="J476" s="16"/>
      <c r="K476" s="16"/>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row>
    <row r="477" spans="1:63" x14ac:dyDescent="0.2">
      <c r="A477" s="620"/>
      <c r="B477" s="3"/>
      <c r="C477" s="3"/>
      <c r="D477" s="3"/>
      <c r="E477" s="3"/>
      <c r="F477" s="3"/>
      <c r="G477" s="3"/>
      <c r="H477" s="3"/>
      <c r="I477" s="3"/>
      <c r="J477" s="16"/>
      <c r="K477" s="16"/>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row>
    <row r="478" spans="1:63" x14ac:dyDescent="0.2">
      <c r="A478" s="620"/>
      <c r="B478" s="3"/>
      <c r="C478" s="3"/>
      <c r="D478" s="3"/>
      <c r="E478" s="3"/>
      <c r="F478" s="3"/>
      <c r="G478" s="3"/>
      <c r="H478" s="3"/>
      <c r="I478" s="3"/>
      <c r="J478" s="16"/>
      <c r="K478" s="16"/>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row>
    <row r="479" spans="1:63" x14ac:dyDescent="0.2">
      <c r="A479" s="620"/>
      <c r="B479" s="3"/>
      <c r="C479" s="3"/>
      <c r="D479" s="3"/>
      <c r="E479" s="3"/>
      <c r="F479" s="3"/>
      <c r="G479" s="3"/>
      <c r="H479" s="3"/>
      <c r="I479" s="3"/>
      <c r="J479" s="16"/>
      <c r="K479" s="16"/>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row>
    <row r="480" spans="1:63" x14ac:dyDescent="0.2">
      <c r="A480" s="620"/>
      <c r="B480" s="3"/>
      <c r="C480" s="3"/>
      <c r="D480" s="3"/>
      <c r="E480" s="3"/>
      <c r="F480" s="3"/>
      <c r="G480" s="3"/>
      <c r="H480" s="3"/>
      <c r="I480" s="3"/>
      <c r="J480" s="16"/>
      <c r="K480" s="16"/>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row>
    <row r="481" spans="1:63" x14ac:dyDescent="0.2">
      <c r="A481" s="620"/>
      <c r="B481" s="3"/>
      <c r="C481" s="3"/>
      <c r="D481" s="3"/>
      <c r="E481" s="3"/>
      <c r="F481" s="3"/>
      <c r="G481" s="3"/>
      <c r="H481" s="3"/>
      <c r="I481" s="3"/>
      <c r="J481" s="16"/>
      <c r="K481" s="16"/>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row>
    <row r="482" spans="1:63" x14ac:dyDescent="0.2">
      <c r="A482" s="620"/>
      <c r="B482" s="3"/>
      <c r="C482" s="3"/>
      <c r="D482" s="3"/>
      <c r="E482" s="3"/>
      <c r="F482" s="3"/>
      <c r="G482" s="3"/>
      <c r="H482" s="3"/>
      <c r="I482" s="3"/>
      <c r="J482" s="16"/>
      <c r="K482" s="16"/>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row>
    <row r="483" spans="1:63" x14ac:dyDescent="0.2">
      <c r="A483" s="620"/>
      <c r="B483" s="3"/>
      <c r="C483" s="3"/>
      <c r="D483" s="3"/>
      <c r="E483" s="3"/>
      <c r="F483" s="3"/>
      <c r="G483" s="3"/>
      <c r="H483" s="3"/>
      <c r="I483" s="3"/>
      <c r="J483" s="16"/>
      <c r="K483" s="16"/>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row>
    <row r="484" spans="1:63" x14ac:dyDescent="0.2">
      <c r="A484" s="620"/>
      <c r="B484" s="3"/>
      <c r="C484" s="3"/>
      <c r="D484" s="3"/>
      <c r="E484" s="3"/>
      <c r="F484" s="3"/>
      <c r="G484" s="3"/>
      <c r="H484" s="3"/>
      <c r="I484" s="3"/>
      <c r="J484" s="16"/>
      <c r="K484" s="16"/>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row>
    <row r="485" spans="1:63" x14ac:dyDescent="0.2">
      <c r="A485" s="620"/>
      <c r="B485" s="3"/>
      <c r="C485" s="3"/>
      <c r="D485" s="3"/>
      <c r="E485" s="3"/>
      <c r="F485" s="3"/>
      <c r="G485" s="3"/>
      <c r="H485" s="3"/>
      <c r="I485" s="3"/>
      <c r="J485" s="16"/>
      <c r="K485" s="16"/>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row>
    <row r="486" spans="1:63" x14ac:dyDescent="0.2">
      <c r="A486" s="620"/>
      <c r="B486" s="3"/>
      <c r="C486" s="3"/>
      <c r="D486" s="3"/>
      <c r="E486" s="3"/>
      <c r="F486" s="3"/>
      <c r="G486" s="3"/>
      <c r="H486" s="3"/>
      <c r="I486" s="3"/>
      <c r="J486" s="16"/>
      <c r="K486" s="16"/>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row>
    <row r="487" spans="1:63" x14ac:dyDescent="0.2">
      <c r="A487" s="620"/>
      <c r="B487" s="3"/>
      <c r="C487" s="3"/>
      <c r="D487" s="3"/>
      <c r="E487" s="3"/>
      <c r="F487" s="3"/>
      <c r="G487" s="3"/>
      <c r="H487" s="3"/>
      <c r="I487" s="3"/>
      <c r="J487" s="16"/>
      <c r="K487" s="16"/>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row>
    <row r="488" spans="1:63" x14ac:dyDescent="0.2">
      <c r="A488" s="620"/>
      <c r="B488" s="3"/>
      <c r="C488" s="3"/>
      <c r="D488" s="3"/>
      <c r="E488" s="3"/>
      <c r="F488" s="3"/>
      <c r="G488" s="3"/>
      <c r="H488" s="3"/>
      <c r="I488" s="3"/>
      <c r="J488" s="16"/>
      <c r="K488" s="16"/>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row>
    <row r="489" spans="1:63" x14ac:dyDescent="0.2">
      <c r="A489" s="620"/>
      <c r="B489" s="3"/>
      <c r="C489" s="3"/>
      <c r="D489" s="3"/>
      <c r="E489" s="3"/>
      <c r="F489" s="3"/>
      <c r="G489" s="3"/>
      <c r="H489" s="3"/>
      <c r="I489" s="3"/>
      <c r="J489" s="16"/>
      <c r="K489" s="16"/>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row>
    <row r="490" spans="1:63" x14ac:dyDescent="0.2">
      <c r="A490" s="620"/>
      <c r="B490" s="3"/>
      <c r="C490" s="3"/>
      <c r="D490" s="3"/>
      <c r="E490" s="3"/>
      <c r="F490" s="3"/>
      <c r="G490" s="3"/>
      <c r="H490" s="3"/>
      <c r="I490" s="3"/>
      <c r="J490" s="16"/>
      <c r="K490" s="16"/>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row>
  </sheetData>
  <sheetProtection algorithmName="SHA-512" hashValue="4NNYJdbTGLjrKdXsFQI7iWZv48kq8Qj+gerTeMhHrD/5pClHHKVaZB/tH5eqfOIP47bpJvslP2C+IvNo3d08ag==" saltValue="dXmUkvUp7cZEi6y+e1Nl1w==" spinCount="100000" sheet="1" formatColumns="0" formatRows="0"/>
  <phoneticPr fontId="12" type="noConversion"/>
  <dataValidations disablePrompts="1" count="1">
    <dataValidation type="decimal" operator="greaterThan" allowBlank="1" showInputMessage="1" showErrorMessage="1" errorTitle="Minimum Amounts" error="Enter the proposed minimum amount for each category or sub-category." sqref="M86:M95 O86:O95 O77:O84 M77:M84 K77:K84 K86:K95">
      <formula1>0</formula1>
    </dataValidation>
  </dataValidations>
  <printOptions horizontalCentered="1"/>
  <pageMargins left="0.31496062992125984" right="0.31496062992125984" top="0.35433070866141736" bottom="0.35433070866141736" header="0.11811023622047245" footer="0.11811023622047245"/>
  <pageSetup paperSize="9" scale="71" fitToWidth="2" fitToHeight="0" pageOrder="overThenDown" orientation="landscape" r:id="rId1"/>
  <headerFooter alignWithMargins="0">
    <oddHeader>&amp;C&amp;"Calibri"&amp;10&amp;KFF0000 UNOFFICIAL&amp;1#_x000D_</oddHeader>
    <oddFooter>&amp;C_x000D_&amp;1#&amp;"Calibri"&amp;10&amp;KFF0000 UNOFFICIAL</oddFooter>
  </headerFooter>
  <colBreaks count="1" manualBreakCount="1">
    <brk id="23" min="1" max="416"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L249"/>
  <sheetViews>
    <sheetView showGridLines="0" topLeftCell="A125" workbookViewId="0">
      <selection activeCell="B59" sqref="B59"/>
    </sheetView>
  </sheetViews>
  <sheetFormatPr defaultRowHeight="12" outlineLevelRow="1" outlineLevelCol="1" x14ac:dyDescent="0.2"/>
  <cols>
    <col min="1" max="1" width="2.7109375" style="621" customWidth="1"/>
    <col min="2" max="2" width="51.85546875" customWidth="1"/>
    <col min="3" max="3" width="2.28515625" customWidth="1"/>
    <col min="4" max="4" width="13.7109375" customWidth="1"/>
    <col min="5" max="9" width="4.85546875" hidden="1" customWidth="1" outlineLevel="1"/>
    <col min="10" max="10" width="4.85546875" customWidth="1" collapsed="1"/>
    <col min="11" max="12" width="12.7109375" customWidth="1"/>
    <col min="13" max="13" width="13.42578125" customWidth="1"/>
    <col min="14" max="20" width="12.7109375" customWidth="1"/>
    <col min="21" max="21" width="19.85546875" customWidth="1"/>
    <col min="22" max="22" width="5.7109375" customWidth="1"/>
    <col min="23" max="23" width="9.85546875" bestFit="1" customWidth="1"/>
    <col min="24" max="24" width="15.42578125" customWidth="1"/>
    <col min="26" max="26" width="15" hidden="1" customWidth="1" outlineLevel="1"/>
    <col min="27" max="27" width="8.85546875" collapsed="1"/>
    <col min="29" max="38" width="9"/>
  </cols>
  <sheetData>
    <row r="1" spans="1:38" ht="12.75" thickBot="1" x14ac:dyDescent="0.25">
      <c r="A1" s="620">
        <v>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row>
    <row r="2" spans="1:38" s="58" customFormat="1" ht="15.75" x14ac:dyDescent="0.25">
      <c r="A2" s="627"/>
      <c r="B2" s="1590" t="str">
        <f>'WS1-Application'!B2</f>
        <v>APPLICATION FOR SPECIAL VARIATION - WILLOUGHBY CITY COUNCIL</v>
      </c>
      <c r="C2" s="1591"/>
      <c r="D2" s="1591"/>
      <c r="E2" s="1591"/>
      <c r="F2" s="1591"/>
      <c r="G2" s="1591"/>
      <c r="H2" s="1591"/>
      <c r="I2" s="1591"/>
      <c r="J2" s="1591"/>
      <c r="K2" s="1591"/>
      <c r="L2" s="1591"/>
      <c r="M2" s="1591"/>
      <c r="N2" s="1591"/>
      <c r="O2" s="1591"/>
      <c r="P2" s="1591"/>
      <c r="Q2" s="1591"/>
      <c r="R2" s="1591"/>
      <c r="S2" s="1591"/>
      <c r="T2" s="1591"/>
      <c r="U2" s="1592"/>
      <c r="V2" s="49"/>
      <c r="W2" s="49"/>
      <c r="X2" s="49"/>
      <c r="Y2" s="49"/>
      <c r="Z2" s="49"/>
      <c r="AA2" s="49"/>
      <c r="AB2" s="49"/>
      <c r="AC2" s="49"/>
      <c r="AD2" s="49"/>
      <c r="AE2" s="49"/>
      <c r="AF2" s="49"/>
      <c r="AG2" s="49"/>
      <c r="AH2" s="49"/>
      <c r="AI2" s="49"/>
      <c r="AJ2" s="49"/>
      <c r="AK2" s="49"/>
      <c r="AL2" s="49"/>
    </row>
    <row r="3" spans="1:38" s="58" customFormat="1" ht="15" x14ac:dyDescent="0.2">
      <c r="A3" s="627"/>
      <c r="B3" s="1574"/>
      <c r="C3" s="1494"/>
      <c r="D3" s="1494"/>
      <c r="E3" s="1494"/>
      <c r="F3" s="1494"/>
      <c r="G3" s="1494"/>
      <c r="H3" s="1494"/>
      <c r="I3" s="1494"/>
      <c r="J3" s="1494"/>
      <c r="K3" s="1494"/>
      <c r="L3" s="1494"/>
      <c r="M3" s="1494"/>
      <c r="N3" s="1494"/>
      <c r="O3" s="1494"/>
      <c r="P3" s="1494"/>
      <c r="Q3" s="1494"/>
      <c r="R3" s="1494"/>
      <c r="S3" s="1494"/>
      <c r="T3" s="1494"/>
      <c r="U3" s="1563"/>
      <c r="V3" s="49"/>
      <c r="W3" s="49"/>
      <c r="X3" s="3"/>
      <c r="Y3" s="49"/>
      <c r="Z3" s="49"/>
      <c r="AA3" s="49"/>
      <c r="AB3" s="49"/>
      <c r="AC3" s="49"/>
      <c r="AD3" s="49"/>
      <c r="AE3" s="49"/>
      <c r="AF3" s="49"/>
      <c r="AG3" s="49"/>
      <c r="AH3" s="49"/>
      <c r="AI3" s="49"/>
      <c r="AJ3" s="49"/>
      <c r="AK3" s="49"/>
      <c r="AL3" s="49"/>
    </row>
    <row r="4" spans="1:38" s="58" customFormat="1" ht="17.25" customHeight="1" thickBot="1" x14ac:dyDescent="0.3">
      <c r="A4" s="627"/>
      <c r="B4" s="1553" t="str">
        <f>"WORKSHEET "&amp;A1&amp;": PROPOSED ADDITIONAL SPECIAL VARIATION INCOME AND EXPENDITURE"</f>
        <v>WORKSHEET 8: PROPOSED ADDITIONAL SPECIAL VARIATION INCOME AND EXPENDITURE</v>
      </c>
      <c r="C4" s="1593"/>
      <c r="D4" s="1593"/>
      <c r="E4" s="1593"/>
      <c r="F4" s="1593"/>
      <c r="G4" s="1593"/>
      <c r="H4" s="1593"/>
      <c r="I4" s="1593"/>
      <c r="J4" s="1593"/>
      <c r="K4" s="1593"/>
      <c r="L4" s="1593"/>
      <c r="M4" s="1593"/>
      <c r="N4" s="1593"/>
      <c r="O4" s="1593"/>
      <c r="P4" s="1593"/>
      <c r="Q4" s="1593"/>
      <c r="R4" s="1593"/>
      <c r="S4" s="1593"/>
      <c r="T4" s="1593"/>
      <c r="U4" s="1594"/>
      <c r="V4" s="49"/>
      <c r="W4" s="49"/>
      <c r="X4" s="49"/>
      <c r="Y4" s="49"/>
      <c r="Z4" s="49"/>
      <c r="AA4" s="49"/>
      <c r="AB4" s="49"/>
      <c r="AC4" s="49"/>
      <c r="AD4" s="49"/>
      <c r="AE4" s="49"/>
      <c r="AF4" s="49"/>
      <c r="AG4" s="49"/>
      <c r="AH4" s="49"/>
      <c r="AI4" s="49"/>
      <c r="AJ4" s="49"/>
      <c r="AK4" s="49"/>
      <c r="AL4" s="49"/>
    </row>
    <row r="5" spans="1:38" s="58" customFormat="1" ht="12" customHeight="1" x14ac:dyDescent="0.2">
      <c r="A5" s="627"/>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row>
    <row r="6" spans="1:38" s="58" customFormat="1" ht="12" customHeight="1" x14ac:dyDescent="0.2">
      <c r="A6" s="627"/>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row>
    <row r="7" spans="1:38" s="58" customFormat="1" ht="15.75" x14ac:dyDescent="0.25">
      <c r="A7" s="627"/>
      <c r="B7" s="461" t="s">
        <v>496</v>
      </c>
      <c r="C7" s="49"/>
      <c r="D7" s="49"/>
      <c r="E7" s="49"/>
      <c r="F7" s="49"/>
      <c r="G7" s="49"/>
      <c r="H7" s="49"/>
      <c r="I7" s="49"/>
      <c r="J7" s="49"/>
      <c r="K7" s="22"/>
      <c r="L7" s="49"/>
      <c r="M7" s="22"/>
      <c r="O7" s="22"/>
      <c r="P7" s="22"/>
      <c r="Q7" s="22"/>
      <c r="R7" s="22"/>
      <c r="S7" s="22"/>
      <c r="T7" s="22"/>
      <c r="U7" s="22"/>
      <c r="V7" s="22"/>
      <c r="W7" s="49"/>
      <c r="X7" s="3"/>
      <c r="Y7" s="49"/>
      <c r="Z7" s="49"/>
      <c r="AA7" s="49"/>
      <c r="AB7" s="49"/>
      <c r="AC7" s="49"/>
      <c r="AD7" s="49"/>
      <c r="AE7" s="49"/>
      <c r="AF7" s="49"/>
      <c r="AG7" s="49"/>
      <c r="AH7" s="49"/>
      <c r="AI7" s="49"/>
      <c r="AJ7" s="49"/>
      <c r="AK7" s="49"/>
      <c r="AL7" s="49"/>
    </row>
    <row r="8" spans="1:38" s="58" customFormat="1" ht="15" x14ac:dyDescent="0.2">
      <c r="A8" s="627"/>
      <c r="B8" s="1332" t="str">
        <f>"- If the council is applying for a MR increase only, then tables "&amp;A1&amp;"."&amp;A35&amp;", "&amp;A1&amp;"."&amp;A74&amp;" AND "&amp;A1&amp;"."&amp;A146&amp;" DO NOT APPLY - LEAVE BLUE INPUT CELLS BLANK"</f>
        <v>- If the council is applying for a MR increase only, then tables 8.2, 8.3 AND 8.4 DO NOT APPLY - LEAVE BLUE INPUT CELLS BLANK</v>
      </c>
      <c r="C8" s="1155"/>
      <c r="D8" s="1155"/>
      <c r="E8" s="1155"/>
      <c r="F8" s="1155"/>
      <c r="G8" s="1155"/>
      <c r="H8" s="1155"/>
      <c r="I8" s="1155"/>
      <c r="J8" s="1155"/>
      <c r="K8" s="944"/>
      <c r="L8" s="1155"/>
      <c r="M8" s="1155"/>
      <c r="N8" s="944"/>
      <c r="O8" s="675"/>
      <c r="P8" s="675"/>
      <c r="Q8" s="675"/>
      <c r="R8" s="675"/>
      <c r="S8" s="675"/>
      <c r="T8" s="1156"/>
      <c r="U8" s="1157"/>
      <c r="V8" s="84"/>
      <c r="W8" s="49"/>
      <c r="X8" s="49"/>
      <c r="Y8" s="49"/>
      <c r="Z8" s="49"/>
      <c r="AA8" s="49"/>
      <c r="AB8" s="49"/>
      <c r="AC8" s="49"/>
      <c r="AD8" s="49"/>
      <c r="AE8" s="49"/>
      <c r="AF8" s="49"/>
      <c r="AG8" s="49"/>
      <c r="AH8" s="49"/>
      <c r="AI8" s="49"/>
      <c r="AJ8" s="49"/>
      <c r="AK8" s="49"/>
      <c r="AL8" s="49"/>
    </row>
    <row r="9" spans="1:38" s="58" customFormat="1" ht="12" customHeight="1" x14ac:dyDescent="0.2">
      <c r="A9" s="627"/>
      <c r="B9" s="1440" t="s">
        <v>710</v>
      </c>
      <c r="C9" s="49"/>
      <c r="D9" s="49"/>
      <c r="E9" s="49"/>
      <c r="F9" s="49"/>
      <c r="G9" s="49"/>
      <c r="H9" s="49"/>
      <c r="I9" s="49"/>
      <c r="J9" s="49"/>
      <c r="L9" s="49"/>
      <c r="M9" s="49"/>
      <c r="N9" s="84"/>
      <c r="O9" s="84"/>
      <c r="P9" s="84"/>
      <c r="Q9" s="84"/>
      <c r="R9" s="84"/>
      <c r="S9" s="84"/>
      <c r="T9" s="84"/>
      <c r="U9" s="572"/>
      <c r="V9" s="84"/>
      <c r="W9" s="49"/>
      <c r="X9" s="49"/>
      <c r="Y9" s="49"/>
      <c r="Z9" s="49"/>
      <c r="AA9" s="49"/>
      <c r="AB9" s="49"/>
      <c r="AC9" s="49"/>
      <c r="AD9" s="49"/>
      <c r="AE9" s="49"/>
      <c r="AF9" s="49"/>
      <c r="AG9" s="49"/>
      <c r="AH9" s="49"/>
      <c r="AI9" s="49"/>
      <c r="AJ9" s="49"/>
      <c r="AK9" s="49"/>
      <c r="AL9" s="49"/>
    </row>
    <row r="10" spans="1:38" s="58" customFormat="1" ht="14.25" customHeight="1" x14ac:dyDescent="0.2">
      <c r="A10" s="627"/>
      <c r="B10" s="605" t="s">
        <v>973</v>
      </c>
      <c r="C10" s="49"/>
      <c r="D10" s="49"/>
      <c r="E10" s="49"/>
      <c r="F10" s="49"/>
      <c r="G10" s="49"/>
      <c r="H10" s="49"/>
      <c r="I10" s="49"/>
      <c r="J10" s="49"/>
      <c r="K10" s="84"/>
      <c r="L10" s="49"/>
      <c r="M10" s="49"/>
      <c r="N10" s="84"/>
      <c r="O10" s="84"/>
      <c r="P10" s="84"/>
      <c r="Q10" s="84"/>
      <c r="R10" s="84"/>
      <c r="S10" s="84"/>
      <c r="T10" s="84"/>
      <c r="U10" s="572"/>
      <c r="V10" s="84"/>
      <c r="W10" s="49"/>
      <c r="X10" s="49"/>
      <c r="Y10" s="49"/>
      <c r="Z10" s="49"/>
      <c r="AA10" s="49"/>
      <c r="AB10" s="49"/>
      <c r="AC10" s="49"/>
      <c r="AD10" s="49"/>
      <c r="AE10" s="49"/>
      <c r="AF10" s="49"/>
      <c r="AG10" s="49"/>
      <c r="AH10" s="49"/>
      <c r="AI10" s="49"/>
      <c r="AJ10" s="49"/>
      <c r="AK10" s="49"/>
      <c r="AL10" s="49"/>
    </row>
    <row r="11" spans="1:38" s="58" customFormat="1" ht="15" x14ac:dyDescent="0.2">
      <c r="A11" s="627"/>
      <c r="B11" s="1159" t="str">
        <f>"&gt; Enter the proposed spending over "&amp;IF($K$19='WS0 - Input data'!$B$244,10,K20)&amp;" years under each of the headings as relevant."</f>
        <v>&gt; Enter the proposed spending over 10 years under each of the headings as relevant.</v>
      </c>
      <c r="C11" s="49"/>
      <c r="D11" s="49"/>
      <c r="E11" s="49"/>
      <c r="F11" s="49"/>
      <c r="G11" s="49"/>
      <c r="H11" s="49"/>
      <c r="I11" s="49"/>
      <c r="J11" s="49"/>
      <c r="L11" s="49"/>
      <c r="M11" s="49"/>
      <c r="O11"/>
      <c r="P11"/>
      <c r="Q11"/>
      <c r="R11"/>
      <c r="S11"/>
      <c r="T11" s="84"/>
      <c r="U11" s="572"/>
      <c r="V11" s="84"/>
      <c r="W11" s="49"/>
      <c r="X11" s="49"/>
      <c r="Y11" s="49"/>
      <c r="Z11" s="49"/>
      <c r="AA11" s="49"/>
      <c r="AB11" s="49"/>
      <c r="AC11" s="49"/>
      <c r="AD11" s="49"/>
      <c r="AE11" s="49"/>
      <c r="AF11" s="49"/>
      <c r="AG11" s="49"/>
      <c r="AH11" s="49"/>
      <c r="AI11" s="49"/>
      <c r="AJ11" s="49"/>
      <c r="AK11" s="49"/>
      <c r="AL11" s="49"/>
    </row>
    <row r="12" spans="1:38" s="58" customFormat="1" ht="16.5" customHeight="1" x14ac:dyDescent="0.25">
      <c r="A12" s="627"/>
      <c r="B12" s="1158" t="s">
        <v>499</v>
      </c>
      <c r="C12" s="49"/>
      <c r="D12" s="49"/>
      <c r="E12" s="49"/>
      <c r="F12" s="49"/>
      <c r="G12" s="49"/>
      <c r="H12" s="49"/>
      <c r="I12" s="49"/>
      <c r="J12" s="49"/>
      <c r="L12" s="49"/>
      <c r="M12" s="49"/>
      <c r="N12" s="84"/>
      <c r="O12" s="84"/>
      <c r="P12" s="84"/>
      <c r="Q12" s="84"/>
      <c r="R12" s="84"/>
      <c r="S12" s="84"/>
      <c r="T12" s="84"/>
      <c r="U12" s="572"/>
      <c r="V12" s="84"/>
      <c r="W12" s="49"/>
      <c r="X12"/>
      <c r="Y12" s="275"/>
      <c r="Z12"/>
      <c r="AA12" s="276"/>
      <c r="AB12" s="276"/>
      <c r="AC12" s="49"/>
      <c r="AD12" s="49"/>
      <c r="AE12" s="49"/>
      <c r="AF12" s="49"/>
      <c r="AG12" s="49"/>
      <c r="AH12" s="49"/>
      <c r="AI12" s="49"/>
      <c r="AJ12" s="49"/>
      <c r="AK12" s="49"/>
      <c r="AL12" s="49"/>
    </row>
    <row r="13" spans="1:38" s="58" customFormat="1" ht="15" x14ac:dyDescent="0.2">
      <c r="A13" s="627"/>
      <c r="B13" s="657" t="s">
        <v>963</v>
      </c>
      <c r="C13" s="49"/>
      <c r="D13" s="49"/>
      <c r="E13" s="49"/>
      <c r="F13" s="49"/>
      <c r="G13" s="49"/>
      <c r="H13" s="49"/>
      <c r="I13" s="49"/>
      <c r="J13" s="49"/>
      <c r="L13" s="49"/>
      <c r="M13" s="49"/>
      <c r="N13" s="84"/>
      <c r="O13" s="84"/>
      <c r="P13" s="84"/>
      <c r="Q13" s="84"/>
      <c r="R13" s="84"/>
      <c r="S13" s="84"/>
      <c r="T13" s="84"/>
      <c r="U13" s="572"/>
      <c r="V13" s="84"/>
      <c r="W13" s="49"/>
      <c r="X13" s="49"/>
      <c r="Y13" s="49"/>
      <c r="Z13" s="49"/>
      <c r="AA13" s="49"/>
      <c r="AB13" s="49"/>
      <c r="AC13" s="49"/>
      <c r="AD13" s="49"/>
      <c r="AE13" s="49"/>
      <c r="AF13" s="49"/>
      <c r="AG13" s="49"/>
      <c r="AH13" s="49"/>
      <c r="AI13" s="49"/>
      <c r="AJ13" s="49"/>
      <c r="AK13" s="49"/>
      <c r="AL13" s="49"/>
    </row>
    <row r="14" spans="1:38" s="58" customFormat="1" ht="15" x14ac:dyDescent="0.2">
      <c r="A14" s="627"/>
      <c r="B14" s="581" t="s">
        <v>711</v>
      </c>
      <c r="C14" s="49"/>
      <c r="D14" s="49"/>
      <c r="E14" s="49"/>
      <c r="F14" s="49"/>
      <c r="G14" s="49"/>
      <c r="H14" s="49"/>
      <c r="I14" s="49"/>
      <c r="J14" s="49"/>
      <c r="K14" s="90"/>
      <c r="L14" s="49"/>
      <c r="M14" s="49"/>
      <c r="N14" s="84"/>
      <c r="O14" s="84"/>
      <c r="P14" s="84"/>
      <c r="Q14" s="84"/>
      <c r="R14" s="84"/>
      <c r="S14" s="84"/>
      <c r="T14" s="84"/>
      <c r="U14" s="572"/>
      <c r="V14" s="84"/>
      <c r="W14" s="49"/>
      <c r="X14" s="49"/>
      <c r="Y14" s="49"/>
      <c r="Z14" s="49"/>
      <c r="AA14" s="49"/>
      <c r="AB14" s="49"/>
      <c r="AC14" s="49"/>
      <c r="AD14" s="49"/>
      <c r="AE14" s="49"/>
      <c r="AF14" s="49"/>
      <c r="AG14" s="49"/>
      <c r="AH14" s="49"/>
      <c r="AI14" s="49"/>
      <c r="AJ14" s="49"/>
      <c r="AK14" s="49"/>
      <c r="AL14" s="49"/>
    </row>
    <row r="15" spans="1:38" s="58" customFormat="1" ht="15" x14ac:dyDescent="0.2">
      <c r="A15" s="627"/>
      <c r="B15" s="1159" t="s">
        <v>964</v>
      </c>
      <c r="C15" s="49"/>
      <c r="D15" s="49"/>
      <c r="E15" s="49"/>
      <c r="F15" s="49"/>
      <c r="G15" s="49"/>
      <c r="H15" s="49"/>
      <c r="I15" s="49"/>
      <c r="J15" s="49"/>
      <c r="L15" s="49"/>
      <c r="M15" s="49"/>
      <c r="O15"/>
      <c r="P15"/>
      <c r="Q15"/>
      <c r="R15"/>
      <c r="S15"/>
      <c r="T15" s="84"/>
      <c r="U15" s="572"/>
      <c r="V15" s="84"/>
      <c r="W15" s="49"/>
      <c r="X15" s="49"/>
      <c r="Y15" s="49"/>
      <c r="Z15" s="49"/>
      <c r="AA15" s="49"/>
      <c r="AB15" s="49"/>
      <c r="AC15" s="49"/>
      <c r="AD15" s="49"/>
      <c r="AE15" s="49"/>
      <c r="AF15" s="49"/>
      <c r="AG15" s="49"/>
      <c r="AH15" s="49"/>
      <c r="AI15" s="49"/>
      <c r="AJ15" s="49"/>
      <c r="AK15" s="49"/>
      <c r="AL15" s="49"/>
    </row>
    <row r="16" spans="1:38" s="58" customFormat="1" ht="15" x14ac:dyDescent="0.2">
      <c r="A16" s="627"/>
      <c r="B16" s="581" t="s">
        <v>965</v>
      </c>
      <c r="C16" s="49"/>
      <c r="D16" s="49"/>
      <c r="E16" s="49"/>
      <c r="F16" s="49"/>
      <c r="G16" s="49"/>
      <c r="H16" s="49"/>
      <c r="I16" s="49"/>
      <c r="J16" s="49"/>
      <c r="K16" s="90"/>
      <c r="L16" s="49"/>
      <c r="M16" s="49"/>
      <c r="N16" s="84"/>
      <c r="O16" s="84"/>
      <c r="P16" s="84"/>
      <c r="Q16" s="84"/>
      <c r="R16" s="84"/>
      <c r="S16" s="84"/>
      <c r="T16" s="84"/>
      <c r="U16" s="572"/>
      <c r="V16" s="84"/>
      <c r="W16" s="49"/>
      <c r="X16" s="49"/>
      <c r="Y16" s="49"/>
      <c r="Z16" s="49"/>
      <c r="AA16" s="49"/>
      <c r="AB16" s="49"/>
      <c r="AC16" s="49"/>
      <c r="AD16" s="49"/>
      <c r="AE16" s="49"/>
      <c r="AF16" s="49"/>
      <c r="AG16" s="49"/>
      <c r="AH16" s="49"/>
      <c r="AI16" s="49"/>
      <c r="AJ16" s="49"/>
      <c r="AK16" s="49"/>
      <c r="AL16" s="49"/>
    </row>
    <row r="17" spans="1:38" ht="15" x14ac:dyDescent="0.2">
      <c r="A17" s="620"/>
      <c r="B17" s="679"/>
      <c r="C17" s="140"/>
      <c r="D17" s="140"/>
      <c r="E17" s="140"/>
      <c r="F17" s="140"/>
      <c r="G17" s="140"/>
      <c r="H17" s="140"/>
      <c r="I17" s="140"/>
      <c r="J17" s="140"/>
      <c r="K17" s="140"/>
      <c r="L17" s="140"/>
      <c r="M17" s="1160"/>
      <c r="N17" s="1160"/>
      <c r="O17" s="1160"/>
      <c r="P17" s="1160"/>
      <c r="Q17" s="1160"/>
      <c r="R17" s="1160"/>
      <c r="S17" s="1160"/>
      <c r="T17" s="1160"/>
      <c r="U17" s="1161"/>
      <c r="V17" s="84"/>
      <c r="W17" s="3"/>
      <c r="X17" s="49"/>
      <c r="Y17" s="3"/>
      <c r="Z17" s="3"/>
      <c r="AA17" s="3"/>
      <c r="AB17" s="3"/>
      <c r="AC17" s="3"/>
      <c r="AD17" s="3"/>
      <c r="AE17" s="3"/>
      <c r="AF17" s="3"/>
      <c r="AG17" s="3"/>
      <c r="AH17" s="3"/>
      <c r="AI17" s="3"/>
      <c r="AJ17" s="3"/>
      <c r="AK17" s="3"/>
      <c r="AL17" s="3"/>
    </row>
    <row r="18" spans="1:38" s="58" customFormat="1" ht="25.5" customHeight="1" x14ac:dyDescent="0.25">
      <c r="A18" s="627"/>
      <c r="B18" s="75"/>
      <c r="C18" s="49"/>
      <c r="D18" s="49"/>
      <c r="E18" s="49"/>
      <c r="F18" s="49"/>
      <c r="G18" s="49"/>
      <c r="H18" s="49"/>
      <c r="I18" s="49"/>
      <c r="J18" s="49"/>
      <c r="K18" s="49"/>
      <c r="L18" s="49"/>
      <c r="M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row>
    <row r="19" spans="1:38" ht="13.5" hidden="1" customHeight="1" outlineLevel="1" x14ac:dyDescent="0.2">
      <c r="A19" s="620"/>
      <c r="B19" s="466" t="s">
        <v>712</v>
      </c>
      <c r="C19" s="467"/>
      <c r="D19" s="468"/>
      <c r="E19" s="467"/>
      <c r="F19" s="467"/>
      <c r="G19" s="467"/>
      <c r="H19" s="467"/>
      <c r="I19" s="467"/>
      <c r="J19" s="467"/>
      <c r="K19" s="469" t="str">
        <f>'WS2-Proposal'!$K$59</f>
        <v>Permanent</v>
      </c>
      <c r="L19" s="467"/>
      <c r="M19" s="467"/>
      <c r="N19" s="467"/>
      <c r="O19" s="467"/>
      <c r="P19" s="467"/>
      <c r="Q19" s="467"/>
      <c r="R19" s="467"/>
      <c r="S19" s="467"/>
      <c r="T19" s="467"/>
      <c r="U19" s="470"/>
      <c r="V19" s="3"/>
      <c r="W19" s="3"/>
      <c r="X19" s="49"/>
      <c r="Y19" s="3"/>
      <c r="Z19" s="3" t="s">
        <v>46</v>
      </c>
      <c r="AA19" s="3"/>
      <c r="AB19" s="3"/>
      <c r="AC19" s="3"/>
      <c r="AD19" s="3"/>
      <c r="AE19" s="3"/>
      <c r="AF19" s="3"/>
      <c r="AG19" s="3"/>
      <c r="AH19" s="3"/>
      <c r="AI19" s="3"/>
      <c r="AJ19" s="3"/>
      <c r="AK19" s="3"/>
      <c r="AL19" s="3"/>
    </row>
    <row r="20" spans="1:38" ht="13.5" hidden="1" customHeight="1" outlineLevel="1" x14ac:dyDescent="0.2">
      <c r="A20" s="620"/>
      <c r="B20" s="471" t="s">
        <v>713</v>
      </c>
      <c r="C20" s="472"/>
      <c r="D20" s="473"/>
      <c r="E20" s="473"/>
      <c r="F20" s="473"/>
      <c r="G20" s="473"/>
      <c r="H20" s="473"/>
      <c r="I20" s="473"/>
      <c r="J20" s="473"/>
      <c r="K20" s="474">
        <f>'WS2-Proposal'!K61</f>
        <v>0</v>
      </c>
      <c r="L20" s="475"/>
      <c r="M20" s="475"/>
      <c r="N20" s="475"/>
      <c r="O20" s="475"/>
      <c r="P20" s="475"/>
      <c r="Q20" s="475"/>
      <c r="R20" s="475"/>
      <c r="S20" s="475"/>
      <c r="T20" s="475"/>
      <c r="U20" s="476"/>
      <c r="V20" s="3"/>
      <c r="W20" s="3"/>
      <c r="X20" s="49"/>
      <c r="Y20" s="3"/>
      <c r="Z20" s="102" t="s">
        <v>44</v>
      </c>
      <c r="AA20" s="3"/>
      <c r="AB20" s="3"/>
      <c r="AC20" s="3"/>
      <c r="AD20" s="3"/>
      <c r="AE20" s="3"/>
      <c r="AF20" s="3"/>
      <c r="AG20" s="3"/>
      <c r="AH20" s="3"/>
      <c r="AI20" s="3"/>
      <c r="AJ20" s="3"/>
      <c r="AK20" s="3"/>
      <c r="AL20" s="3"/>
    </row>
    <row r="21" spans="1:38" ht="13.5" hidden="1" customHeight="1" outlineLevel="1" x14ac:dyDescent="0.2">
      <c r="A21" s="620"/>
      <c r="B21" s="471" t="s">
        <v>714</v>
      </c>
      <c r="C21" s="477"/>
      <c r="D21" s="477"/>
      <c r="E21" s="477"/>
      <c r="F21" s="477"/>
      <c r="G21" s="477"/>
      <c r="H21" s="477"/>
      <c r="I21" s="477"/>
      <c r="J21" s="477"/>
      <c r="K21" s="478">
        <v>1</v>
      </c>
      <c r="L21" s="479">
        <f t="shared" ref="L21:T21" si="0">1+K21</f>
        <v>2</v>
      </c>
      <c r="M21" s="479">
        <f t="shared" si="0"/>
        <v>3</v>
      </c>
      <c r="N21" s="479">
        <f t="shared" si="0"/>
        <v>4</v>
      </c>
      <c r="O21" s="479">
        <f t="shared" si="0"/>
        <v>5</v>
      </c>
      <c r="P21" s="479">
        <f t="shared" si="0"/>
        <v>6</v>
      </c>
      <c r="Q21" s="479">
        <f t="shared" si="0"/>
        <v>7</v>
      </c>
      <c r="R21" s="479">
        <f t="shared" si="0"/>
        <v>8</v>
      </c>
      <c r="S21" s="479">
        <f t="shared" si="0"/>
        <v>9</v>
      </c>
      <c r="T21" s="479">
        <f t="shared" si="0"/>
        <v>10</v>
      </c>
      <c r="U21" s="476"/>
      <c r="V21" s="3"/>
      <c r="W21" s="3"/>
      <c r="X21" s="49"/>
      <c r="Y21" s="3"/>
      <c r="Z21" s="104" t="s">
        <v>715</v>
      </c>
      <c r="AA21" s="3"/>
      <c r="AB21" s="3"/>
      <c r="AC21" s="3"/>
      <c r="AD21" s="3"/>
      <c r="AE21" s="3"/>
      <c r="AF21" s="3"/>
      <c r="AG21" s="3"/>
      <c r="AH21" s="3"/>
      <c r="AI21" s="3"/>
      <c r="AJ21" s="3"/>
      <c r="AK21" s="3"/>
      <c r="AL21" s="3"/>
    </row>
    <row r="22" spans="1:38" ht="13.5" hidden="1" customHeight="1" outlineLevel="1" x14ac:dyDescent="0.2">
      <c r="A22" s="620"/>
      <c r="B22" s="480" t="s">
        <v>716</v>
      </c>
      <c r="C22" s="481"/>
      <c r="D22" s="481"/>
      <c r="E22" s="481"/>
      <c r="F22" s="481"/>
      <c r="G22" s="481"/>
      <c r="H22" s="481"/>
      <c r="I22" s="481"/>
      <c r="J22" s="481"/>
      <c r="K22" s="482" t="str">
        <f>IF($K$19='WS0 - Input data'!$B$244,$Z$22,(IF($K$20&gt;=K21,$Z$20,$Z$21)))</f>
        <v>na</v>
      </c>
      <c r="L22" s="482" t="str">
        <f>IF($K$19='WS0 - Input data'!$B$244,$Z$22,(IF($K$20&gt;=L21,$Z$20,$Z$21)))</f>
        <v>na</v>
      </c>
      <c r="M22" s="482" t="str">
        <f>IF($K$19='WS0 - Input data'!$B$244,$Z$22,(IF($K$20&gt;=M21,$Z$20,$Z$21)))</f>
        <v>na</v>
      </c>
      <c r="N22" s="482" t="str">
        <f>IF($K$19='WS0 - Input data'!$B$244,$Z$22,(IF($K$20&gt;=N21,$Z$20,$Z$21)))</f>
        <v>na</v>
      </c>
      <c r="O22" s="482" t="str">
        <f>IF($K$19='WS0 - Input data'!$B$244,$Z$22,(IF($K$20&gt;=O21,$Z$20,$Z$21)))</f>
        <v>na</v>
      </c>
      <c r="P22" s="482" t="str">
        <f>IF($K$19='WS0 - Input data'!$B$244,$Z$22,(IF($K$20&gt;=P21,$Z$20,$Z$21)))</f>
        <v>na</v>
      </c>
      <c r="Q22" s="482" t="str">
        <f>IF($K$19='WS0 - Input data'!$B$244,$Z$22,(IF($K$20&gt;=Q21,$Z$20,$Z$21)))</f>
        <v>na</v>
      </c>
      <c r="R22" s="482" t="str">
        <f>IF($K$19='WS0 - Input data'!$B$244,$Z$22,(IF($K$20&gt;=R21,$Z$20,$Z$21)))</f>
        <v>na</v>
      </c>
      <c r="S22" s="482" t="str">
        <f>IF($K$19='WS0 - Input data'!$B$244,$Z$22,(IF($K$20&gt;=S21,$Z$20,$Z$21)))</f>
        <v>na</v>
      </c>
      <c r="T22" s="482" t="str">
        <f>IF($K$19='WS0 - Input data'!$B$244,$Z$22,(IF($K$20&gt;=T21,$Z$20,$Z$21)))</f>
        <v>na</v>
      </c>
      <c r="U22" s="483"/>
      <c r="V22" s="3"/>
      <c r="W22" s="3"/>
      <c r="X22" s="49"/>
      <c r="Y22" s="3"/>
      <c r="Z22" s="103" t="s">
        <v>254</v>
      </c>
      <c r="AA22" s="3"/>
      <c r="AB22" s="3"/>
      <c r="AC22" s="3"/>
      <c r="AD22" s="3"/>
      <c r="AE22" s="3"/>
      <c r="AF22" s="3"/>
      <c r="AG22" s="3"/>
      <c r="AH22" s="3"/>
      <c r="AI22" s="3"/>
      <c r="AJ22" s="3"/>
      <c r="AK22" s="3"/>
      <c r="AL22" s="3"/>
    </row>
    <row r="23" spans="1:38" ht="12" customHeight="1" collapsed="1" x14ac:dyDescent="0.2">
      <c r="A23" s="620"/>
      <c r="B23" s="90"/>
      <c r="C23" s="91"/>
      <c r="D23" s="91"/>
      <c r="E23" s="91"/>
      <c r="F23" s="91"/>
      <c r="G23" s="91"/>
      <c r="H23" s="91"/>
      <c r="I23" s="91"/>
      <c r="J23" s="91"/>
      <c r="K23" s="101"/>
      <c r="L23" s="101"/>
      <c r="M23" s="101"/>
      <c r="N23" s="101"/>
      <c r="O23" s="101"/>
      <c r="P23" s="101"/>
      <c r="Q23" s="101"/>
      <c r="R23" s="101"/>
      <c r="S23" s="101"/>
      <c r="T23" s="101"/>
      <c r="U23" s="84"/>
      <c r="V23" s="3"/>
      <c r="W23" s="3"/>
      <c r="X23" s="49"/>
      <c r="Y23" s="3"/>
      <c r="Z23" s="3"/>
      <c r="AA23" s="3"/>
      <c r="AB23" s="3"/>
      <c r="AC23" s="3"/>
      <c r="AD23" s="3"/>
      <c r="AE23" s="3"/>
      <c r="AF23" s="3"/>
      <c r="AG23" s="3"/>
      <c r="AH23" s="3"/>
      <c r="AI23" s="3"/>
      <c r="AJ23" s="3"/>
      <c r="AK23" s="3"/>
      <c r="AL23" s="3"/>
    </row>
    <row r="24" spans="1:38" ht="12" customHeight="1" x14ac:dyDescent="0.2">
      <c r="A24" s="620"/>
      <c r="B24" s="90"/>
      <c r="C24" s="91"/>
      <c r="D24" s="91"/>
      <c r="E24" s="91"/>
      <c r="F24" s="91"/>
      <c r="G24" s="91"/>
      <c r="H24" s="91"/>
      <c r="I24" s="91"/>
      <c r="J24" s="91"/>
      <c r="K24" s="101"/>
      <c r="L24" s="101"/>
      <c r="M24" s="101"/>
      <c r="N24" s="101"/>
      <c r="O24" s="101"/>
      <c r="P24" s="101"/>
      <c r="Q24" s="101"/>
      <c r="R24" s="101"/>
      <c r="S24" s="101"/>
      <c r="T24" s="101"/>
      <c r="U24" s="84"/>
      <c r="V24" s="3"/>
      <c r="W24" s="3"/>
      <c r="X24" s="49"/>
      <c r="Y24" s="3"/>
      <c r="Z24" s="3"/>
      <c r="AA24" s="3"/>
      <c r="AB24" s="3"/>
      <c r="AC24" s="3"/>
      <c r="AD24" s="3"/>
      <c r="AE24" s="3"/>
      <c r="AF24" s="3"/>
      <c r="AG24" s="3"/>
      <c r="AH24" s="3"/>
      <c r="AI24" s="3"/>
      <c r="AJ24" s="3"/>
      <c r="AK24" s="3"/>
      <c r="AL24" s="3"/>
    </row>
    <row r="25" spans="1:38" ht="15" x14ac:dyDescent="0.2">
      <c r="A25" s="620">
        <v>1</v>
      </c>
      <c r="B25" s="181" t="str">
        <f>"Table "&amp;A1&amp;"."&amp;A25&amp;": Income and Operating balance ($ nominal)"</f>
        <v>Table 8.1: Income and Operating balance ($ nominal)</v>
      </c>
      <c r="C25" s="3"/>
      <c r="D25" s="3"/>
      <c r="E25" s="3"/>
      <c r="F25" s="3"/>
      <c r="G25" s="3"/>
      <c r="H25" s="3"/>
      <c r="I25" s="3"/>
      <c r="J25" s="3"/>
      <c r="K25" s="49"/>
      <c r="L25" s="49"/>
      <c r="M25" s="49"/>
      <c r="N25" s="49"/>
      <c r="O25" s="49"/>
      <c r="P25" s="49"/>
      <c r="Q25" s="49"/>
      <c r="R25" s="3"/>
      <c r="S25" s="3"/>
      <c r="T25" s="3"/>
      <c r="U25" s="3"/>
      <c r="V25" s="3"/>
      <c r="W25" s="3"/>
      <c r="X25" s="49"/>
      <c r="Y25" s="3"/>
      <c r="Z25" s="3"/>
      <c r="AA25" s="3"/>
      <c r="AB25" s="3"/>
      <c r="AC25" s="3"/>
      <c r="AD25" s="3"/>
      <c r="AE25" s="3"/>
      <c r="AF25" s="3"/>
      <c r="AG25" s="3"/>
      <c r="AH25" s="3"/>
      <c r="AI25" s="3"/>
      <c r="AJ25" s="3"/>
      <c r="AK25" s="3"/>
      <c r="AL25" s="3"/>
    </row>
    <row r="26" spans="1:38" ht="20.65" customHeight="1" x14ac:dyDescent="0.2">
      <c r="A26" s="620"/>
      <c r="B26" s="950"/>
      <c r="C26" s="141"/>
      <c r="D26" s="141"/>
      <c r="E26" s="141"/>
      <c r="F26" s="141"/>
      <c r="G26" s="141"/>
      <c r="H26" s="141"/>
      <c r="I26" s="141"/>
      <c r="J26" s="141"/>
      <c r="K26" s="1167" t="str">
        <f>'WS0 - Input data'!K55</f>
        <v>Year 1</v>
      </c>
      <c r="L26" s="1167" t="str">
        <f>'WS0 - Input data'!L55</f>
        <v>Year 2</v>
      </c>
      <c r="M26" s="1167" t="str">
        <f>'WS0 - Input data'!M55</f>
        <v>Year 3</v>
      </c>
      <c r="N26" s="1167" t="str">
        <f>'WS0 - Input data'!N55</f>
        <v>Year 4</v>
      </c>
      <c r="O26" s="1167" t="str">
        <f>'WS0 - Input data'!O55</f>
        <v>Year 5</v>
      </c>
      <c r="P26" s="1167" t="str">
        <f>'WS0 - Input data'!P55</f>
        <v>Year 6</v>
      </c>
      <c r="Q26" s="1167" t="str">
        <f>'WS0 - Input data'!Q55</f>
        <v>Year 7</v>
      </c>
      <c r="R26" s="1167" t="str">
        <f>'WS0 - Input data'!R55</f>
        <v>Year 8</v>
      </c>
      <c r="S26" s="1167" t="str">
        <f>'WS0 - Input data'!S55</f>
        <v>Year 9</v>
      </c>
      <c r="T26" s="1167" t="str">
        <f>'WS0 - Input data'!T55</f>
        <v>Year 10</v>
      </c>
      <c r="U26" s="1168" t="str">
        <f>IF(T22=Z21,"Sum of "&amp;K20&amp;" years","Sum of 10 years")</f>
        <v>Sum of 10 years</v>
      </c>
      <c r="V26" s="3"/>
      <c r="W26" s="3"/>
      <c r="X26" s="49"/>
      <c r="Y26" s="3"/>
      <c r="Z26" s="3"/>
      <c r="AA26" s="3"/>
      <c r="AB26" s="3"/>
      <c r="AC26" s="3"/>
      <c r="AD26" s="3"/>
      <c r="AE26" s="3"/>
      <c r="AF26" s="3"/>
      <c r="AG26" s="3"/>
      <c r="AH26" s="3"/>
      <c r="AI26" s="3"/>
      <c r="AJ26" s="3"/>
      <c r="AK26" s="3"/>
      <c r="AL26" s="3"/>
    </row>
    <row r="27" spans="1:38" ht="19.899999999999999" customHeight="1" x14ac:dyDescent="0.2">
      <c r="A27" s="620"/>
      <c r="B27" s="977"/>
      <c r="C27" s="584"/>
      <c r="D27" s="140" t="s">
        <v>641</v>
      </c>
      <c r="E27" s="584"/>
      <c r="F27" s="584"/>
      <c r="G27" s="584"/>
      <c r="H27" s="584"/>
      <c r="I27" s="584"/>
      <c r="J27" s="701"/>
      <c r="K27" s="1169" t="str">
        <f>'WS0 - Input data'!K58</f>
        <v>2024-25</v>
      </c>
      <c r="L27" s="1169" t="str">
        <f>'WS0 - Input data'!L58</f>
        <v>2025-26</v>
      </c>
      <c r="M27" s="1169" t="str">
        <f>'WS0 - Input data'!M58</f>
        <v>2026-27</v>
      </c>
      <c r="N27" s="1169" t="str">
        <f>'WS0 - Input data'!N58</f>
        <v>2027-28</v>
      </c>
      <c r="O27" s="1169" t="str">
        <f>'WS0 - Input data'!O58</f>
        <v>2028-29</v>
      </c>
      <c r="P27" s="1169" t="str">
        <f>'WS0 - Input data'!P58</f>
        <v>2029-30</v>
      </c>
      <c r="Q27" s="1169" t="str">
        <f>'WS0 - Input data'!Q58</f>
        <v>2030-31</v>
      </c>
      <c r="R27" s="1169" t="str">
        <f>'WS0 - Input data'!R58</f>
        <v>2031-32</v>
      </c>
      <c r="S27" s="1169" t="str">
        <f>'WS0 - Input data'!S58</f>
        <v>2032-33</v>
      </c>
      <c r="T27" s="1169" t="str">
        <f>'WS0 - Input data'!T58</f>
        <v>2033-34</v>
      </c>
      <c r="U27" s="776"/>
      <c r="V27" s="3"/>
      <c r="W27" s="3"/>
      <c r="X27" s="49"/>
      <c r="Y27" s="3"/>
      <c r="Z27" s="3"/>
      <c r="AA27" s="3"/>
      <c r="AB27" s="3"/>
      <c r="AC27" s="3"/>
      <c r="AD27" s="3"/>
      <c r="AE27" s="3"/>
      <c r="AF27" s="3"/>
      <c r="AG27" s="3"/>
      <c r="AH27" s="3"/>
      <c r="AI27" s="3"/>
      <c r="AJ27" s="3"/>
      <c r="AK27" s="3"/>
      <c r="AL27" s="3"/>
    </row>
    <row r="28" spans="1:38" ht="15.75" customHeight="1" x14ac:dyDescent="0.25">
      <c r="A28" s="620"/>
      <c r="B28" s="1170" t="s">
        <v>717</v>
      </c>
      <c r="C28" s="265"/>
      <c r="D28" s="265"/>
      <c r="E28" s="265"/>
      <c r="F28" s="265"/>
      <c r="G28" s="265"/>
      <c r="H28" s="265"/>
      <c r="I28" s="265"/>
      <c r="J28" s="265"/>
      <c r="K28" s="1165"/>
      <c r="L28" s="18"/>
      <c r="M28" s="18"/>
      <c r="N28" s="18"/>
      <c r="O28" s="18"/>
      <c r="P28" s="18"/>
      <c r="Q28" s="18"/>
      <c r="R28" s="18"/>
      <c r="S28" s="18"/>
      <c r="T28" s="18"/>
      <c r="U28" s="1166"/>
      <c r="V28" s="3"/>
      <c r="W28" s="3"/>
      <c r="X28" s="49"/>
      <c r="Y28" s="3"/>
      <c r="Z28" s="3"/>
      <c r="AA28" s="3"/>
      <c r="AB28" s="3"/>
      <c r="AC28" s="3"/>
      <c r="AD28" s="3"/>
      <c r="AE28" s="3"/>
      <c r="AF28" s="3"/>
      <c r="AG28" s="3"/>
      <c r="AH28" s="3"/>
      <c r="AI28" s="3"/>
      <c r="AJ28" s="3"/>
      <c r="AK28" s="3"/>
      <c r="AL28" s="3"/>
    </row>
    <row r="29" spans="1:38" s="6" customFormat="1" x14ac:dyDescent="0.2">
      <c r="A29" s="636"/>
      <c r="B29" s="299" t="str">
        <f>CHOOSE('WS2-Proposal'!$W$40,"Proposed SV income above existing SV/rate peg","Proposed SV income above rate peg")</f>
        <v>Proposed SV income above rate peg</v>
      </c>
      <c r="C29" s="3"/>
      <c r="D29" s="3" t="str">
        <f>'WS0 - Input data'!C62</f>
        <v>$ nominal</v>
      </c>
      <c r="E29" s="3"/>
      <c r="F29" s="3"/>
      <c r="G29" s="3"/>
      <c r="H29" s="3"/>
      <c r="I29" s="3"/>
      <c r="J29" s="3"/>
      <c r="K29" s="1172">
        <f>IF('WS6 - PGI summary'!J98=0,".",'WS6 - PGI summary'!K98-'WS6 - PGI summary'!K109)</f>
        <v>5435200.3656308874</v>
      </c>
      <c r="L29" s="1174">
        <f>IF(L22=$Z$21,".",(IF('WS6 - PGI summary'!L98=".",K29*(1+'WS2-Proposal'!L78),'WS6 - PGI summary'!L98-'WS6 - PGI summary'!L109)))</f>
        <v>5598256.376599811</v>
      </c>
      <c r="M29" s="1176">
        <f>IF(M22=$Z$21,".",(IF('WS6 - PGI summary'!M98=".",L29*(1+'WS2-Proposal'!M78),'WS6 - PGI summary'!M98-'WS6 - PGI summary'!M109)))</f>
        <v>5766204.0678978115</v>
      </c>
      <c r="N29" s="1176">
        <f>IF(N22=$Z$21,".",(IF('WS6 - PGI summary'!N98=".",M29*(1+'WS2-Proposal'!N78),'WS6 - PGI summary'!N98-'WS6 - PGI summary'!N109)))</f>
        <v>5939190.1899347454</v>
      </c>
      <c r="O29" s="1176">
        <f>IF(O22=$Z$21,".",(IF('WS6 - PGI summary'!O98=".",N29*(1+'WS2-Proposal'!O78),'WS6 - PGI summary'!O98-'WS6 - PGI summary'!O109)))</f>
        <v>6117365.8956327885</v>
      </c>
      <c r="P29" s="1176">
        <f>IF(P22=$Z$21,".",(IF('WS6 - PGI summary'!P98=".",O29*(1+'WS2-Proposal'!P78),'WS6 - PGI summary'!P98-'WS6 - PGI summary'!P109)))</f>
        <v>6300886.8725017682</v>
      </c>
      <c r="Q29" s="1163">
        <f>IF(Q22=$Z$21,".",(IF('WS6 - PGI summary'!Q98=".",P29*(1+'WS2-Proposal'!Q78),'WS6 - PGI summary'!Q98-'WS6 - PGI summary'!Q109)))</f>
        <v>6489913.4786768258</v>
      </c>
      <c r="R29" s="1174">
        <f>IF(R22=$Z$21,".",Q29*(1+'WS0 - Input data'!$D$48))</f>
        <v>6652161.3156437455</v>
      </c>
      <c r="S29" s="1176">
        <f>IF(S22=$Z$21,".",R29*(1+'WS0 - Input data'!$D$48))</f>
        <v>6818465.3485348383</v>
      </c>
      <c r="T29" s="1176">
        <f>IF(T22=$Z$21,".",S29*(1+'WS0 - Input data'!$D$48))</f>
        <v>6988926.9822482085</v>
      </c>
      <c r="U29" s="1178">
        <f>SUM(K29:T29)</f>
        <v>62106570.893301427</v>
      </c>
      <c r="V29" s="3"/>
      <c r="W29"/>
      <c r="X29"/>
      <c r="Y29"/>
      <c r="Z29"/>
      <c r="AA29"/>
      <c r="AB29"/>
      <c r="AC29"/>
      <c r="AD29"/>
      <c r="AE29"/>
      <c r="AF29"/>
      <c r="AG29"/>
      <c r="AH29" s="2"/>
      <c r="AI29" s="2"/>
      <c r="AJ29" s="2"/>
      <c r="AK29" s="2"/>
      <c r="AL29" s="2"/>
    </row>
    <row r="30" spans="1:38" ht="9.75" customHeight="1" x14ac:dyDescent="0.2">
      <c r="A30" s="620"/>
      <c r="B30" s="344"/>
      <c r="C30" s="140"/>
      <c r="D30" s="140"/>
      <c r="E30" s="140"/>
      <c r="F30" s="140"/>
      <c r="G30" s="140"/>
      <c r="H30" s="140"/>
      <c r="I30" s="140"/>
      <c r="J30" s="140"/>
      <c r="K30" s="1173"/>
      <c r="L30" s="1175"/>
      <c r="M30" s="1177"/>
      <c r="N30" s="1177"/>
      <c r="O30" s="1177"/>
      <c r="P30" s="1177"/>
      <c r="Q30" s="1177"/>
      <c r="R30" s="1175"/>
      <c r="S30" s="1177"/>
      <c r="T30" s="1177"/>
      <c r="U30" s="1179"/>
      <c r="V30" s="3"/>
      <c r="AH30" s="3"/>
      <c r="AI30" s="3"/>
      <c r="AJ30" s="3"/>
      <c r="AK30" s="3"/>
      <c r="AL30" s="3"/>
    </row>
    <row r="31" spans="1:38" ht="15.75" customHeight="1" x14ac:dyDescent="0.25">
      <c r="A31" s="620"/>
      <c r="B31" s="1170" t="s">
        <v>718</v>
      </c>
      <c r="C31" s="265"/>
      <c r="D31" s="265"/>
      <c r="E31" s="265"/>
      <c r="F31" s="265"/>
      <c r="G31" s="265"/>
      <c r="H31" s="265"/>
      <c r="I31" s="265"/>
      <c r="J31" s="265"/>
      <c r="K31" s="1171"/>
      <c r="L31" s="1094"/>
      <c r="M31" s="1094"/>
      <c r="N31" s="1094"/>
      <c r="O31" s="1094"/>
      <c r="P31" s="1094"/>
      <c r="Q31" s="1094"/>
      <c r="R31" s="1094"/>
      <c r="S31" s="1094"/>
      <c r="T31" s="1094"/>
      <c r="U31" s="1166"/>
      <c r="V31" s="3"/>
      <c r="W31" s="3"/>
      <c r="X31" s="49"/>
      <c r="Y31" s="3"/>
      <c r="Z31" s="3"/>
      <c r="AA31" s="3"/>
      <c r="AB31" s="3"/>
      <c r="AC31" s="3"/>
      <c r="AD31" s="3"/>
      <c r="AE31" s="3"/>
      <c r="AF31" s="3"/>
      <c r="AG31" s="3"/>
      <c r="AH31" s="3"/>
      <c r="AI31" s="3"/>
      <c r="AJ31" s="3"/>
      <c r="AK31" s="3"/>
      <c r="AL31" s="3"/>
    </row>
    <row r="32" spans="1:38" ht="27.75" customHeight="1" x14ac:dyDescent="0.2">
      <c r="A32" s="620"/>
      <c r="B32" s="1164" t="s">
        <v>719</v>
      </c>
      <c r="C32" s="140"/>
      <c r="D32" s="140" t="str">
        <f>$D$29</f>
        <v>$ nominal</v>
      </c>
      <c r="E32" s="140"/>
      <c r="F32" s="140"/>
      <c r="G32" s="140"/>
      <c r="H32" s="140"/>
      <c r="I32" s="140"/>
      <c r="J32" s="140"/>
      <c r="K32" s="1181">
        <f t="shared" ref="K32:T32" si="1">IF(K22=$Z$21,".",K29-K70)</f>
        <v>3435200.3656308874</v>
      </c>
      <c r="L32" s="1181">
        <f t="shared" si="1"/>
        <v>3538256.376599811</v>
      </c>
      <c r="M32" s="1181">
        <f t="shared" si="1"/>
        <v>3644404.0678978115</v>
      </c>
      <c r="N32" s="1181">
        <f t="shared" si="1"/>
        <v>3753736.1899347454</v>
      </c>
      <c r="O32" s="1181">
        <f t="shared" si="1"/>
        <v>3866348.2756327884</v>
      </c>
      <c r="P32" s="1181">
        <f t="shared" si="1"/>
        <v>3982338.7239017682</v>
      </c>
      <c r="Q32" s="1181">
        <f t="shared" si="1"/>
        <v>4101808.8856188259</v>
      </c>
      <c r="R32" s="1181">
        <f t="shared" si="1"/>
        <v>4192413.5847940054</v>
      </c>
      <c r="S32" s="1181">
        <f t="shared" si="1"/>
        <v>4284925.1857596058</v>
      </c>
      <c r="T32" s="1181">
        <f t="shared" si="1"/>
        <v>4379380.6145897191</v>
      </c>
      <c r="U32" s="1180">
        <f>SUM(K32:T32)</f>
        <v>39178812.270359963</v>
      </c>
      <c r="V32" s="3"/>
      <c r="W32" s="3"/>
      <c r="X32" s="3"/>
      <c r="Y32" s="3"/>
      <c r="Z32" s="3"/>
      <c r="AA32" s="3"/>
      <c r="AB32" s="3"/>
      <c r="AC32" s="3"/>
      <c r="AD32" s="3"/>
      <c r="AE32" s="3"/>
      <c r="AF32" s="3"/>
      <c r="AG32" s="3"/>
      <c r="AH32" s="3"/>
      <c r="AI32" s="3"/>
      <c r="AJ32" s="3"/>
      <c r="AK32" s="3"/>
      <c r="AL32" s="3"/>
    </row>
    <row r="33" spans="1:38" ht="12" customHeight="1" x14ac:dyDescent="0.2">
      <c r="A33" s="620"/>
      <c r="B33" s="628"/>
      <c r="C33" s="3"/>
      <c r="D33" s="3"/>
      <c r="E33" s="3"/>
      <c r="F33" s="3"/>
      <c r="G33" s="3"/>
      <c r="H33" s="3"/>
      <c r="I33" s="3"/>
      <c r="J33" s="3"/>
      <c r="K33" s="112"/>
      <c r="L33" s="112"/>
      <c r="M33" s="112"/>
      <c r="N33" s="112"/>
      <c r="O33" s="112"/>
      <c r="P33" s="112"/>
      <c r="Q33" s="112"/>
      <c r="R33" s="112"/>
      <c r="S33" s="112"/>
      <c r="T33" s="112"/>
      <c r="U33" s="240"/>
      <c r="V33" s="3"/>
      <c r="W33" s="3"/>
      <c r="X33" s="3"/>
      <c r="Y33" s="3"/>
      <c r="Z33" s="3"/>
      <c r="AA33" s="3"/>
      <c r="AB33" s="3"/>
      <c r="AC33" s="3"/>
      <c r="AD33" s="3"/>
      <c r="AE33" s="3"/>
      <c r="AF33" s="3"/>
      <c r="AG33" s="3"/>
      <c r="AH33" s="3"/>
      <c r="AI33" s="3"/>
      <c r="AJ33" s="3"/>
      <c r="AK33" s="3"/>
      <c r="AL33" s="3"/>
    </row>
    <row r="34" spans="1:38" ht="12" customHeight="1" x14ac:dyDescent="0.2">
      <c r="A34" s="620"/>
      <c r="B34" s="628"/>
      <c r="C34" s="3"/>
      <c r="D34" s="3"/>
      <c r="E34" s="3"/>
      <c r="F34" s="3"/>
      <c r="G34" s="3"/>
      <c r="H34" s="3"/>
      <c r="I34" s="3"/>
      <c r="J34" s="3"/>
      <c r="K34" s="112"/>
      <c r="L34" s="112"/>
      <c r="M34" s="112"/>
      <c r="N34" s="112"/>
      <c r="O34" s="112"/>
      <c r="P34" s="112"/>
      <c r="Q34" s="112"/>
      <c r="R34" s="112"/>
      <c r="S34" s="112"/>
      <c r="T34" s="112"/>
      <c r="U34" s="240"/>
      <c r="V34" s="3"/>
      <c r="W34" s="3"/>
      <c r="X34" s="3"/>
      <c r="Y34" s="3"/>
      <c r="Z34" s="3"/>
      <c r="AA34" s="3"/>
      <c r="AB34" s="3"/>
      <c r="AC34" s="3"/>
      <c r="AD34" s="3"/>
      <c r="AE34" s="3"/>
      <c r="AF34" s="3"/>
      <c r="AG34" s="3"/>
      <c r="AH34" s="3"/>
      <c r="AI34" s="3"/>
      <c r="AJ34" s="3"/>
      <c r="AK34" s="3"/>
      <c r="AL34" s="3"/>
    </row>
    <row r="35" spans="1:38" ht="15.75" customHeight="1" x14ac:dyDescent="0.2">
      <c r="A35" s="620">
        <f>A25+1</f>
        <v>2</v>
      </c>
      <c r="B35" s="181" t="str">
        <f>"Table "&amp;A1&amp;"."&amp;A35&amp;": Operating expenses (including loan interest costs) ($ nominal) "</f>
        <v xml:space="preserve">Table 8.2: Operating expenses (including loan interest costs) ($ nominal) </v>
      </c>
      <c r="C35" s="2"/>
      <c r="D35" s="2"/>
      <c r="E35" s="2"/>
      <c r="F35" s="2"/>
      <c r="G35" s="2"/>
      <c r="H35" s="2"/>
      <c r="I35" s="2"/>
      <c r="J35" s="2"/>
      <c r="K35" s="629"/>
      <c r="M35" s="3" t="str">
        <f>IF('WS1-Application'!$D$33="Minimum rate increase","[N/A - No need to complete, leave blue input cells blank]","")</f>
        <v/>
      </c>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ht="15.75" customHeight="1" x14ac:dyDescent="0.25">
      <c r="A36" s="620"/>
      <c r="B36" s="1182"/>
      <c r="C36" s="695"/>
      <c r="D36" s="695"/>
      <c r="E36" s="695"/>
      <c r="F36" s="695"/>
      <c r="G36" s="695"/>
      <c r="H36" s="695"/>
      <c r="I36" s="695"/>
      <c r="J36" s="695"/>
      <c r="K36" s="1191" t="str">
        <f>K26</f>
        <v>Year 1</v>
      </c>
      <c r="L36" s="1191" t="str">
        <f t="shared" ref="L36:U36" si="2">L26</f>
        <v>Year 2</v>
      </c>
      <c r="M36" s="1191" t="str">
        <f t="shared" si="2"/>
        <v>Year 3</v>
      </c>
      <c r="N36" s="1191" t="str">
        <f t="shared" si="2"/>
        <v>Year 4</v>
      </c>
      <c r="O36" s="1191" t="str">
        <f t="shared" si="2"/>
        <v>Year 5</v>
      </c>
      <c r="P36" s="1191" t="str">
        <f t="shared" si="2"/>
        <v>Year 6</v>
      </c>
      <c r="Q36" s="1191" t="str">
        <f t="shared" si="2"/>
        <v>Year 7</v>
      </c>
      <c r="R36" s="1191" t="str">
        <f t="shared" si="2"/>
        <v>Year 8</v>
      </c>
      <c r="S36" s="1191" t="str">
        <f t="shared" si="2"/>
        <v>Year 9</v>
      </c>
      <c r="T36" s="1191" t="str">
        <f t="shared" si="2"/>
        <v>Year 10</v>
      </c>
      <c r="U36" s="1183" t="str">
        <f t="shared" si="2"/>
        <v>Sum of 10 years</v>
      </c>
      <c r="V36" s="3"/>
      <c r="W36" s="3"/>
      <c r="X36" s="3"/>
      <c r="Y36" s="3"/>
      <c r="Z36" s="3"/>
      <c r="AA36" s="3"/>
      <c r="AB36" s="3"/>
      <c r="AC36" s="3"/>
      <c r="AD36" s="3"/>
      <c r="AE36" s="3"/>
      <c r="AF36" s="3"/>
      <c r="AG36" s="3"/>
      <c r="AH36" s="3"/>
      <c r="AI36" s="3"/>
      <c r="AJ36" s="3"/>
      <c r="AK36" s="3"/>
      <c r="AL36" s="3"/>
    </row>
    <row r="37" spans="1:38" ht="15.75" customHeight="1" x14ac:dyDescent="0.25">
      <c r="A37" s="620"/>
      <c r="B37" s="1189"/>
      <c r="C37" s="584"/>
      <c r="D37" s="140" t="s">
        <v>641</v>
      </c>
      <c r="E37" s="584"/>
      <c r="F37" s="584"/>
      <c r="G37" s="584"/>
      <c r="H37" s="584"/>
      <c r="I37" s="584"/>
      <c r="J37" s="584"/>
      <c r="K37" s="1192" t="str">
        <f>K27</f>
        <v>2024-25</v>
      </c>
      <c r="L37" s="1192" t="str">
        <f t="shared" ref="L37:T37" si="3">L27</f>
        <v>2025-26</v>
      </c>
      <c r="M37" s="1192" t="str">
        <f t="shared" si="3"/>
        <v>2026-27</v>
      </c>
      <c r="N37" s="1192" t="str">
        <f t="shared" si="3"/>
        <v>2027-28</v>
      </c>
      <c r="O37" s="1192" t="str">
        <f t="shared" si="3"/>
        <v>2028-29</v>
      </c>
      <c r="P37" s="1192" t="str">
        <f t="shared" si="3"/>
        <v>2029-30</v>
      </c>
      <c r="Q37" s="1192" t="str">
        <f t="shared" si="3"/>
        <v>2030-31</v>
      </c>
      <c r="R37" s="1192" t="str">
        <f t="shared" si="3"/>
        <v>2031-32</v>
      </c>
      <c r="S37" s="1192" t="str">
        <f t="shared" si="3"/>
        <v>2032-33</v>
      </c>
      <c r="T37" s="1192" t="str">
        <f t="shared" si="3"/>
        <v>2033-34</v>
      </c>
      <c r="U37" s="1190"/>
      <c r="V37" s="3"/>
      <c r="W37" s="3"/>
      <c r="X37" s="3"/>
      <c r="Y37" s="3"/>
      <c r="Z37" s="3"/>
      <c r="AA37" s="3"/>
      <c r="AB37" s="3"/>
      <c r="AC37" s="3"/>
      <c r="AD37" s="3"/>
      <c r="AE37" s="3"/>
      <c r="AF37" s="3"/>
      <c r="AG37" s="3"/>
      <c r="AH37" s="3"/>
      <c r="AI37" s="3"/>
      <c r="AJ37" s="3"/>
      <c r="AK37" s="3"/>
      <c r="AL37" s="3"/>
    </row>
    <row r="38" spans="1:38" x14ac:dyDescent="0.2">
      <c r="A38" s="620"/>
      <c r="B38" s="1184" t="s">
        <v>720</v>
      </c>
      <c r="C38" s="631"/>
      <c r="D38" s="631"/>
      <c r="E38" s="631"/>
      <c r="F38" s="631"/>
      <c r="G38" s="631"/>
      <c r="H38" s="631"/>
      <c r="I38" s="631"/>
      <c r="J38" s="631"/>
      <c r="K38" s="1194" t="str">
        <f t="shared" ref="K38:T38" si="4">IF(K22=$Z$21,"leave blank",".")</f>
        <v>.</v>
      </c>
      <c r="L38" s="1194" t="str">
        <f t="shared" si="4"/>
        <v>.</v>
      </c>
      <c r="M38" s="1194" t="str">
        <f t="shared" si="4"/>
        <v>.</v>
      </c>
      <c r="N38" s="1194" t="str">
        <f t="shared" si="4"/>
        <v>.</v>
      </c>
      <c r="O38" s="1194" t="str">
        <f t="shared" si="4"/>
        <v>.</v>
      </c>
      <c r="P38" s="1194" t="str">
        <f t="shared" si="4"/>
        <v>.</v>
      </c>
      <c r="Q38" s="1194" t="str">
        <f t="shared" si="4"/>
        <v>.</v>
      </c>
      <c r="R38" s="1194" t="str">
        <f t="shared" si="4"/>
        <v>.</v>
      </c>
      <c r="S38" s="1194" t="str">
        <f t="shared" si="4"/>
        <v>.</v>
      </c>
      <c r="T38" s="1194" t="str">
        <f t="shared" si="4"/>
        <v>.</v>
      </c>
      <c r="U38" s="1185"/>
      <c r="V38" s="3"/>
      <c r="W38" s="3"/>
      <c r="X38" s="3"/>
      <c r="Y38" s="3"/>
      <c r="Z38" s="3"/>
      <c r="AA38" s="3"/>
      <c r="AB38" s="3"/>
      <c r="AC38" s="3"/>
      <c r="AD38" s="3"/>
      <c r="AE38" s="3"/>
      <c r="AF38" s="3"/>
      <c r="AG38" s="3"/>
      <c r="AH38" s="3"/>
      <c r="AI38" s="3"/>
      <c r="AJ38" s="3"/>
      <c r="AK38" s="3"/>
      <c r="AL38" s="3"/>
    </row>
    <row r="39" spans="1:38" x14ac:dyDescent="0.2">
      <c r="A39" s="620"/>
      <c r="B39" s="1186"/>
      <c r="C39" s="486"/>
      <c r="D39" s="486" t="str">
        <f>$D$29</f>
        <v>$ nominal</v>
      </c>
      <c r="E39" s="486"/>
      <c r="F39" s="486"/>
      <c r="G39" s="486"/>
      <c r="H39" s="486"/>
      <c r="I39" s="486"/>
      <c r="J39" s="486"/>
      <c r="K39" s="1195">
        <v>0</v>
      </c>
      <c r="L39" s="1638">
        <v>0</v>
      </c>
      <c r="M39" s="1638">
        <v>0</v>
      </c>
      <c r="N39" s="1638">
        <v>0</v>
      </c>
      <c r="O39" s="1638">
        <v>0</v>
      </c>
      <c r="P39" s="1638">
        <v>0</v>
      </c>
      <c r="Q39" s="1638">
        <v>0</v>
      </c>
      <c r="R39" s="1638">
        <v>0</v>
      </c>
      <c r="S39" s="1638">
        <v>0</v>
      </c>
      <c r="T39" s="1195">
        <v>0</v>
      </c>
      <c r="U39" s="1029">
        <f t="shared" ref="U39:U70" si="5">SUM(K39:T39)-SUMIF($K$22:$T$22,$Z$21,K39:T39)</f>
        <v>0</v>
      </c>
      <c r="V39" s="3"/>
      <c r="W39" s="3"/>
      <c r="X39" s="3"/>
      <c r="Y39" s="3"/>
      <c r="Z39" s="3"/>
      <c r="AA39" s="3"/>
      <c r="AB39" s="3"/>
      <c r="AC39" s="3"/>
      <c r="AD39" s="3"/>
      <c r="AE39" s="3"/>
      <c r="AF39" s="3"/>
      <c r="AG39" s="3"/>
      <c r="AH39" s="3"/>
      <c r="AI39" s="3"/>
      <c r="AJ39" s="3"/>
      <c r="AK39" s="3"/>
      <c r="AL39" s="3"/>
    </row>
    <row r="40" spans="1:38" ht="12" customHeight="1" x14ac:dyDescent="0.2">
      <c r="A40" s="620"/>
      <c r="B40" s="1186"/>
      <c r="C40" s="486"/>
      <c r="D40" s="486" t="str">
        <f t="shared" ref="D40:D69" si="6">$D$29</f>
        <v>$ nominal</v>
      </c>
      <c r="E40" s="486"/>
      <c r="F40" s="486"/>
      <c r="G40" s="486"/>
      <c r="H40" s="486"/>
      <c r="I40" s="486"/>
      <c r="J40" s="486"/>
      <c r="K40" s="1195"/>
      <c r="L40" s="1195"/>
      <c r="M40" s="1195"/>
      <c r="N40" s="1195"/>
      <c r="O40" s="1195"/>
      <c r="P40" s="1195"/>
      <c r="Q40" s="1195"/>
      <c r="R40" s="1195"/>
      <c r="S40" s="1195"/>
      <c r="T40" s="1195"/>
      <c r="U40" s="1029">
        <f t="shared" si="5"/>
        <v>0</v>
      </c>
      <c r="V40" s="3"/>
      <c r="W40" s="3"/>
      <c r="X40" s="3"/>
      <c r="Y40" s="3"/>
      <c r="Z40" s="3"/>
      <c r="AA40" s="3"/>
      <c r="AB40" s="3"/>
      <c r="AC40" s="3"/>
      <c r="AD40" s="3"/>
      <c r="AE40" s="3"/>
      <c r="AF40" s="3"/>
      <c r="AG40" s="3"/>
      <c r="AH40" s="3"/>
      <c r="AI40" s="3"/>
      <c r="AJ40" s="3"/>
      <c r="AK40" s="3"/>
      <c r="AL40" s="3"/>
    </row>
    <row r="41" spans="1:38" ht="12" customHeight="1" x14ac:dyDescent="0.2">
      <c r="A41" s="620"/>
      <c r="B41" s="1186"/>
      <c r="C41" s="486"/>
      <c r="D41" s="486" t="str">
        <f t="shared" si="6"/>
        <v>$ nominal</v>
      </c>
      <c r="E41" s="486"/>
      <c r="F41" s="486"/>
      <c r="G41" s="486"/>
      <c r="H41" s="486"/>
      <c r="I41" s="486"/>
      <c r="J41" s="486"/>
      <c r="K41" s="1195"/>
      <c r="L41" s="1195"/>
      <c r="M41" s="1195"/>
      <c r="N41" s="1195"/>
      <c r="O41" s="1195"/>
      <c r="P41" s="1195"/>
      <c r="Q41" s="1195"/>
      <c r="R41" s="1195"/>
      <c r="S41" s="1195"/>
      <c r="T41" s="1195"/>
      <c r="U41" s="1029">
        <f t="shared" si="5"/>
        <v>0</v>
      </c>
      <c r="V41" s="3"/>
      <c r="W41" s="3"/>
      <c r="X41" s="85"/>
      <c r="Y41" s="3"/>
      <c r="Z41" s="3"/>
      <c r="AA41" s="3"/>
      <c r="AB41" s="3"/>
      <c r="AC41" s="3"/>
      <c r="AD41" s="3"/>
      <c r="AE41" s="3"/>
      <c r="AF41" s="3"/>
      <c r="AG41" s="3"/>
      <c r="AH41" s="3"/>
      <c r="AI41" s="3"/>
      <c r="AJ41" s="3"/>
      <c r="AK41" s="3"/>
      <c r="AL41" s="3"/>
    </row>
    <row r="42" spans="1:38" ht="12" customHeight="1" x14ac:dyDescent="0.2">
      <c r="A42" s="620"/>
      <c r="B42" s="1186"/>
      <c r="C42" s="486"/>
      <c r="D42" s="486" t="str">
        <f t="shared" si="6"/>
        <v>$ nominal</v>
      </c>
      <c r="E42" s="486"/>
      <c r="F42" s="486"/>
      <c r="G42" s="486"/>
      <c r="H42" s="486"/>
      <c r="I42" s="486"/>
      <c r="J42" s="486"/>
      <c r="K42" s="1195"/>
      <c r="L42" s="1196"/>
      <c r="M42" s="1196"/>
      <c r="N42" s="1196"/>
      <c r="O42" s="1196"/>
      <c r="P42" s="1196"/>
      <c r="Q42" s="1196"/>
      <c r="R42" s="1196"/>
      <c r="S42" s="1196"/>
      <c r="T42" s="1196"/>
      <c r="U42" s="1029">
        <f t="shared" si="5"/>
        <v>0</v>
      </c>
      <c r="V42" s="3"/>
      <c r="W42" s="3"/>
      <c r="X42" s="85"/>
      <c r="Y42" s="3"/>
      <c r="Z42" s="3"/>
      <c r="AA42" s="3"/>
      <c r="AB42" s="3"/>
      <c r="AC42" s="3"/>
      <c r="AD42" s="3"/>
      <c r="AE42" s="3"/>
      <c r="AF42" s="3"/>
      <c r="AG42" s="3"/>
      <c r="AH42" s="3"/>
      <c r="AI42" s="3"/>
      <c r="AJ42" s="3"/>
      <c r="AK42" s="3"/>
      <c r="AL42" s="3"/>
    </row>
    <row r="43" spans="1:38" ht="12" customHeight="1" x14ac:dyDescent="0.2">
      <c r="A43" s="620"/>
      <c r="B43" s="1186"/>
      <c r="C43" s="486"/>
      <c r="D43" s="486" t="str">
        <f t="shared" si="6"/>
        <v>$ nominal</v>
      </c>
      <c r="E43" s="486"/>
      <c r="F43" s="486"/>
      <c r="G43" s="486"/>
      <c r="H43" s="486"/>
      <c r="I43" s="486"/>
      <c r="J43" s="486"/>
      <c r="K43" s="1195"/>
      <c r="L43" s="1195"/>
      <c r="M43" s="1195"/>
      <c r="N43" s="1195"/>
      <c r="O43" s="1195"/>
      <c r="P43" s="1195"/>
      <c r="Q43" s="1195"/>
      <c r="R43" s="1195"/>
      <c r="S43" s="1195"/>
      <c r="T43" s="1195"/>
      <c r="U43" s="1029">
        <f t="shared" si="5"/>
        <v>0</v>
      </c>
      <c r="V43" s="3"/>
      <c r="W43" s="3"/>
      <c r="X43" s="85"/>
      <c r="Y43" s="3"/>
      <c r="Z43" s="3"/>
      <c r="AA43" s="3"/>
      <c r="AB43" s="3"/>
      <c r="AC43" s="3"/>
      <c r="AD43" s="3"/>
      <c r="AE43" s="3"/>
      <c r="AF43" s="3"/>
      <c r="AG43" s="3"/>
      <c r="AH43" s="3"/>
      <c r="AI43" s="3"/>
      <c r="AJ43" s="3"/>
      <c r="AK43" s="3"/>
      <c r="AL43" s="3"/>
    </row>
    <row r="44" spans="1:38" ht="12" customHeight="1" x14ac:dyDescent="0.2">
      <c r="A44" s="620"/>
      <c r="B44" s="1186"/>
      <c r="C44" s="486"/>
      <c r="D44" s="486" t="str">
        <f t="shared" si="6"/>
        <v>$ nominal</v>
      </c>
      <c r="E44" s="486"/>
      <c r="F44" s="486"/>
      <c r="G44" s="486"/>
      <c r="H44" s="486"/>
      <c r="I44" s="486"/>
      <c r="J44" s="486"/>
      <c r="K44" s="1195"/>
      <c r="L44" s="1195"/>
      <c r="M44" s="1195"/>
      <c r="N44" s="1195"/>
      <c r="O44" s="1195"/>
      <c r="P44" s="1195"/>
      <c r="Q44" s="1195"/>
      <c r="R44" s="1195"/>
      <c r="S44" s="1195"/>
      <c r="T44" s="1195"/>
      <c r="U44" s="1029">
        <f t="shared" si="5"/>
        <v>0</v>
      </c>
      <c r="V44" s="3"/>
      <c r="W44" s="3"/>
      <c r="X44" s="85"/>
      <c r="Y44" s="3"/>
      <c r="Z44" s="3"/>
      <c r="AA44" s="3"/>
      <c r="AB44" s="3"/>
      <c r="AC44" s="3"/>
      <c r="AD44" s="3"/>
      <c r="AE44" s="3"/>
      <c r="AF44" s="3"/>
      <c r="AG44" s="3"/>
      <c r="AH44" s="3"/>
      <c r="AI44" s="3"/>
      <c r="AJ44" s="3"/>
      <c r="AK44" s="3"/>
      <c r="AL44" s="3"/>
    </row>
    <row r="45" spans="1:38" ht="12" customHeight="1" x14ac:dyDescent="0.2">
      <c r="A45" s="620"/>
      <c r="B45" s="1186"/>
      <c r="C45" s="486"/>
      <c r="D45" s="486" t="str">
        <f t="shared" si="6"/>
        <v>$ nominal</v>
      </c>
      <c r="E45" s="486"/>
      <c r="F45" s="486"/>
      <c r="G45" s="486"/>
      <c r="H45" s="486"/>
      <c r="I45" s="486"/>
      <c r="J45" s="486"/>
      <c r="K45" s="1195"/>
      <c r="L45" s="1195"/>
      <c r="M45" s="1195"/>
      <c r="N45" s="1195"/>
      <c r="O45" s="1195"/>
      <c r="P45" s="1195"/>
      <c r="Q45" s="1195"/>
      <c r="R45" s="1195"/>
      <c r="S45" s="1195"/>
      <c r="T45" s="1195"/>
      <c r="U45" s="1029">
        <f t="shared" si="5"/>
        <v>0</v>
      </c>
      <c r="V45" s="3"/>
      <c r="W45" s="3"/>
      <c r="X45" s="85"/>
      <c r="Y45" s="3"/>
      <c r="Z45" s="3"/>
      <c r="AA45" s="3"/>
      <c r="AB45" s="3"/>
      <c r="AC45" s="3"/>
      <c r="AD45" s="3"/>
      <c r="AE45" s="3"/>
      <c r="AF45" s="3"/>
      <c r="AG45" s="3"/>
      <c r="AH45" s="3"/>
      <c r="AI45" s="3"/>
      <c r="AJ45" s="3"/>
      <c r="AK45" s="3"/>
      <c r="AL45" s="3"/>
    </row>
    <row r="46" spans="1:38" ht="12" customHeight="1" x14ac:dyDescent="0.2">
      <c r="A46" s="620"/>
      <c r="B46" s="1186"/>
      <c r="C46" s="486"/>
      <c r="D46" s="486" t="str">
        <f t="shared" si="6"/>
        <v>$ nominal</v>
      </c>
      <c r="E46" s="486"/>
      <c r="F46" s="486"/>
      <c r="G46" s="486"/>
      <c r="H46" s="486"/>
      <c r="I46" s="486"/>
      <c r="J46" s="486"/>
      <c r="K46" s="1195"/>
      <c r="L46" s="1195"/>
      <c r="M46" s="1195"/>
      <c r="N46" s="1195"/>
      <c r="O46" s="1195"/>
      <c r="P46" s="1195"/>
      <c r="Q46" s="1195"/>
      <c r="R46" s="1195"/>
      <c r="S46" s="1195"/>
      <c r="T46" s="1195"/>
      <c r="U46" s="1029">
        <f t="shared" si="5"/>
        <v>0</v>
      </c>
      <c r="V46" s="3"/>
      <c r="W46" s="3"/>
      <c r="X46" s="85"/>
      <c r="Y46" s="3"/>
      <c r="Z46" s="3"/>
      <c r="AA46" s="3"/>
      <c r="AB46" s="3"/>
      <c r="AC46" s="3"/>
      <c r="AD46" s="3"/>
      <c r="AE46" s="3"/>
      <c r="AF46" s="3"/>
      <c r="AG46" s="3"/>
      <c r="AH46" s="3"/>
      <c r="AI46" s="3"/>
      <c r="AJ46" s="3"/>
      <c r="AK46" s="3"/>
      <c r="AL46" s="3"/>
    </row>
    <row r="47" spans="1:38" ht="12" customHeight="1" x14ac:dyDescent="0.2">
      <c r="A47" s="620"/>
      <c r="B47" s="1186"/>
      <c r="C47" s="486"/>
      <c r="D47" s="486" t="str">
        <f t="shared" si="6"/>
        <v>$ nominal</v>
      </c>
      <c r="E47" s="486"/>
      <c r="F47" s="486"/>
      <c r="G47" s="486"/>
      <c r="H47" s="486"/>
      <c r="I47" s="486"/>
      <c r="J47" s="486"/>
      <c r="K47" s="1195"/>
      <c r="L47" s="1195"/>
      <c r="M47" s="1195"/>
      <c r="N47" s="1195"/>
      <c r="O47" s="1195"/>
      <c r="P47" s="1195"/>
      <c r="Q47" s="1195"/>
      <c r="R47" s="1195"/>
      <c r="S47" s="1195"/>
      <c r="T47" s="1195"/>
      <c r="U47" s="1029">
        <f t="shared" si="5"/>
        <v>0</v>
      </c>
      <c r="V47" s="3"/>
      <c r="W47" s="3"/>
      <c r="X47" s="85"/>
      <c r="Y47" s="3"/>
      <c r="Z47" s="3"/>
      <c r="AA47" s="3"/>
      <c r="AB47" s="3"/>
      <c r="AC47" s="3"/>
      <c r="AD47" s="3"/>
      <c r="AE47" s="3"/>
      <c r="AF47" s="3"/>
      <c r="AG47" s="3"/>
      <c r="AH47" s="3"/>
      <c r="AI47" s="3"/>
      <c r="AJ47" s="3"/>
      <c r="AK47" s="3"/>
      <c r="AL47" s="3"/>
    </row>
    <row r="48" spans="1:38" ht="12" customHeight="1" x14ac:dyDescent="0.2">
      <c r="A48" s="620"/>
      <c r="B48" s="1186"/>
      <c r="C48" s="486"/>
      <c r="D48" s="486" t="str">
        <f t="shared" si="6"/>
        <v>$ nominal</v>
      </c>
      <c r="E48" s="486"/>
      <c r="F48" s="486"/>
      <c r="G48" s="486"/>
      <c r="H48" s="486"/>
      <c r="I48" s="486"/>
      <c r="J48" s="486"/>
      <c r="K48" s="1195"/>
      <c r="L48" s="1195"/>
      <c r="M48" s="1195"/>
      <c r="N48" s="1195"/>
      <c r="O48" s="1195"/>
      <c r="P48" s="1195"/>
      <c r="Q48" s="1195"/>
      <c r="R48" s="1195"/>
      <c r="S48" s="1195"/>
      <c r="T48" s="1195"/>
      <c r="U48" s="1029">
        <f t="shared" si="5"/>
        <v>0</v>
      </c>
      <c r="V48" s="3"/>
      <c r="W48" s="3"/>
      <c r="X48" s="85"/>
      <c r="Y48" s="3"/>
      <c r="Z48" s="3"/>
      <c r="AA48" s="3"/>
      <c r="AB48" s="3"/>
      <c r="AC48" s="3"/>
      <c r="AD48" s="3"/>
      <c r="AE48" s="3"/>
      <c r="AF48" s="3"/>
      <c r="AG48" s="3"/>
      <c r="AH48" s="3"/>
      <c r="AI48" s="3"/>
      <c r="AJ48" s="3"/>
      <c r="AK48" s="3"/>
      <c r="AL48" s="3"/>
    </row>
    <row r="49" spans="1:38" ht="12" customHeight="1" x14ac:dyDescent="0.2">
      <c r="A49" s="620"/>
      <c r="B49" s="1186"/>
      <c r="C49" s="486"/>
      <c r="D49" s="486" t="str">
        <f t="shared" si="6"/>
        <v>$ nominal</v>
      </c>
      <c r="E49" s="486"/>
      <c r="F49" s="486"/>
      <c r="G49" s="486"/>
      <c r="H49" s="486"/>
      <c r="I49" s="486"/>
      <c r="J49" s="486"/>
      <c r="K49" s="1195"/>
      <c r="L49" s="1195"/>
      <c r="M49" s="1195"/>
      <c r="N49" s="1195"/>
      <c r="O49" s="1195"/>
      <c r="P49" s="1195"/>
      <c r="Q49" s="1195"/>
      <c r="R49" s="1195"/>
      <c r="S49" s="1195"/>
      <c r="T49" s="1195"/>
      <c r="U49" s="1029">
        <f t="shared" si="5"/>
        <v>0</v>
      </c>
      <c r="V49" s="3"/>
      <c r="W49" s="3"/>
      <c r="X49" s="85"/>
      <c r="Y49" s="3"/>
      <c r="Z49" s="3"/>
      <c r="AA49" s="3"/>
      <c r="AB49" s="3"/>
      <c r="AC49" s="3"/>
      <c r="AD49" s="3"/>
      <c r="AE49" s="3"/>
      <c r="AF49" s="3"/>
      <c r="AG49" s="3"/>
      <c r="AH49" s="3"/>
      <c r="AI49" s="3"/>
      <c r="AJ49" s="3"/>
      <c r="AK49" s="3"/>
      <c r="AL49" s="3"/>
    </row>
    <row r="50" spans="1:38" ht="12" customHeight="1" x14ac:dyDescent="0.2">
      <c r="A50" s="620"/>
      <c r="B50" s="1186"/>
      <c r="C50" s="486"/>
      <c r="D50" s="486" t="str">
        <f t="shared" si="6"/>
        <v>$ nominal</v>
      </c>
      <c r="E50" s="486"/>
      <c r="F50" s="486"/>
      <c r="G50" s="486"/>
      <c r="H50" s="486"/>
      <c r="I50" s="486"/>
      <c r="J50" s="486"/>
      <c r="K50" s="1195"/>
      <c r="L50" s="1195"/>
      <c r="M50" s="1195"/>
      <c r="N50" s="1195"/>
      <c r="O50" s="1195"/>
      <c r="P50" s="1195"/>
      <c r="Q50" s="1195"/>
      <c r="R50" s="1195"/>
      <c r="S50" s="1195"/>
      <c r="T50" s="1195"/>
      <c r="U50" s="1029">
        <f t="shared" si="5"/>
        <v>0</v>
      </c>
      <c r="V50" s="3"/>
      <c r="W50" s="3"/>
      <c r="X50" s="85"/>
      <c r="Y50" s="3"/>
      <c r="Z50" s="3"/>
      <c r="AA50" s="3"/>
      <c r="AB50" s="3"/>
      <c r="AC50" s="3"/>
      <c r="AD50" s="3"/>
      <c r="AE50" s="3"/>
      <c r="AF50" s="3"/>
      <c r="AG50" s="3"/>
      <c r="AH50" s="3"/>
      <c r="AI50" s="3"/>
      <c r="AJ50" s="3"/>
      <c r="AK50" s="3"/>
      <c r="AL50" s="3"/>
    </row>
    <row r="51" spans="1:38" ht="12" customHeight="1" x14ac:dyDescent="0.2">
      <c r="A51" s="620"/>
      <c r="B51" s="1186"/>
      <c r="C51" s="486"/>
      <c r="D51" s="486" t="str">
        <f t="shared" si="6"/>
        <v>$ nominal</v>
      </c>
      <c r="E51" s="486"/>
      <c r="F51" s="486"/>
      <c r="G51" s="486"/>
      <c r="H51" s="486"/>
      <c r="I51" s="486"/>
      <c r="J51" s="486"/>
      <c r="K51" s="1195"/>
      <c r="L51" s="1195"/>
      <c r="M51" s="1195"/>
      <c r="N51" s="1195"/>
      <c r="O51" s="1195"/>
      <c r="P51" s="1195"/>
      <c r="Q51" s="1195"/>
      <c r="R51" s="1195"/>
      <c r="S51" s="1195"/>
      <c r="T51" s="1195"/>
      <c r="U51" s="1029">
        <f t="shared" si="5"/>
        <v>0</v>
      </c>
      <c r="V51" s="3"/>
      <c r="W51" s="3"/>
      <c r="X51" s="85"/>
      <c r="Y51" s="3"/>
      <c r="Z51" s="3"/>
      <c r="AA51" s="3"/>
      <c r="AB51" s="3"/>
      <c r="AC51" s="3"/>
      <c r="AD51" s="3"/>
      <c r="AE51" s="3"/>
      <c r="AF51" s="3"/>
      <c r="AG51" s="3"/>
      <c r="AH51" s="3"/>
      <c r="AI51" s="3"/>
      <c r="AJ51" s="3"/>
      <c r="AK51" s="3"/>
      <c r="AL51" s="3"/>
    </row>
    <row r="52" spans="1:38" ht="12" customHeight="1" x14ac:dyDescent="0.2">
      <c r="A52" s="620"/>
      <c r="B52" s="1186"/>
      <c r="C52" s="486"/>
      <c r="D52" s="486" t="str">
        <f t="shared" si="6"/>
        <v>$ nominal</v>
      </c>
      <c r="E52" s="486"/>
      <c r="F52" s="486"/>
      <c r="G52" s="486"/>
      <c r="H52" s="486"/>
      <c r="I52" s="486"/>
      <c r="J52" s="486"/>
      <c r="K52" s="1195"/>
      <c r="L52" s="1195"/>
      <c r="M52" s="1195"/>
      <c r="N52" s="1195"/>
      <c r="O52" s="1195"/>
      <c r="P52" s="1195"/>
      <c r="Q52" s="1195"/>
      <c r="R52" s="1195"/>
      <c r="S52" s="1195"/>
      <c r="T52" s="1195"/>
      <c r="U52" s="1029">
        <f t="shared" si="5"/>
        <v>0</v>
      </c>
      <c r="V52" s="3"/>
      <c r="W52" s="3"/>
      <c r="X52" s="85"/>
      <c r="Y52" s="3"/>
      <c r="Z52" s="3"/>
      <c r="AA52" s="3"/>
      <c r="AB52" s="3"/>
      <c r="AC52" s="3"/>
      <c r="AD52" s="3"/>
      <c r="AE52" s="3"/>
      <c r="AF52" s="3"/>
      <c r="AG52" s="3"/>
      <c r="AH52" s="3"/>
      <c r="AI52" s="3"/>
      <c r="AJ52" s="3"/>
      <c r="AK52" s="3"/>
      <c r="AL52" s="3"/>
    </row>
    <row r="53" spans="1:38" ht="12" customHeight="1" x14ac:dyDescent="0.2">
      <c r="A53" s="620"/>
      <c r="B53" s="1186"/>
      <c r="C53" s="486"/>
      <c r="D53" s="486" t="str">
        <f t="shared" si="6"/>
        <v>$ nominal</v>
      </c>
      <c r="E53" s="486"/>
      <c r="F53" s="486"/>
      <c r="G53" s="486"/>
      <c r="H53" s="486"/>
      <c r="I53" s="486"/>
      <c r="J53" s="486"/>
      <c r="K53" s="1195"/>
      <c r="L53" s="1195"/>
      <c r="M53" s="1195"/>
      <c r="N53" s="1195"/>
      <c r="O53" s="1195"/>
      <c r="P53" s="1195"/>
      <c r="Q53" s="1195"/>
      <c r="R53" s="1195"/>
      <c r="S53" s="1195"/>
      <c r="T53" s="1195"/>
      <c r="U53" s="1029">
        <f t="shared" si="5"/>
        <v>0</v>
      </c>
      <c r="V53" s="3"/>
      <c r="W53" s="3"/>
      <c r="X53" s="85"/>
      <c r="Y53" s="3"/>
      <c r="Z53" s="3"/>
      <c r="AA53" s="3"/>
      <c r="AB53" s="3"/>
      <c r="AC53" s="3"/>
      <c r="AD53" s="3"/>
      <c r="AE53" s="3"/>
      <c r="AF53" s="3"/>
      <c r="AG53" s="3"/>
      <c r="AH53" s="3"/>
      <c r="AI53" s="3"/>
      <c r="AJ53" s="3"/>
      <c r="AK53" s="3"/>
      <c r="AL53" s="3"/>
    </row>
    <row r="54" spans="1:38" ht="12" customHeight="1" x14ac:dyDescent="0.2">
      <c r="A54" s="620"/>
      <c r="B54" s="1187" t="s">
        <v>721</v>
      </c>
      <c r="C54" s="631"/>
      <c r="D54" s="631"/>
      <c r="E54" s="631"/>
      <c r="F54" s="631"/>
      <c r="G54" s="631"/>
      <c r="H54" s="631"/>
      <c r="I54" s="631"/>
      <c r="J54" s="631"/>
      <c r="K54" s="1197"/>
      <c r="L54" s="1198"/>
      <c r="M54" s="1198"/>
      <c r="N54" s="1198"/>
      <c r="O54" s="1198"/>
      <c r="P54" s="1198"/>
      <c r="Q54" s="1198"/>
      <c r="R54" s="1198"/>
      <c r="S54" s="1198"/>
      <c r="T54" s="1198"/>
      <c r="U54" s="1188">
        <f t="shared" si="5"/>
        <v>0</v>
      </c>
      <c r="V54" s="3"/>
      <c r="W54" s="3"/>
      <c r="X54" s="85"/>
      <c r="Y54" s="3"/>
      <c r="Z54" s="3"/>
      <c r="AA54" s="3"/>
      <c r="AB54" s="3"/>
      <c r="AC54" s="3"/>
      <c r="AD54" s="3"/>
      <c r="AE54" s="3"/>
      <c r="AF54" s="3"/>
      <c r="AG54" s="3"/>
      <c r="AH54" s="3"/>
      <c r="AI54" s="3"/>
      <c r="AJ54" s="3"/>
      <c r="AK54" s="3"/>
      <c r="AL54" s="3"/>
    </row>
    <row r="55" spans="1:38" ht="12" customHeight="1" x14ac:dyDescent="0.2">
      <c r="A55" s="620"/>
      <c r="B55" s="1186" t="s">
        <v>993</v>
      </c>
      <c r="C55" s="486"/>
      <c r="D55" s="486" t="str">
        <f t="shared" si="6"/>
        <v>$ nominal</v>
      </c>
      <c r="E55" s="486"/>
      <c r="F55" s="486"/>
      <c r="G55" s="486"/>
      <c r="H55" s="486"/>
      <c r="I55" s="486"/>
      <c r="J55" s="486"/>
      <c r="K55" s="1195">
        <v>2000000</v>
      </c>
      <c r="L55" s="1195">
        <v>2060000</v>
      </c>
      <c r="M55" s="1195">
        <v>2121800</v>
      </c>
      <c r="N55" s="1195">
        <v>2185454</v>
      </c>
      <c r="O55" s="1195">
        <v>2251017.62</v>
      </c>
      <c r="P55" s="1195">
        <v>2318548.1486</v>
      </c>
      <c r="Q55" s="1195">
        <v>2388104.5930579999</v>
      </c>
      <c r="R55" s="1195">
        <v>2459747.7308497401</v>
      </c>
      <c r="S55" s="1195">
        <v>2533540.1627752325</v>
      </c>
      <c r="T55" s="1195">
        <v>2609546.3676584894</v>
      </c>
      <c r="U55" s="1029">
        <f t="shared" si="5"/>
        <v>22927758.622941464</v>
      </c>
      <c r="V55" s="3"/>
      <c r="W55" s="3"/>
      <c r="X55" s="85"/>
      <c r="Y55" s="3"/>
      <c r="Z55" s="3"/>
      <c r="AA55" s="3"/>
      <c r="AB55" s="3"/>
      <c r="AC55" s="3"/>
      <c r="AD55" s="3"/>
      <c r="AE55" s="3"/>
      <c r="AF55" s="3"/>
      <c r="AG55" s="3"/>
      <c r="AH55" s="3"/>
      <c r="AI55" s="3"/>
      <c r="AJ55" s="3"/>
      <c r="AK55" s="3"/>
      <c r="AL55" s="3"/>
    </row>
    <row r="56" spans="1:38" ht="12" customHeight="1" x14ac:dyDescent="0.2">
      <c r="A56" s="620"/>
      <c r="B56" s="1186"/>
      <c r="C56" s="486"/>
      <c r="D56" s="486" t="str">
        <f t="shared" si="6"/>
        <v>$ nominal</v>
      </c>
      <c r="E56" s="486"/>
      <c r="F56" s="486"/>
      <c r="G56" s="486"/>
      <c r="H56" s="486"/>
      <c r="I56" s="486"/>
      <c r="J56" s="486"/>
      <c r="K56" s="1195"/>
      <c r="L56" s="1195"/>
      <c r="M56" s="1195"/>
      <c r="N56" s="1195"/>
      <c r="O56" s="1195"/>
      <c r="P56" s="1195"/>
      <c r="Q56" s="1195"/>
      <c r="R56" s="1195"/>
      <c r="S56" s="1195"/>
      <c r="T56" s="1195"/>
      <c r="U56" s="1029">
        <f t="shared" si="5"/>
        <v>0</v>
      </c>
      <c r="V56" s="3"/>
      <c r="W56" s="3"/>
      <c r="X56" s="85"/>
      <c r="Y56" s="3"/>
      <c r="Z56" s="3"/>
      <c r="AA56" s="3"/>
      <c r="AB56" s="3"/>
      <c r="AC56" s="3"/>
      <c r="AD56" s="3"/>
      <c r="AE56" s="3"/>
      <c r="AF56" s="3"/>
      <c r="AG56" s="3"/>
      <c r="AH56" s="3"/>
      <c r="AI56" s="3"/>
      <c r="AJ56" s="3"/>
      <c r="AK56" s="3"/>
      <c r="AL56" s="3"/>
    </row>
    <row r="57" spans="1:38" ht="12" customHeight="1" x14ac:dyDescent="0.2">
      <c r="A57" s="620"/>
      <c r="B57" s="1186"/>
      <c r="C57" s="486"/>
      <c r="D57" s="486" t="str">
        <f t="shared" si="6"/>
        <v>$ nominal</v>
      </c>
      <c r="E57" s="486"/>
      <c r="F57" s="486"/>
      <c r="G57" s="486"/>
      <c r="H57" s="486"/>
      <c r="I57" s="486"/>
      <c r="J57" s="486"/>
      <c r="K57" s="1195"/>
      <c r="L57" s="1195"/>
      <c r="M57" s="1195"/>
      <c r="N57" s="1195"/>
      <c r="O57" s="1195"/>
      <c r="P57" s="1195"/>
      <c r="Q57" s="1195"/>
      <c r="R57" s="1195"/>
      <c r="S57" s="1195"/>
      <c r="T57" s="1195"/>
      <c r="U57" s="1029">
        <f t="shared" si="5"/>
        <v>0</v>
      </c>
      <c r="V57" s="3"/>
      <c r="W57" s="3"/>
      <c r="X57" s="85"/>
      <c r="Y57" s="3"/>
      <c r="Z57" s="3"/>
      <c r="AA57" s="3"/>
      <c r="AB57" s="3"/>
      <c r="AC57" s="3"/>
      <c r="AD57" s="3"/>
      <c r="AE57" s="3"/>
      <c r="AF57" s="3"/>
      <c r="AG57" s="3"/>
      <c r="AH57" s="3"/>
      <c r="AI57" s="3"/>
      <c r="AJ57" s="3"/>
      <c r="AK57" s="3"/>
      <c r="AL57" s="3"/>
    </row>
    <row r="58" spans="1:38" ht="12" customHeight="1" x14ac:dyDescent="0.2">
      <c r="A58" s="620"/>
      <c r="B58" s="1186"/>
      <c r="C58" s="486"/>
      <c r="D58" s="486" t="str">
        <f t="shared" si="6"/>
        <v>$ nominal</v>
      </c>
      <c r="E58" s="486"/>
      <c r="F58" s="486"/>
      <c r="G58" s="486"/>
      <c r="H58" s="486"/>
      <c r="I58" s="486"/>
      <c r="J58" s="486"/>
      <c r="K58" s="1195"/>
      <c r="L58" s="1195"/>
      <c r="M58" s="1195"/>
      <c r="N58" s="1195"/>
      <c r="O58" s="1195"/>
      <c r="P58" s="1195"/>
      <c r="Q58" s="1195"/>
      <c r="R58" s="1195"/>
      <c r="S58" s="1195"/>
      <c r="T58" s="1195"/>
      <c r="U58" s="1029">
        <f t="shared" si="5"/>
        <v>0</v>
      </c>
      <c r="V58" s="3"/>
      <c r="W58" s="3"/>
      <c r="X58" s="85"/>
      <c r="Y58" s="3"/>
      <c r="Z58" s="3"/>
      <c r="AA58" s="3"/>
      <c r="AB58" s="3"/>
      <c r="AC58" s="3"/>
      <c r="AD58" s="3"/>
      <c r="AE58" s="3"/>
      <c r="AF58" s="3"/>
      <c r="AG58" s="3"/>
      <c r="AH58" s="3"/>
      <c r="AI58" s="3"/>
      <c r="AJ58" s="3"/>
      <c r="AK58" s="3"/>
      <c r="AL58" s="3"/>
    </row>
    <row r="59" spans="1:38" ht="12" customHeight="1" x14ac:dyDescent="0.2">
      <c r="A59" s="620"/>
      <c r="B59" s="1186"/>
      <c r="C59" s="486"/>
      <c r="D59" s="486" t="str">
        <f t="shared" si="6"/>
        <v>$ nominal</v>
      </c>
      <c r="E59" s="486"/>
      <c r="F59" s="486"/>
      <c r="G59" s="486"/>
      <c r="H59" s="486"/>
      <c r="I59" s="486"/>
      <c r="J59" s="486"/>
      <c r="K59" s="1195"/>
      <c r="L59" s="1195"/>
      <c r="M59" s="1195"/>
      <c r="N59" s="1195"/>
      <c r="O59" s="1195"/>
      <c r="P59" s="1195"/>
      <c r="Q59" s="1195"/>
      <c r="R59" s="1195"/>
      <c r="S59" s="1195"/>
      <c r="T59" s="1195"/>
      <c r="U59" s="1029">
        <f t="shared" si="5"/>
        <v>0</v>
      </c>
      <c r="V59" s="3"/>
      <c r="W59" s="3"/>
      <c r="X59" s="85"/>
      <c r="Y59" s="3"/>
      <c r="Z59" s="3"/>
      <c r="AA59" s="3"/>
      <c r="AB59" s="3"/>
      <c r="AC59" s="3"/>
      <c r="AD59" s="3"/>
      <c r="AE59" s="3"/>
      <c r="AF59" s="3"/>
      <c r="AG59" s="3"/>
      <c r="AH59" s="3"/>
      <c r="AI59" s="3"/>
      <c r="AJ59" s="3"/>
      <c r="AK59" s="3"/>
      <c r="AL59" s="3"/>
    </row>
    <row r="60" spans="1:38" ht="12" customHeight="1" x14ac:dyDescent="0.2">
      <c r="A60" s="620"/>
      <c r="B60" s="1186"/>
      <c r="C60" s="486"/>
      <c r="D60" s="486" t="str">
        <f t="shared" si="6"/>
        <v>$ nominal</v>
      </c>
      <c r="E60" s="486"/>
      <c r="F60" s="486"/>
      <c r="G60" s="486"/>
      <c r="H60" s="486"/>
      <c r="I60" s="486"/>
      <c r="J60" s="486"/>
      <c r="K60" s="1195"/>
      <c r="L60" s="1195"/>
      <c r="M60" s="1195"/>
      <c r="N60" s="1195"/>
      <c r="O60" s="1195"/>
      <c r="P60" s="1195"/>
      <c r="Q60" s="1195"/>
      <c r="R60" s="1195"/>
      <c r="S60" s="1195"/>
      <c r="T60" s="1195"/>
      <c r="U60" s="1029">
        <f t="shared" si="5"/>
        <v>0</v>
      </c>
      <c r="V60" s="3"/>
      <c r="W60" s="3"/>
      <c r="X60" s="85"/>
      <c r="Y60" s="3"/>
      <c r="Z60" s="3"/>
      <c r="AA60" s="3"/>
      <c r="AB60" s="3"/>
      <c r="AC60" s="3"/>
      <c r="AD60" s="3"/>
      <c r="AE60" s="3"/>
      <c r="AF60" s="3"/>
      <c r="AG60" s="3"/>
      <c r="AH60" s="3"/>
      <c r="AI60" s="3"/>
      <c r="AJ60" s="3"/>
      <c r="AK60" s="3"/>
      <c r="AL60" s="3"/>
    </row>
    <row r="61" spans="1:38" ht="12" customHeight="1" x14ac:dyDescent="0.2">
      <c r="A61" s="620"/>
      <c r="B61" s="1186"/>
      <c r="C61" s="486"/>
      <c r="D61" s="486" t="str">
        <f t="shared" si="6"/>
        <v>$ nominal</v>
      </c>
      <c r="E61" s="486"/>
      <c r="F61" s="486"/>
      <c r="G61" s="486"/>
      <c r="H61" s="486"/>
      <c r="I61" s="486"/>
      <c r="J61" s="486"/>
      <c r="K61" s="1195"/>
      <c r="L61" s="1195"/>
      <c r="M61" s="1195"/>
      <c r="N61" s="1195"/>
      <c r="O61" s="1195"/>
      <c r="P61" s="1195"/>
      <c r="Q61" s="1195"/>
      <c r="R61" s="1195"/>
      <c r="S61" s="1195"/>
      <c r="T61" s="1195"/>
      <c r="U61" s="1029">
        <f t="shared" si="5"/>
        <v>0</v>
      </c>
      <c r="V61" s="3"/>
      <c r="W61" s="3"/>
      <c r="X61" s="85"/>
      <c r="Y61" s="3"/>
      <c r="Z61" s="3"/>
      <c r="AA61" s="3"/>
      <c r="AB61" s="3"/>
      <c r="AC61" s="3"/>
      <c r="AD61" s="3"/>
      <c r="AE61" s="3"/>
      <c r="AF61" s="3"/>
      <c r="AG61" s="3"/>
      <c r="AH61" s="3"/>
      <c r="AI61" s="3"/>
      <c r="AJ61" s="3"/>
      <c r="AK61" s="3"/>
      <c r="AL61" s="3"/>
    </row>
    <row r="62" spans="1:38" ht="12" customHeight="1" x14ac:dyDescent="0.2">
      <c r="A62" s="620"/>
      <c r="B62" s="1186"/>
      <c r="C62" s="486"/>
      <c r="D62" s="486" t="str">
        <f t="shared" si="6"/>
        <v>$ nominal</v>
      </c>
      <c r="E62" s="486"/>
      <c r="F62" s="486"/>
      <c r="G62" s="486"/>
      <c r="H62" s="486"/>
      <c r="I62" s="486"/>
      <c r="J62" s="486"/>
      <c r="K62" s="1195"/>
      <c r="L62" s="1195"/>
      <c r="M62" s="1195"/>
      <c r="N62" s="1195"/>
      <c r="O62" s="1195"/>
      <c r="P62" s="1195"/>
      <c r="Q62" s="1195"/>
      <c r="R62" s="1195"/>
      <c r="S62" s="1195"/>
      <c r="T62" s="1195"/>
      <c r="U62" s="1029">
        <f t="shared" si="5"/>
        <v>0</v>
      </c>
      <c r="V62" s="3"/>
      <c r="W62" s="3"/>
      <c r="X62" s="85"/>
      <c r="Y62" s="3"/>
      <c r="Z62" s="3"/>
      <c r="AA62" s="3"/>
      <c r="AB62" s="3"/>
      <c r="AC62" s="3"/>
      <c r="AD62" s="3"/>
      <c r="AE62" s="3"/>
      <c r="AF62" s="3"/>
      <c r="AG62" s="3"/>
      <c r="AH62" s="3"/>
      <c r="AI62" s="3"/>
      <c r="AJ62" s="3"/>
      <c r="AK62" s="3"/>
      <c r="AL62" s="3"/>
    </row>
    <row r="63" spans="1:38" ht="12" customHeight="1" x14ac:dyDescent="0.2">
      <c r="A63" s="620"/>
      <c r="B63" s="1186"/>
      <c r="C63" s="486"/>
      <c r="D63" s="486" t="str">
        <f t="shared" si="6"/>
        <v>$ nominal</v>
      </c>
      <c r="E63" s="486"/>
      <c r="F63" s="486"/>
      <c r="G63" s="486"/>
      <c r="H63" s="486"/>
      <c r="I63" s="486"/>
      <c r="J63" s="486"/>
      <c r="K63" s="1195"/>
      <c r="L63" s="1195"/>
      <c r="M63" s="1195"/>
      <c r="N63" s="1195"/>
      <c r="O63" s="1195"/>
      <c r="P63" s="1195"/>
      <c r="Q63" s="1195"/>
      <c r="R63" s="1195"/>
      <c r="S63" s="1195"/>
      <c r="T63" s="1195"/>
      <c r="U63" s="1029">
        <f t="shared" si="5"/>
        <v>0</v>
      </c>
      <c r="V63" s="3"/>
      <c r="W63" s="3"/>
      <c r="X63" s="85"/>
      <c r="Y63" s="3"/>
      <c r="Z63" s="3"/>
      <c r="AA63" s="3"/>
      <c r="AB63" s="3"/>
      <c r="AC63" s="3"/>
      <c r="AD63" s="3"/>
      <c r="AE63" s="3"/>
      <c r="AF63" s="3"/>
      <c r="AG63" s="3"/>
      <c r="AH63" s="3"/>
      <c r="AI63" s="3"/>
      <c r="AJ63" s="3"/>
      <c r="AK63" s="3"/>
      <c r="AL63" s="3"/>
    </row>
    <row r="64" spans="1:38" ht="12" customHeight="1" x14ac:dyDescent="0.2">
      <c r="A64" s="620"/>
      <c r="B64" s="1186"/>
      <c r="C64" s="486"/>
      <c r="D64" s="486" t="str">
        <f t="shared" si="6"/>
        <v>$ nominal</v>
      </c>
      <c r="E64" s="486"/>
      <c r="F64" s="486"/>
      <c r="G64" s="486"/>
      <c r="H64" s="486"/>
      <c r="I64" s="486"/>
      <c r="J64" s="486"/>
      <c r="K64" s="1195"/>
      <c r="L64" s="1195"/>
      <c r="M64" s="1195"/>
      <c r="N64" s="1195"/>
      <c r="O64" s="1195"/>
      <c r="P64" s="1195"/>
      <c r="Q64" s="1195"/>
      <c r="R64" s="1195"/>
      <c r="S64" s="1195"/>
      <c r="T64" s="1195"/>
      <c r="U64" s="1029">
        <f t="shared" si="5"/>
        <v>0</v>
      </c>
      <c r="V64" s="3"/>
      <c r="W64" s="3"/>
      <c r="X64" s="85"/>
      <c r="Y64" s="3"/>
      <c r="Z64" s="3"/>
      <c r="AA64" s="3"/>
      <c r="AB64" s="3"/>
      <c r="AC64" s="3"/>
      <c r="AD64" s="3"/>
      <c r="AE64" s="3"/>
      <c r="AF64" s="3"/>
      <c r="AG64" s="3"/>
      <c r="AH64" s="3"/>
      <c r="AI64" s="3"/>
      <c r="AJ64" s="3"/>
      <c r="AK64" s="3"/>
      <c r="AL64" s="3"/>
    </row>
    <row r="65" spans="1:38" ht="12" customHeight="1" x14ac:dyDescent="0.2">
      <c r="A65" s="620"/>
      <c r="B65" s="1186"/>
      <c r="C65" s="486"/>
      <c r="D65" s="486" t="str">
        <f t="shared" si="6"/>
        <v>$ nominal</v>
      </c>
      <c r="E65" s="486"/>
      <c r="F65" s="486"/>
      <c r="G65" s="486"/>
      <c r="H65" s="486"/>
      <c r="I65" s="486"/>
      <c r="J65" s="486"/>
      <c r="K65" s="1195"/>
      <c r="L65" s="1195"/>
      <c r="M65" s="1195"/>
      <c r="N65" s="1195"/>
      <c r="O65" s="1195"/>
      <c r="P65" s="1195"/>
      <c r="Q65" s="1195"/>
      <c r="R65" s="1195"/>
      <c r="S65" s="1195"/>
      <c r="T65" s="1195"/>
      <c r="U65" s="1029">
        <f t="shared" si="5"/>
        <v>0</v>
      </c>
      <c r="V65" s="3"/>
      <c r="W65" s="3"/>
      <c r="X65" s="85"/>
      <c r="Y65" s="3"/>
      <c r="Z65" s="3"/>
      <c r="AA65" s="3"/>
      <c r="AB65" s="3"/>
      <c r="AC65" s="3"/>
      <c r="AD65" s="3"/>
      <c r="AE65" s="3"/>
      <c r="AF65" s="3"/>
      <c r="AG65" s="3"/>
      <c r="AH65" s="3"/>
      <c r="AI65" s="3"/>
      <c r="AJ65" s="3"/>
      <c r="AK65" s="3"/>
      <c r="AL65" s="3"/>
    </row>
    <row r="66" spans="1:38" ht="12" customHeight="1" x14ac:dyDescent="0.2">
      <c r="A66" s="620"/>
      <c r="B66" s="1186"/>
      <c r="C66" s="486"/>
      <c r="D66" s="486" t="str">
        <f t="shared" si="6"/>
        <v>$ nominal</v>
      </c>
      <c r="E66" s="486"/>
      <c r="F66" s="486"/>
      <c r="G66" s="486"/>
      <c r="H66" s="486"/>
      <c r="I66" s="486"/>
      <c r="J66" s="486"/>
      <c r="K66" s="1195"/>
      <c r="L66" s="1195"/>
      <c r="M66" s="1195"/>
      <c r="N66" s="1195"/>
      <c r="O66" s="1195"/>
      <c r="P66" s="1195"/>
      <c r="Q66" s="1195"/>
      <c r="R66" s="1195"/>
      <c r="S66" s="1195"/>
      <c r="T66" s="1195"/>
      <c r="U66" s="1029">
        <f t="shared" si="5"/>
        <v>0</v>
      </c>
      <c r="V66" s="3"/>
      <c r="W66" s="3"/>
      <c r="X66" s="85"/>
      <c r="Y66" s="3"/>
      <c r="Z66" s="3"/>
      <c r="AA66" s="3"/>
      <c r="AB66" s="3"/>
      <c r="AC66" s="3"/>
      <c r="AD66" s="3"/>
      <c r="AE66" s="3"/>
      <c r="AF66" s="3"/>
      <c r="AG66" s="3"/>
      <c r="AH66" s="3"/>
      <c r="AI66" s="3"/>
      <c r="AJ66" s="3"/>
      <c r="AK66" s="3"/>
      <c r="AL66" s="3"/>
    </row>
    <row r="67" spans="1:38" ht="12" customHeight="1" x14ac:dyDescent="0.2">
      <c r="A67" s="620"/>
      <c r="B67" s="1186"/>
      <c r="C67" s="486"/>
      <c r="D67" s="486" t="str">
        <f t="shared" si="6"/>
        <v>$ nominal</v>
      </c>
      <c r="E67" s="486"/>
      <c r="F67" s="486"/>
      <c r="G67" s="486"/>
      <c r="H67" s="486"/>
      <c r="I67" s="486"/>
      <c r="J67" s="486"/>
      <c r="K67" s="1195"/>
      <c r="L67" s="1195"/>
      <c r="M67" s="1195"/>
      <c r="N67" s="1195"/>
      <c r="O67" s="1195"/>
      <c r="P67" s="1195"/>
      <c r="Q67" s="1195"/>
      <c r="R67" s="1195"/>
      <c r="S67" s="1195"/>
      <c r="T67" s="1195"/>
      <c r="U67" s="1029">
        <f t="shared" si="5"/>
        <v>0</v>
      </c>
      <c r="V67" s="3"/>
      <c r="W67" s="3"/>
      <c r="X67" s="85"/>
      <c r="Y67" s="3"/>
      <c r="Z67" s="3"/>
      <c r="AA67" s="3"/>
      <c r="AB67" s="3"/>
      <c r="AC67" s="3"/>
      <c r="AD67" s="3"/>
      <c r="AE67" s="3"/>
      <c r="AF67" s="3"/>
      <c r="AG67" s="3"/>
      <c r="AH67" s="3"/>
      <c r="AI67" s="3"/>
      <c r="AJ67" s="3"/>
      <c r="AK67" s="3"/>
      <c r="AL67" s="3"/>
    </row>
    <row r="68" spans="1:38" ht="12" customHeight="1" x14ac:dyDescent="0.2">
      <c r="A68" s="620"/>
      <c r="B68" s="1186"/>
      <c r="C68" s="486"/>
      <c r="D68" s="486" t="str">
        <f t="shared" si="6"/>
        <v>$ nominal</v>
      </c>
      <c r="E68" s="486"/>
      <c r="F68" s="486"/>
      <c r="G68" s="486"/>
      <c r="H68" s="486"/>
      <c r="I68" s="486"/>
      <c r="J68" s="486"/>
      <c r="K68" s="1195"/>
      <c r="L68" s="1195"/>
      <c r="M68" s="1195"/>
      <c r="N68" s="1195"/>
      <c r="O68" s="1195"/>
      <c r="P68" s="1195"/>
      <c r="Q68" s="1195"/>
      <c r="R68" s="1195"/>
      <c r="S68" s="1195"/>
      <c r="T68" s="1195"/>
      <c r="U68" s="1029">
        <f t="shared" si="5"/>
        <v>0</v>
      </c>
      <c r="V68" s="3"/>
      <c r="W68" s="3"/>
      <c r="X68" s="85"/>
      <c r="Y68" s="3"/>
      <c r="Z68" s="3"/>
      <c r="AA68" s="3"/>
      <c r="AB68" s="3"/>
      <c r="AC68" s="3"/>
      <c r="AD68" s="3"/>
      <c r="AE68" s="3"/>
      <c r="AF68" s="3"/>
      <c r="AG68" s="3"/>
      <c r="AH68" s="3"/>
      <c r="AI68" s="3"/>
      <c r="AJ68" s="3"/>
      <c r="AK68" s="3"/>
      <c r="AL68" s="3"/>
    </row>
    <row r="69" spans="1:38" ht="12" customHeight="1" x14ac:dyDescent="0.2">
      <c r="A69" s="620"/>
      <c r="B69" s="1186"/>
      <c r="C69" s="486"/>
      <c r="D69" s="486" t="str">
        <f t="shared" si="6"/>
        <v>$ nominal</v>
      </c>
      <c r="E69" s="486"/>
      <c r="F69" s="486"/>
      <c r="G69" s="486"/>
      <c r="H69" s="486"/>
      <c r="I69" s="486"/>
      <c r="J69" s="486"/>
      <c r="K69" s="1195"/>
      <c r="L69" s="1195"/>
      <c r="M69" s="1195"/>
      <c r="N69" s="1195"/>
      <c r="O69" s="1195"/>
      <c r="P69" s="1195"/>
      <c r="Q69" s="1195"/>
      <c r="R69" s="1195"/>
      <c r="S69" s="1195"/>
      <c r="T69" s="1195"/>
      <c r="U69" s="1029">
        <f t="shared" si="5"/>
        <v>0</v>
      </c>
      <c r="V69" s="3"/>
      <c r="W69" s="3"/>
      <c r="X69" s="85"/>
      <c r="Y69" s="3"/>
      <c r="Z69" s="3"/>
      <c r="AA69" s="3"/>
      <c r="AB69" s="3"/>
      <c r="AC69" s="3"/>
      <c r="AD69" s="3"/>
      <c r="AE69" s="3"/>
      <c r="AF69" s="3"/>
      <c r="AG69" s="3"/>
      <c r="AH69" s="3"/>
      <c r="AI69" s="3"/>
      <c r="AJ69" s="3"/>
      <c r="AK69" s="3"/>
      <c r="AL69" s="3"/>
    </row>
    <row r="70" spans="1:38" x14ac:dyDescent="0.2">
      <c r="A70" s="620"/>
      <c r="B70" s="299" t="s">
        <v>722</v>
      </c>
      <c r="C70" s="3"/>
      <c r="D70" s="3"/>
      <c r="E70" s="3"/>
      <c r="F70" s="3"/>
      <c r="G70" s="3"/>
      <c r="H70" s="3"/>
      <c r="I70" s="3"/>
      <c r="J70" s="3"/>
      <c r="K70" s="1199">
        <f>IF(K$29=".",".",SUM(K39:K53,K55:K69))</f>
        <v>2000000</v>
      </c>
      <c r="L70" s="1199">
        <f t="shared" ref="L70:T70" si="7">IF(L$29=".",".",SUM(L39:L53,L55:L69))</f>
        <v>2060000</v>
      </c>
      <c r="M70" s="1199">
        <f t="shared" si="7"/>
        <v>2121800</v>
      </c>
      <c r="N70" s="1199">
        <f t="shared" si="7"/>
        <v>2185454</v>
      </c>
      <c r="O70" s="1199">
        <f t="shared" si="7"/>
        <v>2251017.62</v>
      </c>
      <c r="P70" s="1199">
        <f t="shared" si="7"/>
        <v>2318548.1486</v>
      </c>
      <c r="Q70" s="1199">
        <f t="shared" si="7"/>
        <v>2388104.5930579999</v>
      </c>
      <c r="R70" s="1199">
        <f t="shared" si="7"/>
        <v>2459747.7308497401</v>
      </c>
      <c r="S70" s="1199">
        <f t="shared" si="7"/>
        <v>2533540.1627752325</v>
      </c>
      <c r="T70" s="1199">
        <f t="shared" si="7"/>
        <v>2609546.3676584894</v>
      </c>
      <c r="U70" s="1029">
        <f t="shared" si="5"/>
        <v>22927758.622941464</v>
      </c>
      <c r="V70" s="243">
        <f>SUM(U39:U69)-U70</f>
        <v>0</v>
      </c>
      <c r="W70" s="3"/>
      <c r="X70" s="3"/>
      <c r="Y70" s="3"/>
      <c r="Z70" s="3"/>
      <c r="AA70" s="3"/>
      <c r="AB70" s="3"/>
      <c r="AC70" s="3"/>
      <c r="AD70" s="3"/>
      <c r="AE70" s="3"/>
      <c r="AF70" s="3"/>
      <c r="AG70" s="3"/>
      <c r="AH70" s="3"/>
      <c r="AI70" s="3"/>
      <c r="AJ70" s="3"/>
      <c r="AK70" s="3"/>
      <c r="AL70" s="3"/>
    </row>
    <row r="71" spans="1:38" x14ac:dyDescent="0.2">
      <c r="A71" s="620"/>
      <c r="B71" s="344" t="s">
        <v>723</v>
      </c>
      <c r="C71" s="140"/>
      <c r="D71" s="140"/>
      <c r="E71" s="140"/>
      <c r="F71" s="140"/>
      <c r="G71" s="140"/>
      <c r="H71" s="140"/>
      <c r="I71" s="140"/>
      <c r="J71" s="140"/>
      <c r="K71" s="1181">
        <f>IF(K$29=".",".",SUM($K70:K70))</f>
        <v>2000000</v>
      </c>
      <c r="L71" s="1181">
        <f>IF(L$29=".",".",SUM($K70:L70))</f>
        <v>4060000</v>
      </c>
      <c r="M71" s="1181">
        <f>IF(M$29=".",".",SUM($K70:M70))</f>
        <v>6181800</v>
      </c>
      <c r="N71" s="1181">
        <f>IF(N$29=".",".",SUM($K70:N70))</f>
        <v>8367254</v>
      </c>
      <c r="O71" s="1181">
        <f>IF(O$29=".",".",SUM($K70:O70))</f>
        <v>10618271.620000001</v>
      </c>
      <c r="P71" s="1181">
        <f>IF(P$29=".",".",SUM($K70:P70))</f>
        <v>12936819.768600002</v>
      </c>
      <c r="Q71" s="1181">
        <f>IF(Q$29=".",".",SUM($K70:Q70))</f>
        <v>15324924.361658001</v>
      </c>
      <c r="R71" s="1181">
        <f>IF(R$29=".",".",SUM($K70:R70))</f>
        <v>17784672.092507742</v>
      </c>
      <c r="S71" s="1181">
        <f>IF(S$29=".",".",SUM($K70:S70))</f>
        <v>20318212.255282976</v>
      </c>
      <c r="T71" s="1181">
        <f>IF(T$29=".",".",SUM($K70:T70))</f>
        <v>22927758.622941464</v>
      </c>
      <c r="U71" s="1193"/>
      <c r="V71" s="3"/>
      <c r="W71" s="3"/>
      <c r="X71" s="3"/>
      <c r="Y71" s="3"/>
      <c r="Z71" s="3"/>
      <c r="AA71" s="3"/>
      <c r="AB71" s="3"/>
      <c r="AC71" s="3"/>
      <c r="AD71" s="3"/>
      <c r="AE71" s="3"/>
      <c r="AF71" s="3"/>
      <c r="AG71" s="3"/>
      <c r="AH71" s="3"/>
      <c r="AI71" s="3"/>
      <c r="AJ71" s="3"/>
      <c r="AK71" s="3"/>
      <c r="AL71" s="3"/>
    </row>
    <row r="72" spans="1:38" ht="12" customHeight="1" x14ac:dyDescent="0.2">
      <c r="A72" s="620"/>
      <c r="B72" s="3"/>
      <c r="C72" s="3"/>
      <c r="D72" s="3"/>
      <c r="E72" s="3"/>
      <c r="F72" s="3"/>
      <c r="G72" s="3"/>
      <c r="H72" s="3"/>
      <c r="I72" s="3"/>
      <c r="J72" s="3"/>
      <c r="K72" s="112"/>
      <c r="L72" s="112"/>
      <c r="M72" s="112"/>
      <c r="N72" s="112"/>
      <c r="O72" s="112"/>
      <c r="P72" s="112"/>
      <c r="Q72" s="112"/>
      <c r="R72" s="112"/>
      <c r="S72" s="112"/>
      <c r="T72" s="112"/>
      <c r="U72" s="85"/>
      <c r="V72" s="3"/>
      <c r="W72" s="3"/>
      <c r="X72" s="3"/>
      <c r="Y72" s="3"/>
      <c r="Z72" s="3"/>
      <c r="AA72" s="3"/>
      <c r="AB72" s="3"/>
      <c r="AC72" s="3"/>
      <c r="AD72" s="3"/>
      <c r="AE72" s="3"/>
      <c r="AF72" s="3"/>
      <c r="AG72" s="3"/>
      <c r="AH72" s="3"/>
      <c r="AI72" s="3"/>
      <c r="AJ72" s="3"/>
      <c r="AK72" s="3"/>
      <c r="AL72" s="3"/>
    </row>
    <row r="73" spans="1:38" ht="12" customHeight="1" x14ac:dyDescent="0.2">
      <c r="A73" s="620"/>
      <c r="B73" s="3"/>
      <c r="C73" s="3"/>
      <c r="D73" s="3"/>
      <c r="E73" s="3"/>
      <c r="F73" s="3"/>
      <c r="G73" s="3"/>
      <c r="H73" s="3"/>
      <c r="I73" s="3"/>
      <c r="J73" s="3"/>
      <c r="K73" s="112"/>
      <c r="L73" s="112"/>
      <c r="M73" s="112"/>
      <c r="N73" s="112"/>
      <c r="O73" s="112"/>
      <c r="P73" s="112"/>
      <c r="Q73" s="112"/>
      <c r="R73" s="112"/>
      <c r="S73" s="112"/>
      <c r="T73" s="112"/>
      <c r="U73" s="85"/>
      <c r="V73" s="3"/>
      <c r="W73" s="3"/>
      <c r="X73" s="3"/>
      <c r="Y73" s="3"/>
      <c r="Z73" s="3"/>
      <c r="AA73" s="3"/>
      <c r="AB73" s="3"/>
      <c r="AC73" s="3"/>
      <c r="AD73" s="3"/>
      <c r="AE73" s="3"/>
      <c r="AF73" s="3"/>
      <c r="AG73" s="3"/>
      <c r="AH73" s="3"/>
      <c r="AI73" s="3"/>
      <c r="AJ73" s="3"/>
      <c r="AK73" s="3"/>
      <c r="AL73" s="3"/>
    </row>
    <row r="74" spans="1:38" ht="12" customHeight="1" x14ac:dyDescent="0.2">
      <c r="A74" s="620">
        <f>A35+1</f>
        <v>3</v>
      </c>
      <c r="B74" s="181" t="str">
        <f>"Table "&amp;A1&amp;"."&amp;A74&amp;": Capital expenditure ($ nominal) "</f>
        <v xml:space="preserve">Table 8.3: Capital expenditure ($ nominal) </v>
      </c>
      <c r="C74" s="3"/>
      <c r="D74" s="3"/>
      <c r="E74" s="3"/>
      <c r="F74" s="3"/>
      <c r="G74" s="3"/>
      <c r="H74" s="3"/>
      <c r="I74" s="3"/>
      <c r="K74" s="3"/>
      <c r="M74" s="3" t="str">
        <f>IF('WS1-Application'!$D$33="Minimum rate increase","[N/A - No need to complete, leave blue input cells blank]","")</f>
        <v/>
      </c>
      <c r="N74" s="3"/>
      <c r="O74" s="3"/>
      <c r="P74" s="3"/>
      <c r="Q74" s="3"/>
      <c r="R74" s="3"/>
      <c r="S74" s="3"/>
      <c r="T74" s="3"/>
      <c r="U74" s="3"/>
      <c r="V74" s="3"/>
      <c r="W74" s="3"/>
      <c r="X74" s="3"/>
      <c r="Y74" s="3"/>
      <c r="Z74" s="3"/>
      <c r="AA74" s="3"/>
      <c r="AB74" s="3"/>
      <c r="AC74" s="3"/>
      <c r="AD74" s="3"/>
      <c r="AE74" s="3"/>
      <c r="AF74" s="3"/>
      <c r="AG74" s="3"/>
      <c r="AH74" s="3"/>
      <c r="AI74" s="3"/>
      <c r="AJ74" s="3"/>
      <c r="AK74" s="3"/>
      <c r="AL74" s="3"/>
    </row>
    <row r="75" spans="1:38" ht="21" customHeight="1" x14ac:dyDescent="0.2">
      <c r="A75" s="620"/>
      <c r="B75" s="689"/>
      <c r="C75" s="695"/>
      <c r="D75" s="695"/>
      <c r="E75" s="695"/>
      <c r="F75" s="695"/>
      <c r="G75" s="695"/>
      <c r="H75" s="695"/>
      <c r="I75" s="695"/>
      <c r="J75" s="695"/>
      <c r="K75" s="1191" t="str">
        <f>K36</f>
        <v>Year 1</v>
      </c>
      <c r="L75" s="1191" t="str">
        <f t="shared" ref="L75:U75" si="8">L36</f>
        <v>Year 2</v>
      </c>
      <c r="M75" s="1191" t="str">
        <f t="shared" si="8"/>
        <v>Year 3</v>
      </c>
      <c r="N75" s="1191" t="str">
        <f t="shared" si="8"/>
        <v>Year 4</v>
      </c>
      <c r="O75" s="1191" t="str">
        <f t="shared" si="8"/>
        <v>Year 5</v>
      </c>
      <c r="P75" s="1191" t="str">
        <f t="shared" si="8"/>
        <v>Year 6</v>
      </c>
      <c r="Q75" s="1191" t="str">
        <f t="shared" si="8"/>
        <v>Year 7</v>
      </c>
      <c r="R75" s="1191" t="str">
        <f t="shared" si="8"/>
        <v>Year 8</v>
      </c>
      <c r="S75" s="1191" t="str">
        <f t="shared" si="8"/>
        <v>Year 9</v>
      </c>
      <c r="T75" s="1191" t="str">
        <f t="shared" si="8"/>
        <v>Year 10</v>
      </c>
      <c r="U75" s="1183" t="str">
        <f t="shared" si="8"/>
        <v>Sum of 10 years</v>
      </c>
      <c r="V75" s="3"/>
      <c r="W75" s="3"/>
      <c r="X75" s="3"/>
      <c r="Y75" s="3"/>
      <c r="Z75" s="3"/>
      <c r="AA75" s="3"/>
      <c r="AB75" s="3"/>
      <c r="AC75" s="3"/>
      <c r="AD75" s="3"/>
      <c r="AE75" s="3"/>
      <c r="AF75" s="3"/>
      <c r="AG75" s="3"/>
      <c r="AH75" s="3"/>
      <c r="AI75" s="3"/>
      <c r="AJ75" s="3"/>
      <c r="AK75" s="3"/>
      <c r="AL75" s="3"/>
    </row>
    <row r="76" spans="1:38" ht="21" customHeight="1" x14ac:dyDescent="0.25">
      <c r="A76" s="620"/>
      <c r="B76" s="1189"/>
      <c r="C76" s="584"/>
      <c r="D76" s="140" t="s">
        <v>641</v>
      </c>
      <c r="E76" s="584"/>
      <c r="F76" s="584"/>
      <c r="G76" s="584"/>
      <c r="H76" s="584"/>
      <c r="I76" s="584"/>
      <c r="J76" s="584"/>
      <c r="K76" s="1192" t="str">
        <f>K37</f>
        <v>2024-25</v>
      </c>
      <c r="L76" s="1192" t="str">
        <f t="shared" ref="L76:T76" si="9">L37</f>
        <v>2025-26</v>
      </c>
      <c r="M76" s="1192" t="str">
        <f t="shared" si="9"/>
        <v>2026-27</v>
      </c>
      <c r="N76" s="1192" t="str">
        <f t="shared" si="9"/>
        <v>2027-28</v>
      </c>
      <c r="O76" s="1192" t="str">
        <f t="shared" si="9"/>
        <v>2028-29</v>
      </c>
      <c r="P76" s="1192" t="str">
        <f t="shared" si="9"/>
        <v>2029-30</v>
      </c>
      <c r="Q76" s="1192" t="str">
        <f t="shared" si="9"/>
        <v>2030-31</v>
      </c>
      <c r="R76" s="1192" t="str">
        <f t="shared" si="9"/>
        <v>2031-32</v>
      </c>
      <c r="S76" s="1192" t="str">
        <f t="shared" si="9"/>
        <v>2032-33</v>
      </c>
      <c r="T76" s="1192" t="str">
        <f t="shared" si="9"/>
        <v>2033-34</v>
      </c>
      <c r="U76" s="1190"/>
      <c r="V76" s="3"/>
      <c r="W76" s="3"/>
      <c r="X76" s="3"/>
      <c r="Y76" s="3"/>
      <c r="Z76" s="3"/>
      <c r="AA76" s="3"/>
      <c r="AB76" s="3"/>
      <c r="AC76" s="3"/>
      <c r="AD76" s="3"/>
      <c r="AE76" s="3"/>
      <c r="AF76" s="3"/>
      <c r="AG76" s="3"/>
      <c r="AH76" s="3"/>
      <c r="AI76" s="3"/>
      <c r="AJ76" s="3"/>
      <c r="AK76" s="3"/>
      <c r="AL76" s="3"/>
    </row>
    <row r="77" spans="1:38" ht="10.9" customHeight="1" x14ac:dyDescent="0.2">
      <c r="A77" s="620"/>
      <c r="B77" s="1187" t="s">
        <v>724</v>
      </c>
      <c r="C77" s="631"/>
      <c r="D77" s="631"/>
      <c r="E77" s="632"/>
      <c r="F77" s="632"/>
      <c r="G77" s="632"/>
      <c r="H77" s="632"/>
      <c r="I77" s="632"/>
      <c r="J77" s="632"/>
      <c r="K77" s="1194" t="str">
        <f t="shared" ref="K77:M77" si="10">K$38</f>
        <v>.</v>
      </c>
      <c r="L77" s="1194" t="str">
        <f t="shared" si="10"/>
        <v>.</v>
      </c>
      <c r="M77" s="1194" t="str">
        <f t="shared" si="10"/>
        <v>.</v>
      </c>
      <c r="N77" s="1194" t="str">
        <f>N$38</f>
        <v>.</v>
      </c>
      <c r="O77" s="1194" t="str">
        <f t="shared" ref="O77:T77" si="11">O$38</f>
        <v>.</v>
      </c>
      <c r="P77" s="1194" t="str">
        <f t="shared" si="11"/>
        <v>.</v>
      </c>
      <c r="Q77" s="1194" t="str">
        <f t="shared" si="11"/>
        <v>.</v>
      </c>
      <c r="R77" s="1194" t="str">
        <f t="shared" si="11"/>
        <v>.</v>
      </c>
      <c r="S77" s="1194" t="str">
        <f t="shared" si="11"/>
        <v>.</v>
      </c>
      <c r="T77" s="1194" t="str">
        <f t="shared" si="11"/>
        <v>.</v>
      </c>
      <c r="U77" s="1185"/>
      <c r="V77" s="3"/>
      <c r="W77" s="3"/>
      <c r="X77" s="85"/>
      <c r="Y77" s="3"/>
      <c r="Z77" s="3"/>
      <c r="AA77" s="3"/>
      <c r="AB77" s="3"/>
      <c r="AC77" s="3"/>
      <c r="AD77" s="3"/>
      <c r="AE77" s="3"/>
      <c r="AF77" s="3"/>
      <c r="AG77" s="3"/>
      <c r="AH77" s="3"/>
      <c r="AI77" s="3"/>
      <c r="AJ77" s="3"/>
      <c r="AK77" s="3"/>
      <c r="AL77" s="3"/>
    </row>
    <row r="78" spans="1:38" x14ac:dyDescent="0.2">
      <c r="A78" s="620"/>
      <c r="B78" s="1200"/>
      <c r="C78" s="487"/>
      <c r="D78" s="486" t="str">
        <f t="shared" ref="D78:D141" si="12">$D$29</f>
        <v>$ nominal</v>
      </c>
      <c r="E78" s="487"/>
      <c r="F78" s="487"/>
      <c r="G78" s="487"/>
      <c r="H78" s="487"/>
      <c r="I78" s="487"/>
      <c r="J78" s="487"/>
      <c r="K78" s="1195"/>
      <c r="L78" s="1195"/>
      <c r="M78" s="1195"/>
      <c r="N78" s="1195"/>
      <c r="O78" s="1195"/>
      <c r="P78" s="1195"/>
      <c r="Q78" s="1195"/>
      <c r="R78" s="1195"/>
      <c r="S78" s="1195"/>
      <c r="T78" s="1195"/>
      <c r="U78" s="1029">
        <f t="shared" ref="U78:U119" si="13">SUM(K78:T78)-SUMIF($K$22:$T$22,$Z$21,K78:T78)</f>
        <v>0</v>
      </c>
      <c r="V78" s="3"/>
      <c r="W78" s="3"/>
      <c r="X78" s="3"/>
      <c r="Y78" s="3"/>
      <c r="Z78" s="3"/>
      <c r="AA78" s="3"/>
      <c r="AB78" s="3"/>
      <c r="AC78" s="3"/>
      <c r="AD78" s="3"/>
      <c r="AE78" s="3"/>
      <c r="AF78" s="3"/>
      <c r="AG78" s="3"/>
      <c r="AH78" s="3"/>
      <c r="AI78" s="3"/>
      <c r="AJ78" s="3"/>
      <c r="AK78" s="3"/>
      <c r="AL78" s="3"/>
    </row>
    <row r="79" spans="1:38" x14ac:dyDescent="0.2">
      <c r="A79" s="620"/>
      <c r="B79" s="1200"/>
      <c r="C79" s="487"/>
      <c r="D79" s="486" t="str">
        <f t="shared" si="12"/>
        <v>$ nominal</v>
      </c>
      <c r="E79" s="487"/>
      <c r="F79" s="487"/>
      <c r="G79" s="487"/>
      <c r="H79" s="487"/>
      <c r="I79" s="487"/>
      <c r="J79" s="487"/>
      <c r="K79" s="1195"/>
      <c r="L79" s="1195"/>
      <c r="M79" s="1195"/>
      <c r="N79" s="1195"/>
      <c r="O79" s="1195"/>
      <c r="P79" s="1195"/>
      <c r="Q79" s="1195"/>
      <c r="R79" s="1195"/>
      <c r="S79" s="1195"/>
      <c r="T79" s="1195"/>
      <c r="U79" s="1029">
        <f t="shared" si="13"/>
        <v>0</v>
      </c>
      <c r="V79" s="3"/>
      <c r="W79" s="3"/>
      <c r="X79" s="3"/>
      <c r="Y79" s="3"/>
      <c r="Z79" s="3"/>
      <c r="AA79" s="3"/>
      <c r="AB79" s="3"/>
      <c r="AC79" s="3"/>
      <c r="AD79" s="3"/>
      <c r="AE79" s="3"/>
      <c r="AF79" s="3"/>
      <c r="AG79" s="3"/>
      <c r="AH79" s="3"/>
      <c r="AI79" s="3"/>
      <c r="AJ79" s="3"/>
      <c r="AK79" s="3"/>
      <c r="AL79" s="3"/>
    </row>
    <row r="80" spans="1:38" x14ac:dyDescent="0.2">
      <c r="A80" s="620"/>
      <c r="B80" s="1200"/>
      <c r="C80" s="487"/>
      <c r="D80" s="486" t="str">
        <f t="shared" si="12"/>
        <v>$ nominal</v>
      </c>
      <c r="E80" s="487"/>
      <c r="F80" s="487"/>
      <c r="G80" s="487"/>
      <c r="H80" s="487"/>
      <c r="I80" s="487"/>
      <c r="J80" s="487"/>
      <c r="K80" s="1195"/>
      <c r="L80" s="1195"/>
      <c r="M80" s="1195"/>
      <c r="N80" s="1195"/>
      <c r="O80" s="1195"/>
      <c r="P80" s="1195"/>
      <c r="Q80" s="1195"/>
      <c r="R80" s="1195"/>
      <c r="S80" s="1195"/>
      <c r="T80" s="1195"/>
      <c r="U80" s="1029">
        <f t="shared" si="13"/>
        <v>0</v>
      </c>
      <c r="V80" s="3"/>
      <c r="W80" s="3"/>
      <c r="X80" s="3"/>
      <c r="Y80" s="3"/>
      <c r="Z80" s="3"/>
      <c r="AA80" s="3"/>
      <c r="AB80" s="3"/>
      <c r="AC80" s="3"/>
      <c r="AD80" s="3"/>
      <c r="AE80" s="3"/>
      <c r="AF80" s="3"/>
      <c r="AG80" s="3"/>
      <c r="AH80" s="3"/>
      <c r="AI80" s="3"/>
      <c r="AJ80" s="3"/>
      <c r="AK80" s="3"/>
      <c r="AL80" s="3"/>
    </row>
    <row r="81" spans="1:38" x14ac:dyDescent="0.2">
      <c r="A81" s="620"/>
      <c r="B81" s="1200"/>
      <c r="C81" s="487"/>
      <c r="D81" s="486" t="str">
        <f t="shared" si="12"/>
        <v>$ nominal</v>
      </c>
      <c r="E81" s="487"/>
      <c r="F81" s="487"/>
      <c r="G81" s="487"/>
      <c r="H81" s="487"/>
      <c r="I81" s="487"/>
      <c r="J81" s="487"/>
      <c r="K81" s="1195"/>
      <c r="L81" s="1195"/>
      <c r="M81" s="1195"/>
      <c r="N81" s="1195"/>
      <c r="O81" s="1195"/>
      <c r="P81" s="1195"/>
      <c r="Q81" s="1195"/>
      <c r="R81" s="1195"/>
      <c r="S81" s="1195"/>
      <c r="T81" s="1195"/>
      <c r="U81" s="1029">
        <f t="shared" si="13"/>
        <v>0</v>
      </c>
      <c r="V81" s="3"/>
      <c r="W81" s="3"/>
      <c r="X81" s="3"/>
      <c r="Y81" s="3"/>
      <c r="Z81" s="3"/>
      <c r="AA81" s="3"/>
      <c r="AB81" s="3"/>
      <c r="AC81" s="3"/>
      <c r="AD81" s="3"/>
      <c r="AE81" s="3"/>
      <c r="AF81" s="3"/>
      <c r="AG81" s="3"/>
      <c r="AH81" s="3"/>
      <c r="AI81" s="3"/>
      <c r="AJ81" s="3"/>
      <c r="AK81" s="3"/>
      <c r="AL81" s="3"/>
    </row>
    <row r="82" spans="1:38" x14ac:dyDescent="0.2">
      <c r="A82" s="620"/>
      <c r="B82" s="1200"/>
      <c r="C82" s="487"/>
      <c r="D82" s="486" t="str">
        <f t="shared" si="12"/>
        <v>$ nominal</v>
      </c>
      <c r="E82" s="487"/>
      <c r="F82" s="487"/>
      <c r="G82" s="487"/>
      <c r="H82" s="487"/>
      <c r="I82" s="487"/>
      <c r="J82" s="487"/>
      <c r="K82" s="1195"/>
      <c r="L82" s="1195"/>
      <c r="M82" s="1195"/>
      <c r="N82" s="1195"/>
      <c r="O82" s="1195"/>
      <c r="P82" s="1195"/>
      <c r="Q82" s="1195"/>
      <c r="R82" s="1195"/>
      <c r="S82" s="1195"/>
      <c r="T82" s="1195"/>
      <c r="U82" s="1029">
        <f t="shared" si="13"/>
        <v>0</v>
      </c>
      <c r="V82" s="3"/>
      <c r="W82" s="3"/>
      <c r="X82" s="3"/>
      <c r="Y82" s="3"/>
      <c r="Z82" s="3"/>
      <c r="AA82" s="3"/>
      <c r="AB82" s="3"/>
      <c r="AC82" s="3"/>
      <c r="AD82" s="3"/>
      <c r="AE82" s="3"/>
      <c r="AF82" s="3"/>
      <c r="AG82" s="3"/>
      <c r="AH82" s="3"/>
      <c r="AI82" s="3"/>
      <c r="AJ82" s="3"/>
      <c r="AK82" s="3"/>
      <c r="AL82" s="3"/>
    </row>
    <row r="83" spans="1:38" x14ac:dyDescent="0.2">
      <c r="A83" s="620"/>
      <c r="B83" s="1200"/>
      <c r="C83" s="487"/>
      <c r="D83" s="486" t="str">
        <f t="shared" si="12"/>
        <v>$ nominal</v>
      </c>
      <c r="E83" s="487"/>
      <c r="F83" s="487"/>
      <c r="G83" s="487"/>
      <c r="H83" s="487"/>
      <c r="I83" s="487"/>
      <c r="J83" s="487"/>
      <c r="K83" s="1195"/>
      <c r="L83" s="1195"/>
      <c r="M83" s="1195"/>
      <c r="N83" s="1195"/>
      <c r="O83" s="1195"/>
      <c r="P83" s="1195"/>
      <c r="Q83" s="1195"/>
      <c r="R83" s="1195"/>
      <c r="S83" s="1195"/>
      <c r="T83" s="1195"/>
      <c r="U83" s="1029">
        <f t="shared" si="13"/>
        <v>0</v>
      </c>
      <c r="V83" s="3"/>
      <c r="W83" s="3"/>
      <c r="X83" s="3"/>
      <c r="Y83" s="3"/>
      <c r="Z83" s="3"/>
      <c r="AA83" s="3"/>
      <c r="AB83" s="3"/>
      <c r="AC83" s="3"/>
      <c r="AD83" s="3"/>
      <c r="AE83" s="3"/>
      <c r="AF83" s="3"/>
      <c r="AG83" s="3"/>
      <c r="AH83" s="3"/>
      <c r="AI83" s="3"/>
      <c r="AJ83" s="3"/>
      <c r="AK83" s="3"/>
      <c r="AL83" s="3"/>
    </row>
    <row r="84" spans="1:38" x14ac:dyDescent="0.2">
      <c r="A84" s="620"/>
      <c r="B84" s="1200"/>
      <c r="C84" s="487"/>
      <c r="D84" s="486" t="str">
        <f t="shared" si="12"/>
        <v>$ nominal</v>
      </c>
      <c r="E84" s="487"/>
      <c r="F84" s="487"/>
      <c r="G84" s="487"/>
      <c r="H84" s="487"/>
      <c r="I84" s="487"/>
      <c r="J84" s="487"/>
      <c r="K84" s="1195"/>
      <c r="L84" s="1195"/>
      <c r="M84" s="1195"/>
      <c r="N84" s="1195"/>
      <c r="O84" s="1195"/>
      <c r="P84" s="1195"/>
      <c r="Q84" s="1195"/>
      <c r="R84" s="1195"/>
      <c r="S84" s="1195"/>
      <c r="T84" s="1195"/>
      <c r="U84" s="1029">
        <f t="shared" si="13"/>
        <v>0</v>
      </c>
      <c r="V84" s="3"/>
      <c r="W84" s="85"/>
      <c r="X84" s="3"/>
      <c r="Y84" s="3"/>
      <c r="Z84" s="3"/>
      <c r="AA84" s="3"/>
      <c r="AB84" s="3"/>
      <c r="AC84" s="3"/>
      <c r="AD84" s="3"/>
      <c r="AE84" s="3"/>
      <c r="AF84" s="3"/>
      <c r="AG84" s="3"/>
      <c r="AH84" s="3"/>
      <c r="AI84" s="3"/>
      <c r="AJ84" s="3"/>
      <c r="AK84" s="3"/>
      <c r="AL84" s="3"/>
    </row>
    <row r="85" spans="1:38" x14ac:dyDescent="0.2">
      <c r="A85" s="620"/>
      <c r="B85" s="1201"/>
      <c r="C85" s="487"/>
      <c r="D85" s="486" t="str">
        <f t="shared" si="12"/>
        <v>$ nominal</v>
      </c>
      <c r="E85" s="487"/>
      <c r="F85" s="487"/>
      <c r="G85" s="487"/>
      <c r="H85" s="487"/>
      <c r="I85" s="487"/>
      <c r="J85" s="487"/>
      <c r="K85" s="1195"/>
      <c r="L85" s="1195"/>
      <c r="M85" s="1195"/>
      <c r="N85" s="1195"/>
      <c r="O85" s="1195"/>
      <c r="P85" s="1195"/>
      <c r="Q85" s="1195"/>
      <c r="R85" s="1195"/>
      <c r="S85" s="1195"/>
      <c r="T85" s="1195"/>
      <c r="U85" s="1029">
        <f t="shared" si="13"/>
        <v>0</v>
      </c>
      <c r="V85" s="3"/>
      <c r="W85" s="3"/>
      <c r="X85" s="3"/>
      <c r="Y85" s="3"/>
      <c r="Z85" s="3"/>
      <c r="AA85" s="3"/>
      <c r="AB85" s="3"/>
      <c r="AC85" s="3"/>
      <c r="AD85" s="3"/>
      <c r="AE85" s="3"/>
      <c r="AF85" s="3"/>
      <c r="AG85" s="3"/>
      <c r="AH85" s="3"/>
      <c r="AI85" s="3"/>
      <c r="AJ85" s="3"/>
      <c r="AK85" s="3"/>
      <c r="AL85" s="3"/>
    </row>
    <row r="86" spans="1:38" x14ac:dyDescent="0.2">
      <c r="A86" s="620"/>
      <c r="B86" s="1201"/>
      <c r="C86" s="487"/>
      <c r="D86" s="486" t="str">
        <f t="shared" si="12"/>
        <v>$ nominal</v>
      </c>
      <c r="E86" s="487"/>
      <c r="F86" s="487"/>
      <c r="G86" s="487"/>
      <c r="H86" s="487"/>
      <c r="I86" s="487"/>
      <c r="J86" s="487"/>
      <c r="K86" s="1195"/>
      <c r="L86" s="1195"/>
      <c r="M86" s="1195"/>
      <c r="N86" s="1195"/>
      <c r="O86" s="1195"/>
      <c r="P86" s="1195"/>
      <c r="Q86" s="1195"/>
      <c r="R86" s="1195"/>
      <c r="S86" s="1195"/>
      <c r="T86" s="1195"/>
      <c r="U86" s="1029">
        <f t="shared" si="13"/>
        <v>0</v>
      </c>
      <c r="V86" s="3"/>
      <c r="W86" s="3"/>
      <c r="X86" s="3"/>
      <c r="Y86" s="3"/>
      <c r="Z86" s="3"/>
      <c r="AA86" s="3"/>
      <c r="AB86" s="3"/>
      <c r="AC86" s="3"/>
      <c r="AD86" s="3"/>
      <c r="AE86" s="3"/>
      <c r="AF86" s="3"/>
      <c r="AG86" s="3"/>
      <c r="AH86" s="3"/>
      <c r="AI86" s="3"/>
      <c r="AJ86" s="3"/>
      <c r="AK86" s="3"/>
      <c r="AL86" s="3"/>
    </row>
    <row r="87" spans="1:38" x14ac:dyDescent="0.2">
      <c r="A87" s="620"/>
      <c r="B87" s="1201"/>
      <c r="C87" s="487"/>
      <c r="D87" s="486" t="str">
        <f t="shared" si="12"/>
        <v>$ nominal</v>
      </c>
      <c r="E87" s="487"/>
      <c r="F87" s="487"/>
      <c r="G87" s="487"/>
      <c r="H87" s="487"/>
      <c r="I87" s="487"/>
      <c r="J87" s="487"/>
      <c r="K87" s="1195"/>
      <c r="L87" s="1195"/>
      <c r="M87" s="1195"/>
      <c r="N87" s="1195"/>
      <c r="O87" s="1195"/>
      <c r="P87" s="1195"/>
      <c r="Q87" s="1195"/>
      <c r="R87" s="1195"/>
      <c r="S87" s="1195"/>
      <c r="T87" s="1195"/>
      <c r="U87" s="1029">
        <f t="shared" si="13"/>
        <v>0</v>
      </c>
      <c r="V87" s="3"/>
      <c r="W87" s="3"/>
      <c r="X87" s="3"/>
      <c r="Y87" s="3"/>
      <c r="Z87" s="3"/>
      <c r="AA87" s="3"/>
      <c r="AB87" s="3"/>
      <c r="AC87" s="3"/>
      <c r="AD87" s="3"/>
      <c r="AE87" s="3"/>
      <c r="AF87" s="3"/>
      <c r="AG87" s="3"/>
      <c r="AH87" s="3"/>
      <c r="AI87" s="3"/>
      <c r="AJ87" s="3"/>
      <c r="AK87" s="3"/>
      <c r="AL87" s="3"/>
    </row>
    <row r="88" spans="1:38" x14ac:dyDescent="0.2">
      <c r="A88" s="620"/>
      <c r="B88" s="1201"/>
      <c r="C88" s="487"/>
      <c r="D88" s="486" t="str">
        <f t="shared" si="12"/>
        <v>$ nominal</v>
      </c>
      <c r="E88" s="487"/>
      <c r="F88" s="487"/>
      <c r="G88" s="487"/>
      <c r="H88" s="487"/>
      <c r="I88" s="487"/>
      <c r="J88" s="487"/>
      <c r="K88" s="1195"/>
      <c r="L88" s="1195"/>
      <c r="M88" s="1195"/>
      <c r="N88" s="1195"/>
      <c r="O88" s="1195"/>
      <c r="P88" s="1195"/>
      <c r="Q88" s="1195"/>
      <c r="R88" s="1195"/>
      <c r="S88" s="1195"/>
      <c r="T88" s="1195"/>
      <c r="U88" s="1029">
        <f t="shared" si="13"/>
        <v>0</v>
      </c>
      <c r="V88" s="3"/>
      <c r="W88" s="3"/>
      <c r="X88" s="3"/>
      <c r="Y88" s="3"/>
      <c r="Z88" s="3"/>
      <c r="AA88" s="3"/>
      <c r="AB88" s="3"/>
      <c r="AC88" s="3"/>
      <c r="AD88" s="3"/>
      <c r="AE88" s="3"/>
      <c r="AF88" s="3"/>
      <c r="AG88" s="3"/>
      <c r="AH88" s="3"/>
      <c r="AI88" s="3"/>
      <c r="AJ88" s="3"/>
      <c r="AK88" s="3"/>
      <c r="AL88" s="3"/>
    </row>
    <row r="89" spans="1:38" x14ac:dyDescent="0.2">
      <c r="A89" s="620"/>
      <c r="B89" s="1201"/>
      <c r="C89" s="487"/>
      <c r="D89" s="486" t="str">
        <f t="shared" si="12"/>
        <v>$ nominal</v>
      </c>
      <c r="E89" s="487"/>
      <c r="F89" s="487"/>
      <c r="G89" s="487"/>
      <c r="H89" s="487"/>
      <c r="I89" s="487"/>
      <c r="J89" s="487"/>
      <c r="K89" s="1195"/>
      <c r="L89" s="1195"/>
      <c r="M89" s="1195"/>
      <c r="N89" s="1195"/>
      <c r="O89" s="1195"/>
      <c r="P89" s="1195"/>
      <c r="Q89" s="1195"/>
      <c r="R89" s="1195"/>
      <c r="S89" s="1195"/>
      <c r="T89" s="1195"/>
      <c r="U89" s="1029">
        <f t="shared" si="13"/>
        <v>0</v>
      </c>
      <c r="V89" s="3"/>
      <c r="W89" s="3"/>
      <c r="X89" s="3"/>
      <c r="Y89" s="3"/>
      <c r="Z89" s="3"/>
      <c r="AA89" s="3"/>
      <c r="AB89" s="3"/>
      <c r="AC89" s="3"/>
      <c r="AD89" s="3"/>
      <c r="AE89" s="3"/>
      <c r="AF89" s="3"/>
      <c r="AG89" s="3"/>
      <c r="AH89" s="3"/>
      <c r="AI89" s="3"/>
      <c r="AJ89" s="3"/>
      <c r="AK89" s="3"/>
      <c r="AL89" s="3"/>
    </row>
    <row r="90" spans="1:38" x14ac:dyDescent="0.2">
      <c r="A90" s="620"/>
      <c r="B90" s="1201"/>
      <c r="C90" s="487"/>
      <c r="D90" s="486" t="str">
        <f t="shared" si="12"/>
        <v>$ nominal</v>
      </c>
      <c r="E90" s="487"/>
      <c r="F90" s="487"/>
      <c r="G90" s="487"/>
      <c r="H90" s="487"/>
      <c r="I90" s="487"/>
      <c r="J90" s="487"/>
      <c r="K90" s="1195"/>
      <c r="L90" s="1195"/>
      <c r="M90" s="1195"/>
      <c r="N90" s="1195"/>
      <c r="O90" s="1195"/>
      <c r="P90" s="1195"/>
      <c r="Q90" s="1195"/>
      <c r="R90" s="1195"/>
      <c r="S90" s="1195"/>
      <c r="T90" s="1195"/>
      <c r="U90" s="1029">
        <f t="shared" si="13"/>
        <v>0</v>
      </c>
      <c r="V90" s="3"/>
      <c r="W90" s="3"/>
      <c r="X90" s="3"/>
      <c r="Y90" s="3"/>
      <c r="Z90" s="3"/>
      <c r="AA90" s="3"/>
      <c r="AB90" s="3"/>
      <c r="AC90" s="3"/>
      <c r="AD90" s="3"/>
      <c r="AE90" s="3"/>
      <c r="AF90" s="3"/>
      <c r="AG90" s="3"/>
      <c r="AH90" s="3"/>
      <c r="AI90" s="3"/>
      <c r="AJ90" s="3"/>
      <c r="AK90" s="3"/>
      <c r="AL90" s="3"/>
    </row>
    <row r="91" spans="1:38" x14ac:dyDescent="0.2">
      <c r="A91" s="620"/>
      <c r="B91" s="1201"/>
      <c r="C91" s="487"/>
      <c r="D91" s="486" t="str">
        <f t="shared" si="12"/>
        <v>$ nominal</v>
      </c>
      <c r="E91" s="487"/>
      <c r="F91" s="487"/>
      <c r="G91" s="487"/>
      <c r="H91" s="487"/>
      <c r="I91" s="487"/>
      <c r="J91" s="487"/>
      <c r="K91" s="1195"/>
      <c r="L91" s="1195"/>
      <c r="M91" s="1195"/>
      <c r="N91" s="1195"/>
      <c r="O91" s="1195"/>
      <c r="P91" s="1195"/>
      <c r="Q91" s="1195"/>
      <c r="R91" s="1195"/>
      <c r="S91" s="1195"/>
      <c r="T91" s="1195"/>
      <c r="U91" s="1029">
        <f t="shared" si="13"/>
        <v>0</v>
      </c>
      <c r="V91" s="3"/>
      <c r="W91" s="3"/>
      <c r="X91" s="3"/>
      <c r="Y91" s="3"/>
      <c r="Z91" s="3"/>
      <c r="AA91" s="3"/>
      <c r="AB91" s="3"/>
      <c r="AC91" s="3"/>
      <c r="AD91" s="3"/>
      <c r="AE91" s="3"/>
      <c r="AF91" s="3"/>
      <c r="AG91" s="3"/>
      <c r="AH91" s="3"/>
      <c r="AI91" s="3"/>
      <c r="AJ91" s="3"/>
      <c r="AK91" s="3"/>
      <c r="AL91" s="3"/>
    </row>
    <row r="92" spans="1:38" x14ac:dyDescent="0.2">
      <c r="A92" s="620"/>
      <c r="B92" s="1201"/>
      <c r="C92" s="487"/>
      <c r="D92" s="486" t="str">
        <f t="shared" si="12"/>
        <v>$ nominal</v>
      </c>
      <c r="E92" s="487"/>
      <c r="F92" s="487"/>
      <c r="G92" s="487"/>
      <c r="H92" s="487"/>
      <c r="I92" s="487"/>
      <c r="J92" s="487"/>
      <c r="K92" s="1195"/>
      <c r="L92" s="1195"/>
      <c r="M92" s="1195"/>
      <c r="N92" s="1195"/>
      <c r="O92" s="1195"/>
      <c r="P92" s="1195"/>
      <c r="Q92" s="1195"/>
      <c r="R92" s="1195"/>
      <c r="S92" s="1195"/>
      <c r="T92" s="1195"/>
      <c r="U92" s="1029">
        <f t="shared" si="13"/>
        <v>0</v>
      </c>
      <c r="V92" s="3"/>
      <c r="W92" s="3"/>
      <c r="X92" s="3"/>
      <c r="Y92" s="3"/>
      <c r="Z92" s="3"/>
      <c r="AA92" s="3"/>
      <c r="AB92" s="3"/>
      <c r="AC92" s="3"/>
      <c r="AD92" s="3"/>
      <c r="AE92" s="3"/>
      <c r="AF92" s="3"/>
      <c r="AG92" s="3"/>
      <c r="AH92" s="3"/>
      <c r="AI92" s="3"/>
      <c r="AJ92" s="3"/>
      <c r="AK92" s="3"/>
      <c r="AL92" s="3"/>
    </row>
    <row r="93" spans="1:38" x14ac:dyDescent="0.2">
      <c r="A93" s="620"/>
      <c r="B93" s="1201"/>
      <c r="C93" s="487"/>
      <c r="D93" s="486" t="str">
        <f t="shared" si="12"/>
        <v>$ nominal</v>
      </c>
      <c r="E93" s="487"/>
      <c r="F93" s="487"/>
      <c r="G93" s="487"/>
      <c r="H93" s="487"/>
      <c r="I93" s="487"/>
      <c r="J93" s="487"/>
      <c r="K93" s="1195"/>
      <c r="L93" s="1195"/>
      <c r="M93" s="1195"/>
      <c r="N93" s="1195"/>
      <c r="O93" s="1195"/>
      <c r="P93" s="1195"/>
      <c r="Q93" s="1195"/>
      <c r="R93" s="1195"/>
      <c r="S93" s="1195"/>
      <c r="T93" s="1195"/>
      <c r="U93" s="1029">
        <f t="shared" si="13"/>
        <v>0</v>
      </c>
      <c r="V93" s="3"/>
      <c r="W93" s="3"/>
      <c r="X93" s="3"/>
      <c r="Y93" s="3"/>
      <c r="Z93" s="3"/>
      <c r="AA93" s="3"/>
      <c r="AB93" s="3"/>
      <c r="AC93" s="3"/>
      <c r="AD93" s="3"/>
      <c r="AE93" s="3"/>
      <c r="AF93" s="3"/>
      <c r="AG93" s="3"/>
      <c r="AH93" s="3"/>
      <c r="AI93" s="3"/>
      <c r="AJ93" s="3"/>
      <c r="AK93" s="3"/>
      <c r="AL93" s="3"/>
    </row>
    <row r="94" spans="1:38" x14ac:dyDescent="0.2">
      <c r="A94" s="620"/>
      <c r="B94" s="1201"/>
      <c r="C94" s="487"/>
      <c r="D94" s="486" t="str">
        <f t="shared" si="12"/>
        <v>$ nominal</v>
      </c>
      <c r="E94" s="487"/>
      <c r="F94" s="487"/>
      <c r="G94" s="487"/>
      <c r="H94" s="487"/>
      <c r="I94" s="487"/>
      <c r="J94" s="487"/>
      <c r="K94" s="1195"/>
      <c r="L94" s="1195"/>
      <c r="M94" s="1195"/>
      <c r="N94" s="1195"/>
      <c r="O94" s="1195"/>
      <c r="P94" s="1195"/>
      <c r="Q94" s="1195"/>
      <c r="R94" s="1195"/>
      <c r="S94" s="1195"/>
      <c r="T94" s="1195"/>
      <c r="U94" s="1029">
        <f t="shared" si="13"/>
        <v>0</v>
      </c>
      <c r="V94" s="3"/>
      <c r="W94" s="3"/>
      <c r="X94" s="3"/>
      <c r="Y94" s="3"/>
      <c r="Z94" s="3"/>
      <c r="AA94" s="3"/>
      <c r="AB94" s="3"/>
      <c r="AC94" s="3"/>
      <c r="AD94" s="3"/>
      <c r="AE94" s="3"/>
      <c r="AF94" s="3"/>
      <c r="AG94" s="3"/>
      <c r="AH94" s="3"/>
      <c r="AI94" s="3"/>
      <c r="AJ94" s="3"/>
      <c r="AK94" s="3"/>
      <c r="AL94" s="3"/>
    </row>
    <row r="95" spans="1:38" x14ac:dyDescent="0.2">
      <c r="A95" s="620"/>
      <c r="B95" s="1201"/>
      <c r="C95" s="487"/>
      <c r="D95" s="486" t="str">
        <f t="shared" si="12"/>
        <v>$ nominal</v>
      </c>
      <c r="E95" s="487"/>
      <c r="F95" s="487"/>
      <c r="G95" s="487"/>
      <c r="H95" s="487"/>
      <c r="I95" s="487"/>
      <c r="J95" s="487"/>
      <c r="K95" s="1195"/>
      <c r="L95" s="1195"/>
      <c r="M95" s="1195"/>
      <c r="N95" s="1195"/>
      <c r="O95" s="1195"/>
      <c r="P95" s="1195"/>
      <c r="Q95" s="1195"/>
      <c r="R95" s="1195"/>
      <c r="S95" s="1195"/>
      <c r="T95" s="1195"/>
      <c r="U95" s="1029">
        <f t="shared" si="13"/>
        <v>0</v>
      </c>
      <c r="V95" s="3"/>
      <c r="W95" s="3"/>
      <c r="X95" s="3"/>
      <c r="Y95" s="3"/>
      <c r="Z95" s="3"/>
      <c r="AA95" s="3"/>
      <c r="AB95" s="3"/>
      <c r="AC95" s="3"/>
      <c r="AD95" s="3"/>
      <c r="AE95" s="3"/>
      <c r="AF95" s="3"/>
      <c r="AG95" s="3"/>
      <c r="AH95" s="3"/>
      <c r="AI95" s="3"/>
      <c r="AJ95" s="3"/>
      <c r="AK95" s="3"/>
      <c r="AL95" s="3"/>
    </row>
    <row r="96" spans="1:38" x14ac:dyDescent="0.2">
      <c r="A96" s="620"/>
      <c r="B96" s="1201"/>
      <c r="C96" s="487"/>
      <c r="D96" s="486" t="str">
        <f t="shared" si="12"/>
        <v>$ nominal</v>
      </c>
      <c r="E96" s="487"/>
      <c r="F96" s="487"/>
      <c r="G96" s="487"/>
      <c r="H96" s="487"/>
      <c r="I96" s="487"/>
      <c r="J96" s="487"/>
      <c r="K96" s="1195"/>
      <c r="L96" s="1195"/>
      <c r="M96" s="1195"/>
      <c r="N96" s="1195"/>
      <c r="O96" s="1195"/>
      <c r="P96" s="1195"/>
      <c r="Q96" s="1195"/>
      <c r="R96" s="1195"/>
      <c r="S96" s="1195"/>
      <c r="T96" s="1195"/>
      <c r="U96" s="1029">
        <f t="shared" si="13"/>
        <v>0</v>
      </c>
      <c r="V96" s="3"/>
      <c r="W96" s="3"/>
      <c r="X96" s="3"/>
      <c r="Y96" s="3"/>
      <c r="Z96" s="3"/>
      <c r="AA96" s="3"/>
      <c r="AB96" s="3"/>
      <c r="AC96" s="3"/>
      <c r="AD96" s="3"/>
      <c r="AE96" s="3"/>
      <c r="AF96" s="3"/>
      <c r="AG96" s="3"/>
      <c r="AH96" s="3"/>
      <c r="AI96" s="3"/>
      <c r="AJ96" s="3"/>
      <c r="AK96" s="3"/>
      <c r="AL96" s="3"/>
    </row>
    <row r="97" spans="1:38" x14ac:dyDescent="0.2">
      <c r="A97" s="620"/>
      <c r="B97" s="1201"/>
      <c r="C97" s="487"/>
      <c r="D97" s="486" t="str">
        <f t="shared" si="12"/>
        <v>$ nominal</v>
      </c>
      <c r="E97" s="487"/>
      <c r="F97" s="487"/>
      <c r="G97" s="487"/>
      <c r="H97" s="487"/>
      <c r="I97" s="487"/>
      <c r="J97" s="487"/>
      <c r="K97" s="1195"/>
      <c r="L97" s="1195"/>
      <c r="M97" s="1195"/>
      <c r="N97" s="1195"/>
      <c r="O97" s="1195"/>
      <c r="P97" s="1195"/>
      <c r="Q97" s="1195"/>
      <c r="R97" s="1195"/>
      <c r="S97" s="1195"/>
      <c r="T97" s="1195"/>
      <c r="U97" s="1029">
        <f t="shared" si="13"/>
        <v>0</v>
      </c>
      <c r="V97" s="3"/>
      <c r="W97" s="3"/>
      <c r="X97" s="3"/>
      <c r="Y97" s="3"/>
      <c r="Z97" s="3"/>
      <c r="AA97" s="3"/>
      <c r="AB97" s="3"/>
      <c r="AC97" s="3"/>
      <c r="AD97" s="3"/>
      <c r="AE97" s="3"/>
      <c r="AF97" s="3"/>
      <c r="AG97" s="3"/>
      <c r="AH97" s="3"/>
      <c r="AI97" s="3"/>
      <c r="AJ97" s="3"/>
      <c r="AK97" s="3"/>
      <c r="AL97" s="3"/>
    </row>
    <row r="98" spans="1:38" x14ac:dyDescent="0.2">
      <c r="A98" s="620"/>
      <c r="B98" s="1201"/>
      <c r="C98" s="487"/>
      <c r="D98" s="486" t="str">
        <f t="shared" si="12"/>
        <v>$ nominal</v>
      </c>
      <c r="E98" s="487"/>
      <c r="F98" s="487"/>
      <c r="G98" s="487"/>
      <c r="H98" s="487"/>
      <c r="I98" s="487"/>
      <c r="J98" s="487"/>
      <c r="K98" s="1195"/>
      <c r="L98" s="1195"/>
      <c r="M98" s="1195"/>
      <c r="N98" s="1195"/>
      <c r="O98" s="1195"/>
      <c r="P98" s="1195"/>
      <c r="Q98" s="1195"/>
      <c r="R98" s="1195"/>
      <c r="S98" s="1195"/>
      <c r="T98" s="1195"/>
      <c r="U98" s="1029">
        <f t="shared" si="13"/>
        <v>0</v>
      </c>
      <c r="V98" s="3"/>
      <c r="W98" s="3"/>
      <c r="X98" s="3"/>
      <c r="Y98" s="3"/>
      <c r="Z98" s="3"/>
      <c r="AA98" s="3"/>
      <c r="AB98" s="3"/>
      <c r="AC98" s="3"/>
      <c r="AD98" s="3"/>
      <c r="AE98" s="3"/>
      <c r="AF98" s="3"/>
      <c r="AG98" s="3"/>
      <c r="AH98" s="3"/>
      <c r="AI98" s="3"/>
      <c r="AJ98" s="3"/>
      <c r="AK98" s="3"/>
      <c r="AL98" s="3"/>
    </row>
    <row r="99" spans="1:38" x14ac:dyDescent="0.2">
      <c r="A99" s="620"/>
      <c r="B99" s="1201"/>
      <c r="C99" s="487"/>
      <c r="D99" s="486" t="str">
        <f t="shared" si="12"/>
        <v>$ nominal</v>
      </c>
      <c r="E99" s="487"/>
      <c r="F99" s="487"/>
      <c r="G99" s="487"/>
      <c r="H99" s="487"/>
      <c r="I99" s="487"/>
      <c r="J99" s="487"/>
      <c r="K99" s="1195"/>
      <c r="L99" s="1195"/>
      <c r="M99" s="1195"/>
      <c r="N99" s="1195"/>
      <c r="O99" s="1195"/>
      <c r="P99" s="1195"/>
      <c r="Q99" s="1195"/>
      <c r="R99" s="1195"/>
      <c r="S99" s="1195"/>
      <c r="T99" s="1195"/>
      <c r="U99" s="1029">
        <f t="shared" si="13"/>
        <v>0</v>
      </c>
      <c r="V99" s="3"/>
      <c r="W99" s="3"/>
      <c r="X99" s="3"/>
      <c r="Y99" s="3"/>
      <c r="Z99" s="3"/>
      <c r="AA99" s="3"/>
      <c r="AB99" s="3"/>
      <c r="AC99" s="3"/>
      <c r="AD99" s="3"/>
      <c r="AE99" s="3"/>
      <c r="AF99" s="3"/>
      <c r="AG99" s="3"/>
      <c r="AH99" s="3"/>
      <c r="AI99" s="3"/>
      <c r="AJ99" s="3"/>
      <c r="AK99" s="3"/>
      <c r="AL99" s="3"/>
    </row>
    <row r="100" spans="1:38" x14ac:dyDescent="0.2">
      <c r="A100" s="620"/>
      <c r="B100" s="1201"/>
      <c r="C100" s="487"/>
      <c r="D100" s="486" t="str">
        <f t="shared" si="12"/>
        <v>$ nominal</v>
      </c>
      <c r="E100" s="487"/>
      <c r="F100" s="487"/>
      <c r="G100" s="487"/>
      <c r="H100" s="487"/>
      <c r="I100" s="487"/>
      <c r="J100" s="487"/>
      <c r="K100" s="1195"/>
      <c r="L100" s="1195"/>
      <c r="M100" s="1195"/>
      <c r="N100" s="1195"/>
      <c r="O100" s="1195"/>
      <c r="P100" s="1195"/>
      <c r="Q100" s="1195"/>
      <c r="R100" s="1195"/>
      <c r="S100" s="1195"/>
      <c r="T100" s="1195"/>
      <c r="U100" s="1029">
        <f t="shared" si="13"/>
        <v>0</v>
      </c>
      <c r="V100" s="3"/>
      <c r="W100" s="3"/>
      <c r="X100" s="3"/>
      <c r="Y100" s="3"/>
      <c r="Z100" s="3"/>
      <c r="AA100" s="3"/>
      <c r="AB100" s="3"/>
      <c r="AC100" s="3"/>
      <c r="AD100" s="3"/>
      <c r="AE100" s="3"/>
      <c r="AF100" s="3"/>
      <c r="AG100" s="3"/>
      <c r="AH100" s="3"/>
      <c r="AI100" s="3"/>
      <c r="AJ100" s="3"/>
      <c r="AK100" s="3"/>
      <c r="AL100" s="3"/>
    </row>
    <row r="101" spans="1:38" x14ac:dyDescent="0.2">
      <c r="A101" s="620"/>
      <c r="B101" s="1201"/>
      <c r="C101" s="487"/>
      <c r="D101" s="486" t="str">
        <f t="shared" si="12"/>
        <v>$ nominal</v>
      </c>
      <c r="E101" s="487"/>
      <c r="F101" s="487"/>
      <c r="G101" s="487"/>
      <c r="H101" s="487"/>
      <c r="I101" s="487"/>
      <c r="J101" s="487"/>
      <c r="K101" s="1195"/>
      <c r="L101" s="1195"/>
      <c r="M101" s="1195"/>
      <c r="N101" s="1195"/>
      <c r="O101" s="1195"/>
      <c r="P101" s="1195"/>
      <c r="Q101" s="1195"/>
      <c r="R101" s="1195"/>
      <c r="S101" s="1195"/>
      <c r="T101" s="1195"/>
      <c r="U101" s="1029">
        <f t="shared" si="13"/>
        <v>0</v>
      </c>
      <c r="V101" s="3"/>
      <c r="W101" s="3"/>
      <c r="X101" s="3"/>
      <c r="Y101" s="3"/>
      <c r="Z101" s="3"/>
      <c r="AA101" s="3"/>
      <c r="AB101" s="3"/>
      <c r="AC101" s="3"/>
      <c r="AD101" s="3"/>
      <c r="AE101" s="3"/>
      <c r="AF101" s="3"/>
      <c r="AG101" s="3"/>
      <c r="AH101" s="3"/>
      <c r="AI101" s="3"/>
      <c r="AJ101" s="3"/>
      <c r="AK101" s="3"/>
      <c r="AL101" s="3"/>
    </row>
    <row r="102" spans="1:38" x14ac:dyDescent="0.2">
      <c r="A102" s="620"/>
      <c r="B102" s="1201"/>
      <c r="C102" s="487"/>
      <c r="D102" s="486" t="str">
        <f t="shared" si="12"/>
        <v>$ nominal</v>
      </c>
      <c r="E102" s="487"/>
      <c r="F102" s="487"/>
      <c r="G102" s="487"/>
      <c r="H102" s="487"/>
      <c r="I102" s="487"/>
      <c r="J102" s="487"/>
      <c r="K102" s="1195"/>
      <c r="L102" s="1195"/>
      <c r="M102" s="1195"/>
      <c r="N102" s="1195"/>
      <c r="O102" s="1195"/>
      <c r="P102" s="1195"/>
      <c r="Q102" s="1195"/>
      <c r="R102" s="1195"/>
      <c r="S102" s="1195"/>
      <c r="T102" s="1195"/>
      <c r="U102" s="1029">
        <f t="shared" si="13"/>
        <v>0</v>
      </c>
      <c r="V102" s="3"/>
      <c r="W102" s="3"/>
      <c r="X102" s="3"/>
      <c r="Y102" s="3"/>
      <c r="Z102" s="3"/>
      <c r="AA102" s="3"/>
      <c r="AB102" s="3"/>
      <c r="AC102" s="3"/>
      <c r="AD102" s="3"/>
      <c r="AE102" s="3"/>
      <c r="AF102" s="3"/>
      <c r="AG102" s="3"/>
      <c r="AH102" s="3"/>
      <c r="AI102" s="3"/>
      <c r="AJ102" s="3"/>
      <c r="AK102" s="3"/>
      <c r="AL102" s="3"/>
    </row>
    <row r="103" spans="1:38" x14ac:dyDescent="0.2">
      <c r="A103" s="620"/>
      <c r="B103" s="1201"/>
      <c r="C103" s="487"/>
      <c r="D103" s="486" t="str">
        <f t="shared" si="12"/>
        <v>$ nominal</v>
      </c>
      <c r="E103" s="487"/>
      <c r="F103" s="487"/>
      <c r="G103" s="487"/>
      <c r="H103" s="487"/>
      <c r="I103" s="487"/>
      <c r="J103" s="487"/>
      <c r="K103" s="1195"/>
      <c r="L103" s="1195"/>
      <c r="M103" s="1195"/>
      <c r="N103" s="1195"/>
      <c r="O103" s="1195"/>
      <c r="P103" s="1195"/>
      <c r="Q103" s="1195"/>
      <c r="R103" s="1195"/>
      <c r="S103" s="1195"/>
      <c r="T103" s="1195"/>
      <c r="U103" s="1029">
        <f t="shared" si="13"/>
        <v>0</v>
      </c>
      <c r="V103" s="3"/>
      <c r="W103" s="3"/>
      <c r="X103" s="3"/>
      <c r="Y103" s="3"/>
      <c r="Z103" s="3"/>
      <c r="AA103" s="3"/>
      <c r="AB103" s="3"/>
      <c r="AC103" s="3"/>
      <c r="AD103" s="3"/>
      <c r="AE103" s="3"/>
      <c r="AF103" s="3"/>
      <c r="AG103" s="3"/>
      <c r="AH103" s="3"/>
      <c r="AI103" s="3"/>
      <c r="AJ103" s="3"/>
      <c r="AK103" s="3"/>
      <c r="AL103" s="3"/>
    </row>
    <row r="104" spans="1:38" x14ac:dyDescent="0.2">
      <c r="A104" s="620"/>
      <c r="B104" s="1201"/>
      <c r="C104" s="487"/>
      <c r="D104" s="486" t="str">
        <f t="shared" si="12"/>
        <v>$ nominal</v>
      </c>
      <c r="E104" s="487"/>
      <c r="F104" s="487"/>
      <c r="G104" s="487"/>
      <c r="H104" s="487"/>
      <c r="I104" s="487"/>
      <c r="J104" s="487"/>
      <c r="K104" s="1195"/>
      <c r="L104" s="1195"/>
      <c r="M104" s="1195"/>
      <c r="N104" s="1195"/>
      <c r="O104" s="1195"/>
      <c r="P104" s="1195"/>
      <c r="Q104" s="1195"/>
      <c r="R104" s="1195"/>
      <c r="S104" s="1195"/>
      <c r="T104" s="1195"/>
      <c r="U104" s="1029">
        <f t="shared" si="13"/>
        <v>0</v>
      </c>
      <c r="V104" s="3"/>
      <c r="W104" s="3"/>
      <c r="X104" s="3"/>
      <c r="Y104" s="3"/>
      <c r="Z104" s="3"/>
      <c r="AA104" s="3"/>
      <c r="AB104" s="3"/>
      <c r="AC104" s="3"/>
      <c r="AD104" s="3"/>
      <c r="AE104" s="3"/>
      <c r="AF104" s="3"/>
      <c r="AG104" s="3"/>
      <c r="AH104" s="3"/>
      <c r="AI104" s="3"/>
      <c r="AJ104" s="3"/>
      <c r="AK104" s="3"/>
      <c r="AL104" s="3"/>
    </row>
    <row r="105" spans="1:38" x14ac:dyDescent="0.2">
      <c r="A105" s="620"/>
      <c r="B105" s="1201"/>
      <c r="C105" s="487"/>
      <c r="D105" s="486" t="str">
        <f t="shared" si="12"/>
        <v>$ nominal</v>
      </c>
      <c r="E105" s="487"/>
      <c r="F105" s="487"/>
      <c r="G105" s="487"/>
      <c r="H105" s="487"/>
      <c r="I105" s="487"/>
      <c r="J105" s="487"/>
      <c r="K105" s="1195"/>
      <c r="L105" s="1195"/>
      <c r="M105" s="1195"/>
      <c r="N105" s="1195"/>
      <c r="O105" s="1195"/>
      <c r="P105" s="1195"/>
      <c r="Q105" s="1195"/>
      <c r="R105" s="1195"/>
      <c r="S105" s="1195"/>
      <c r="T105" s="1195"/>
      <c r="U105" s="1029">
        <f t="shared" si="13"/>
        <v>0</v>
      </c>
      <c r="V105" s="3"/>
      <c r="W105" s="3"/>
      <c r="X105" s="3"/>
      <c r="Y105" s="3"/>
      <c r="Z105" s="3"/>
      <c r="AA105" s="3"/>
      <c r="AB105" s="3"/>
      <c r="AC105" s="3"/>
      <c r="AD105" s="3"/>
      <c r="AE105" s="3"/>
      <c r="AF105" s="3"/>
      <c r="AG105" s="3"/>
      <c r="AH105" s="3"/>
      <c r="AI105" s="3"/>
      <c r="AJ105" s="3"/>
      <c r="AK105" s="3"/>
      <c r="AL105" s="3"/>
    </row>
    <row r="106" spans="1:38" x14ac:dyDescent="0.2">
      <c r="A106" s="620"/>
      <c r="B106" s="1201"/>
      <c r="C106" s="487"/>
      <c r="D106" s="486" t="str">
        <f t="shared" si="12"/>
        <v>$ nominal</v>
      </c>
      <c r="E106" s="487"/>
      <c r="F106" s="487"/>
      <c r="G106" s="487"/>
      <c r="H106" s="487"/>
      <c r="I106" s="487"/>
      <c r="J106" s="487"/>
      <c r="K106" s="1195"/>
      <c r="L106" s="1195"/>
      <c r="M106" s="1195"/>
      <c r="N106" s="1195"/>
      <c r="O106" s="1195"/>
      <c r="P106" s="1195"/>
      <c r="Q106" s="1195"/>
      <c r="R106" s="1195"/>
      <c r="S106" s="1195"/>
      <c r="T106" s="1195"/>
      <c r="U106" s="1029">
        <f t="shared" si="13"/>
        <v>0</v>
      </c>
      <c r="V106" s="3"/>
      <c r="W106" s="3"/>
      <c r="X106" s="3"/>
      <c r="Y106" s="3"/>
      <c r="Z106" s="3"/>
      <c r="AA106" s="3"/>
      <c r="AB106" s="3"/>
      <c r="AC106" s="3"/>
      <c r="AD106" s="3"/>
      <c r="AE106" s="3"/>
      <c r="AF106" s="3"/>
      <c r="AG106" s="3"/>
      <c r="AH106" s="3"/>
      <c r="AI106" s="3"/>
      <c r="AJ106" s="3"/>
      <c r="AK106" s="3"/>
      <c r="AL106" s="3"/>
    </row>
    <row r="107" spans="1:38" x14ac:dyDescent="0.2">
      <c r="A107" s="620"/>
      <c r="B107" s="1201"/>
      <c r="C107" s="487"/>
      <c r="D107" s="486" t="str">
        <f t="shared" si="12"/>
        <v>$ nominal</v>
      </c>
      <c r="E107" s="487"/>
      <c r="F107" s="487"/>
      <c r="G107" s="487"/>
      <c r="H107" s="487"/>
      <c r="I107" s="487"/>
      <c r="J107" s="487"/>
      <c r="K107" s="1195"/>
      <c r="L107" s="1195"/>
      <c r="M107" s="1195"/>
      <c r="N107" s="1195"/>
      <c r="O107" s="1195"/>
      <c r="P107" s="1195"/>
      <c r="Q107" s="1195"/>
      <c r="R107" s="1195"/>
      <c r="S107" s="1195"/>
      <c r="T107" s="1195"/>
      <c r="U107" s="1029">
        <f t="shared" si="13"/>
        <v>0</v>
      </c>
      <c r="V107" s="3"/>
      <c r="W107" s="3"/>
      <c r="X107" s="3"/>
      <c r="Y107" s="3"/>
      <c r="Z107" s="3"/>
      <c r="AA107" s="3"/>
      <c r="AB107" s="3"/>
      <c r="AC107" s="3"/>
      <c r="AD107" s="3"/>
      <c r="AE107" s="3"/>
      <c r="AF107" s="3"/>
      <c r="AG107" s="3"/>
      <c r="AH107" s="3"/>
      <c r="AI107" s="3"/>
      <c r="AJ107" s="3"/>
      <c r="AK107" s="3"/>
      <c r="AL107" s="3"/>
    </row>
    <row r="108" spans="1:38" x14ac:dyDescent="0.2">
      <c r="A108" s="620"/>
      <c r="B108" s="1201"/>
      <c r="C108" s="487"/>
      <c r="D108" s="486" t="str">
        <f t="shared" si="12"/>
        <v>$ nominal</v>
      </c>
      <c r="E108" s="487"/>
      <c r="F108" s="487"/>
      <c r="G108" s="487"/>
      <c r="H108" s="487"/>
      <c r="I108" s="487"/>
      <c r="J108" s="487"/>
      <c r="K108" s="1195"/>
      <c r="L108" s="1195"/>
      <c r="M108" s="1195"/>
      <c r="N108" s="1195"/>
      <c r="O108" s="1195"/>
      <c r="P108" s="1195"/>
      <c r="Q108" s="1195"/>
      <c r="R108" s="1195"/>
      <c r="S108" s="1195"/>
      <c r="T108" s="1195"/>
      <c r="U108" s="1029">
        <f t="shared" si="13"/>
        <v>0</v>
      </c>
      <c r="V108" s="3"/>
      <c r="W108" s="3"/>
      <c r="X108" s="3"/>
      <c r="Y108" s="3"/>
      <c r="Z108" s="3"/>
      <c r="AA108" s="3"/>
      <c r="AB108" s="3"/>
      <c r="AC108" s="3"/>
      <c r="AD108" s="3"/>
      <c r="AE108" s="3"/>
      <c r="AF108" s="3"/>
      <c r="AG108" s="3"/>
      <c r="AH108" s="3"/>
      <c r="AI108" s="3"/>
      <c r="AJ108" s="3"/>
      <c r="AK108" s="3"/>
      <c r="AL108" s="3"/>
    </row>
    <row r="109" spans="1:38" x14ac:dyDescent="0.2">
      <c r="A109" s="620"/>
      <c r="B109" s="1201"/>
      <c r="C109" s="487"/>
      <c r="D109" s="486" t="str">
        <f t="shared" si="12"/>
        <v>$ nominal</v>
      </c>
      <c r="E109" s="487"/>
      <c r="F109" s="487"/>
      <c r="G109" s="487"/>
      <c r="H109" s="487"/>
      <c r="I109" s="487"/>
      <c r="J109" s="487"/>
      <c r="K109" s="1195"/>
      <c r="L109" s="1195"/>
      <c r="M109" s="1195"/>
      <c r="N109" s="1195"/>
      <c r="O109" s="1195"/>
      <c r="P109" s="1195"/>
      <c r="Q109" s="1195"/>
      <c r="R109" s="1195"/>
      <c r="S109" s="1195"/>
      <c r="T109" s="1195"/>
      <c r="U109" s="1029">
        <f t="shared" si="13"/>
        <v>0</v>
      </c>
      <c r="V109" s="3"/>
      <c r="W109" s="3"/>
      <c r="X109" s="3"/>
      <c r="Y109" s="3"/>
      <c r="Z109" s="3"/>
      <c r="AA109" s="3"/>
      <c r="AB109" s="3"/>
      <c r="AC109" s="3"/>
      <c r="AD109" s="3"/>
      <c r="AE109" s="3"/>
      <c r="AF109" s="3"/>
      <c r="AG109" s="3"/>
      <c r="AH109" s="3"/>
      <c r="AI109" s="3"/>
      <c r="AJ109" s="3"/>
      <c r="AK109" s="3"/>
      <c r="AL109" s="3"/>
    </row>
    <row r="110" spans="1:38" x14ac:dyDescent="0.2">
      <c r="A110" s="620"/>
      <c r="B110" s="1201"/>
      <c r="C110" s="487"/>
      <c r="D110" s="486" t="str">
        <f t="shared" si="12"/>
        <v>$ nominal</v>
      </c>
      <c r="E110" s="487"/>
      <c r="F110" s="487"/>
      <c r="G110" s="487"/>
      <c r="H110" s="487"/>
      <c r="I110" s="487"/>
      <c r="J110" s="487"/>
      <c r="K110" s="1195"/>
      <c r="L110" s="1195"/>
      <c r="M110" s="1195"/>
      <c r="N110" s="1195"/>
      <c r="O110" s="1195"/>
      <c r="P110" s="1195"/>
      <c r="Q110" s="1195"/>
      <c r="R110" s="1195"/>
      <c r="S110" s="1195"/>
      <c r="T110" s="1195"/>
      <c r="U110" s="1029">
        <f t="shared" si="13"/>
        <v>0</v>
      </c>
      <c r="V110" s="3"/>
      <c r="W110" s="3"/>
      <c r="X110" s="3"/>
      <c r="Y110" s="3"/>
      <c r="Z110" s="3"/>
      <c r="AA110" s="3"/>
      <c r="AB110" s="3"/>
      <c r="AC110" s="3"/>
      <c r="AD110" s="3"/>
      <c r="AE110" s="3"/>
      <c r="AF110" s="3"/>
      <c r="AG110" s="3"/>
      <c r="AH110" s="3"/>
      <c r="AI110" s="3"/>
      <c r="AJ110" s="3"/>
      <c r="AK110" s="3"/>
      <c r="AL110" s="3"/>
    </row>
    <row r="111" spans="1:38" x14ac:dyDescent="0.2">
      <c r="A111" s="620"/>
      <c r="B111" s="1201"/>
      <c r="C111" s="487"/>
      <c r="D111" s="486" t="str">
        <f t="shared" si="12"/>
        <v>$ nominal</v>
      </c>
      <c r="E111" s="487"/>
      <c r="F111" s="487"/>
      <c r="G111" s="487"/>
      <c r="H111" s="487"/>
      <c r="I111" s="487"/>
      <c r="J111" s="487"/>
      <c r="K111" s="1195"/>
      <c r="L111" s="1195"/>
      <c r="M111" s="1195"/>
      <c r="N111" s="1195"/>
      <c r="O111" s="1195"/>
      <c r="P111" s="1195"/>
      <c r="Q111" s="1195"/>
      <c r="R111" s="1195"/>
      <c r="S111" s="1195"/>
      <c r="T111" s="1195"/>
      <c r="U111" s="1029">
        <f t="shared" si="13"/>
        <v>0</v>
      </c>
      <c r="V111" s="3"/>
      <c r="W111" s="3"/>
      <c r="X111" s="3"/>
      <c r="Y111" s="3"/>
      <c r="Z111" s="3"/>
      <c r="AA111" s="3"/>
      <c r="AB111" s="3"/>
      <c r="AC111" s="3"/>
      <c r="AD111" s="3"/>
      <c r="AE111" s="3"/>
      <c r="AF111" s="3"/>
      <c r="AG111" s="3"/>
      <c r="AH111" s="3"/>
      <c r="AI111" s="3"/>
      <c r="AJ111" s="3"/>
      <c r="AK111" s="3"/>
      <c r="AL111" s="3"/>
    </row>
    <row r="112" spans="1:38" x14ac:dyDescent="0.2">
      <c r="A112" s="620"/>
      <c r="B112" s="1201"/>
      <c r="C112" s="487"/>
      <c r="D112" s="486" t="str">
        <f t="shared" si="12"/>
        <v>$ nominal</v>
      </c>
      <c r="E112" s="487"/>
      <c r="F112" s="487"/>
      <c r="G112" s="487"/>
      <c r="H112" s="487"/>
      <c r="I112" s="487"/>
      <c r="J112" s="487"/>
      <c r="K112" s="1195"/>
      <c r="L112" s="1195"/>
      <c r="M112" s="1195"/>
      <c r="N112" s="1195"/>
      <c r="O112" s="1195"/>
      <c r="P112" s="1195"/>
      <c r="Q112" s="1195"/>
      <c r="R112" s="1195"/>
      <c r="S112" s="1195"/>
      <c r="T112" s="1195"/>
      <c r="U112" s="1029">
        <f t="shared" si="13"/>
        <v>0</v>
      </c>
      <c r="V112" s="3"/>
      <c r="W112" s="3"/>
      <c r="X112" s="3"/>
      <c r="Y112" s="3"/>
      <c r="Z112" s="3"/>
      <c r="AA112" s="3"/>
      <c r="AB112" s="3"/>
      <c r="AC112" s="3"/>
      <c r="AD112" s="3"/>
      <c r="AE112" s="3"/>
      <c r="AF112" s="3"/>
      <c r="AG112" s="3"/>
      <c r="AH112" s="3"/>
      <c r="AI112" s="3"/>
      <c r="AJ112" s="3"/>
      <c r="AK112" s="3"/>
      <c r="AL112" s="3"/>
    </row>
    <row r="113" spans="1:38" x14ac:dyDescent="0.2">
      <c r="A113" s="620"/>
      <c r="B113" s="1201"/>
      <c r="C113" s="487"/>
      <c r="D113" s="486" t="str">
        <f t="shared" si="12"/>
        <v>$ nominal</v>
      </c>
      <c r="E113" s="487"/>
      <c r="F113" s="487"/>
      <c r="G113" s="487"/>
      <c r="H113" s="487"/>
      <c r="I113" s="487"/>
      <c r="J113" s="487"/>
      <c r="K113" s="1195"/>
      <c r="L113" s="1195"/>
      <c r="M113" s="1195"/>
      <c r="N113" s="1195"/>
      <c r="O113" s="1195"/>
      <c r="P113" s="1195"/>
      <c r="Q113" s="1195"/>
      <c r="R113" s="1195"/>
      <c r="S113" s="1195"/>
      <c r="T113" s="1195"/>
      <c r="U113" s="1029">
        <f t="shared" si="13"/>
        <v>0</v>
      </c>
      <c r="V113" s="3"/>
      <c r="W113" s="3"/>
      <c r="X113" s="3"/>
      <c r="Y113" s="3"/>
      <c r="Z113" s="3"/>
      <c r="AA113" s="3"/>
      <c r="AB113" s="3"/>
      <c r="AC113" s="3"/>
      <c r="AD113" s="3"/>
      <c r="AE113" s="3"/>
      <c r="AF113" s="3"/>
      <c r="AG113" s="3"/>
      <c r="AH113" s="3"/>
      <c r="AI113" s="3"/>
      <c r="AJ113" s="3"/>
      <c r="AK113" s="3"/>
      <c r="AL113" s="3"/>
    </row>
    <row r="114" spans="1:38" x14ac:dyDescent="0.2">
      <c r="A114" s="620"/>
      <c r="B114" s="1201"/>
      <c r="C114" s="487"/>
      <c r="D114" s="486" t="str">
        <f t="shared" si="12"/>
        <v>$ nominal</v>
      </c>
      <c r="E114" s="487"/>
      <c r="F114" s="487"/>
      <c r="G114" s="487"/>
      <c r="H114" s="487"/>
      <c r="I114" s="487"/>
      <c r="J114" s="487"/>
      <c r="K114" s="1195"/>
      <c r="L114" s="1195"/>
      <c r="M114" s="1195"/>
      <c r="N114" s="1195"/>
      <c r="O114" s="1195"/>
      <c r="P114" s="1195"/>
      <c r="Q114" s="1195"/>
      <c r="R114" s="1195"/>
      <c r="S114" s="1195"/>
      <c r="T114" s="1195"/>
      <c r="U114" s="1029">
        <f t="shared" si="13"/>
        <v>0</v>
      </c>
      <c r="V114" s="3"/>
      <c r="W114" s="3"/>
      <c r="X114" s="3"/>
      <c r="Y114" s="3"/>
      <c r="Z114" s="3"/>
      <c r="AA114" s="3"/>
      <c r="AB114" s="3"/>
      <c r="AC114" s="3"/>
      <c r="AD114" s="3"/>
      <c r="AE114" s="3"/>
      <c r="AF114" s="3"/>
      <c r="AG114" s="3"/>
      <c r="AH114" s="3"/>
      <c r="AI114" s="3"/>
      <c r="AJ114" s="3"/>
      <c r="AK114" s="3"/>
      <c r="AL114" s="3"/>
    </row>
    <row r="115" spans="1:38" x14ac:dyDescent="0.2">
      <c r="A115" s="620"/>
      <c r="B115" s="1201"/>
      <c r="C115" s="487"/>
      <c r="D115" s="486" t="str">
        <f t="shared" si="12"/>
        <v>$ nominal</v>
      </c>
      <c r="E115" s="487"/>
      <c r="F115" s="487"/>
      <c r="G115" s="487"/>
      <c r="H115" s="487"/>
      <c r="I115" s="487"/>
      <c r="J115" s="487"/>
      <c r="K115" s="1195"/>
      <c r="L115" s="1195"/>
      <c r="M115" s="1195"/>
      <c r="N115" s="1195"/>
      <c r="O115" s="1195"/>
      <c r="P115" s="1195"/>
      <c r="Q115" s="1195"/>
      <c r="R115" s="1195"/>
      <c r="S115" s="1195"/>
      <c r="T115" s="1195"/>
      <c r="U115" s="1029">
        <f t="shared" si="13"/>
        <v>0</v>
      </c>
      <c r="V115" s="3"/>
      <c r="W115" s="3"/>
      <c r="X115" s="3"/>
      <c r="Y115" s="3"/>
      <c r="Z115" s="3"/>
      <c r="AA115" s="3"/>
      <c r="AB115" s="3"/>
      <c r="AC115" s="3"/>
      <c r="AD115" s="3"/>
      <c r="AE115" s="3"/>
      <c r="AF115" s="3"/>
      <c r="AG115" s="3"/>
      <c r="AH115" s="3"/>
      <c r="AI115" s="3"/>
      <c r="AJ115" s="3"/>
      <c r="AK115" s="3"/>
      <c r="AL115" s="3"/>
    </row>
    <row r="116" spans="1:38" x14ac:dyDescent="0.2">
      <c r="A116" s="620"/>
      <c r="B116" s="1201"/>
      <c r="C116" s="487"/>
      <c r="D116" s="486" t="str">
        <f t="shared" si="12"/>
        <v>$ nominal</v>
      </c>
      <c r="E116" s="487"/>
      <c r="F116" s="487"/>
      <c r="G116" s="487"/>
      <c r="H116" s="487"/>
      <c r="I116" s="487"/>
      <c r="J116" s="487"/>
      <c r="K116" s="1195"/>
      <c r="L116" s="1195"/>
      <c r="M116" s="1195"/>
      <c r="N116" s="1195"/>
      <c r="O116" s="1195"/>
      <c r="P116" s="1195"/>
      <c r="Q116" s="1195"/>
      <c r="R116" s="1195"/>
      <c r="S116" s="1195"/>
      <c r="T116" s="1195"/>
      <c r="U116" s="1029">
        <f t="shared" si="13"/>
        <v>0</v>
      </c>
      <c r="V116" s="3"/>
      <c r="W116" s="3"/>
      <c r="X116" s="3"/>
      <c r="Y116" s="3"/>
      <c r="Z116" s="3"/>
      <c r="AA116" s="3"/>
      <c r="AB116" s="3"/>
      <c r="AC116" s="3"/>
      <c r="AD116" s="3"/>
      <c r="AE116" s="3"/>
      <c r="AF116" s="3"/>
      <c r="AG116" s="3"/>
      <c r="AH116" s="3"/>
      <c r="AI116" s="3"/>
      <c r="AJ116" s="3"/>
      <c r="AK116" s="3"/>
      <c r="AL116" s="3"/>
    </row>
    <row r="117" spans="1:38" x14ac:dyDescent="0.2">
      <c r="A117" s="620"/>
      <c r="B117" s="1201"/>
      <c r="C117" s="487"/>
      <c r="D117" s="486" t="str">
        <f t="shared" si="12"/>
        <v>$ nominal</v>
      </c>
      <c r="E117" s="487"/>
      <c r="F117" s="487"/>
      <c r="G117" s="487"/>
      <c r="H117" s="487"/>
      <c r="I117" s="487"/>
      <c r="J117" s="487"/>
      <c r="K117" s="1195"/>
      <c r="L117" s="1195"/>
      <c r="M117" s="1195"/>
      <c r="N117" s="1195"/>
      <c r="O117" s="1195"/>
      <c r="P117" s="1195"/>
      <c r="Q117" s="1195"/>
      <c r="R117" s="1195"/>
      <c r="S117" s="1195"/>
      <c r="T117" s="1195"/>
      <c r="U117" s="1029">
        <f t="shared" si="13"/>
        <v>0</v>
      </c>
      <c r="V117" s="3"/>
      <c r="W117" s="3"/>
      <c r="X117" s="3"/>
      <c r="Y117" s="3"/>
      <c r="Z117" s="3"/>
      <c r="AA117" s="3"/>
      <c r="AB117" s="3"/>
      <c r="AC117" s="3"/>
      <c r="AD117" s="3"/>
      <c r="AE117" s="3"/>
      <c r="AF117" s="3"/>
      <c r="AG117" s="3"/>
      <c r="AH117" s="3"/>
      <c r="AI117" s="3"/>
      <c r="AJ117" s="3"/>
      <c r="AK117" s="3"/>
      <c r="AL117" s="3"/>
    </row>
    <row r="118" spans="1:38" x14ac:dyDescent="0.2">
      <c r="A118" s="620"/>
      <c r="B118" s="1201"/>
      <c r="C118" s="487"/>
      <c r="D118" s="486" t="str">
        <f t="shared" si="12"/>
        <v>$ nominal</v>
      </c>
      <c r="E118" s="487"/>
      <c r="F118" s="487"/>
      <c r="G118" s="487"/>
      <c r="H118" s="487"/>
      <c r="I118" s="487"/>
      <c r="J118" s="487"/>
      <c r="K118" s="1195"/>
      <c r="L118" s="1195"/>
      <c r="M118" s="1195"/>
      <c r="N118" s="1195"/>
      <c r="O118" s="1195"/>
      <c r="P118" s="1195"/>
      <c r="Q118" s="1195"/>
      <c r="R118" s="1195"/>
      <c r="S118" s="1195"/>
      <c r="T118" s="1195"/>
      <c r="U118" s="1029">
        <f t="shared" si="13"/>
        <v>0</v>
      </c>
      <c r="V118" s="3"/>
      <c r="W118" s="3"/>
      <c r="X118" s="3"/>
      <c r="Y118" s="3"/>
      <c r="Z118" s="3"/>
      <c r="AA118" s="3"/>
      <c r="AB118" s="3"/>
      <c r="AC118" s="3"/>
      <c r="AD118" s="3"/>
      <c r="AE118" s="3"/>
      <c r="AF118" s="3"/>
      <c r="AG118" s="3"/>
      <c r="AH118" s="3"/>
      <c r="AI118" s="3"/>
      <c r="AJ118" s="3"/>
      <c r="AK118" s="3"/>
      <c r="AL118" s="3"/>
    </row>
    <row r="119" spans="1:38" x14ac:dyDescent="0.2">
      <c r="A119" s="620"/>
      <c r="B119" s="1186"/>
      <c r="C119" s="487"/>
      <c r="D119" s="486" t="str">
        <f t="shared" si="12"/>
        <v>$ nominal</v>
      </c>
      <c r="E119" s="487"/>
      <c r="F119" s="487"/>
      <c r="G119" s="487"/>
      <c r="H119" s="487"/>
      <c r="I119" s="487"/>
      <c r="J119" s="487"/>
      <c r="K119" s="1195"/>
      <c r="L119" s="1195"/>
      <c r="M119" s="1195"/>
      <c r="N119" s="1195"/>
      <c r="O119" s="1195"/>
      <c r="P119" s="1195"/>
      <c r="Q119" s="1195"/>
      <c r="R119" s="1195"/>
      <c r="S119" s="1195"/>
      <c r="T119" s="1195"/>
      <c r="U119" s="1029">
        <f t="shared" si="13"/>
        <v>0</v>
      </c>
      <c r="V119" s="3"/>
      <c r="W119" s="3"/>
      <c r="X119" s="3"/>
      <c r="Y119" s="3"/>
      <c r="Z119" s="3"/>
      <c r="AA119" s="3"/>
      <c r="AB119" s="3"/>
      <c r="AC119" s="3"/>
      <c r="AD119" s="3"/>
      <c r="AE119" s="3"/>
      <c r="AF119" s="3"/>
      <c r="AG119" s="3"/>
      <c r="AH119" s="3"/>
      <c r="AI119" s="3"/>
      <c r="AJ119" s="3"/>
      <c r="AK119" s="3"/>
      <c r="AL119" s="3"/>
    </row>
    <row r="120" spans="1:38" x14ac:dyDescent="0.2">
      <c r="A120" s="620"/>
      <c r="B120" s="1187" t="s">
        <v>725</v>
      </c>
      <c r="C120" s="631"/>
      <c r="D120" s="631"/>
      <c r="E120" s="631"/>
      <c r="F120" s="631"/>
      <c r="G120" s="631"/>
      <c r="H120" s="631"/>
      <c r="I120" s="631"/>
      <c r="J120" s="631"/>
      <c r="K120" s="1197"/>
      <c r="L120" s="1198"/>
      <c r="M120" s="1198"/>
      <c r="N120" s="1198"/>
      <c r="O120" s="1198"/>
      <c r="P120" s="1198"/>
      <c r="Q120" s="1198"/>
      <c r="R120" s="1198"/>
      <c r="S120" s="1198"/>
      <c r="T120" s="1198"/>
      <c r="U120" s="1029"/>
      <c r="V120" s="3"/>
      <c r="W120" s="3"/>
      <c r="X120" s="3"/>
      <c r="Y120" s="3"/>
      <c r="Z120" s="3"/>
      <c r="AA120" s="3"/>
      <c r="AB120" s="3"/>
      <c r="AC120" s="3"/>
      <c r="AD120" s="3"/>
      <c r="AE120" s="3"/>
      <c r="AF120" s="3"/>
      <c r="AG120" s="3"/>
      <c r="AH120" s="3"/>
      <c r="AI120" s="3"/>
      <c r="AJ120" s="3"/>
      <c r="AK120" s="3"/>
      <c r="AL120" s="3"/>
    </row>
    <row r="121" spans="1:38" x14ac:dyDescent="0.2">
      <c r="A121" s="620"/>
      <c r="B121" s="1200"/>
      <c r="C121" s="487"/>
      <c r="D121" s="486" t="str">
        <f t="shared" si="12"/>
        <v>$ nominal</v>
      </c>
      <c r="E121" s="487"/>
      <c r="F121" s="487"/>
      <c r="G121" s="487"/>
      <c r="H121" s="487"/>
      <c r="I121" s="487"/>
      <c r="J121" s="487"/>
      <c r="K121" s="1195"/>
      <c r="L121" s="1195"/>
      <c r="M121" s="1195"/>
      <c r="N121" s="1195"/>
      <c r="O121" s="1195"/>
      <c r="P121" s="1195"/>
      <c r="Q121" s="1195"/>
      <c r="R121" s="1195"/>
      <c r="S121" s="1195"/>
      <c r="T121" s="1195"/>
      <c r="U121" s="1029">
        <f t="shared" ref="U121:U142" si="14">SUM(K121:T121)-SUMIF($K$22:$T$22,$Z$21,K121:T121)</f>
        <v>0</v>
      </c>
      <c r="V121" s="3"/>
      <c r="W121" s="3"/>
      <c r="X121" s="3"/>
      <c r="Y121" s="3"/>
      <c r="Z121" s="3"/>
      <c r="AA121" s="3"/>
      <c r="AB121" s="3"/>
      <c r="AC121" s="3"/>
      <c r="AD121" s="3"/>
      <c r="AE121" s="3"/>
      <c r="AF121" s="3"/>
      <c r="AG121" s="3"/>
      <c r="AH121" s="3"/>
      <c r="AI121" s="3"/>
      <c r="AJ121" s="3"/>
      <c r="AK121" s="3"/>
      <c r="AL121" s="3"/>
    </row>
    <row r="122" spans="1:38" x14ac:dyDescent="0.2">
      <c r="A122" s="620"/>
      <c r="B122" s="1200"/>
      <c r="C122" s="487"/>
      <c r="D122" s="486" t="str">
        <f t="shared" si="12"/>
        <v>$ nominal</v>
      </c>
      <c r="E122" s="487"/>
      <c r="F122" s="487"/>
      <c r="G122" s="487"/>
      <c r="H122" s="487"/>
      <c r="I122" s="487"/>
      <c r="J122" s="487"/>
      <c r="K122" s="1195"/>
      <c r="L122" s="1195"/>
      <c r="M122" s="1195"/>
      <c r="N122" s="1195"/>
      <c r="O122" s="1195"/>
      <c r="P122" s="1195"/>
      <c r="Q122" s="1195"/>
      <c r="R122" s="1195"/>
      <c r="S122" s="1195"/>
      <c r="T122" s="1195"/>
      <c r="U122" s="1029">
        <f t="shared" si="14"/>
        <v>0</v>
      </c>
      <c r="V122" s="3"/>
      <c r="W122" s="3"/>
      <c r="X122" s="3"/>
      <c r="Y122" s="3"/>
      <c r="Z122" s="3"/>
      <c r="AA122" s="3"/>
      <c r="AB122" s="3"/>
      <c r="AC122" s="3"/>
      <c r="AD122" s="3"/>
      <c r="AE122" s="3"/>
      <c r="AF122" s="3"/>
      <c r="AG122" s="3"/>
      <c r="AH122" s="3"/>
      <c r="AI122" s="3"/>
      <c r="AJ122" s="3"/>
      <c r="AK122" s="3"/>
      <c r="AL122" s="3"/>
    </row>
    <row r="123" spans="1:38" x14ac:dyDescent="0.2">
      <c r="A123" s="620"/>
      <c r="B123" s="1200"/>
      <c r="C123" s="487"/>
      <c r="D123" s="486" t="str">
        <f t="shared" si="12"/>
        <v>$ nominal</v>
      </c>
      <c r="E123" s="487"/>
      <c r="F123" s="487"/>
      <c r="G123" s="487"/>
      <c r="H123" s="487"/>
      <c r="I123" s="487"/>
      <c r="J123" s="487"/>
      <c r="K123" s="1195"/>
      <c r="L123" s="1195"/>
      <c r="M123" s="1195"/>
      <c r="N123" s="1195"/>
      <c r="O123" s="1195"/>
      <c r="P123" s="1195"/>
      <c r="Q123" s="1195"/>
      <c r="R123" s="1195"/>
      <c r="S123" s="1195"/>
      <c r="T123" s="1195"/>
      <c r="U123" s="1029">
        <f t="shared" si="14"/>
        <v>0</v>
      </c>
      <c r="V123" s="3"/>
      <c r="W123" s="3"/>
      <c r="X123" s="3"/>
      <c r="Y123" s="3"/>
      <c r="Z123" s="3"/>
      <c r="AA123" s="3"/>
      <c r="AB123" s="3"/>
      <c r="AC123" s="3"/>
      <c r="AD123" s="3"/>
      <c r="AE123" s="3"/>
      <c r="AF123" s="3"/>
      <c r="AG123" s="3"/>
      <c r="AH123" s="3"/>
      <c r="AI123" s="3"/>
      <c r="AJ123" s="3"/>
      <c r="AK123" s="3"/>
      <c r="AL123" s="3"/>
    </row>
    <row r="124" spans="1:38" x14ac:dyDescent="0.2">
      <c r="A124" s="620"/>
      <c r="B124" s="1200"/>
      <c r="C124" s="487"/>
      <c r="D124" s="486" t="str">
        <f t="shared" si="12"/>
        <v>$ nominal</v>
      </c>
      <c r="E124" s="487"/>
      <c r="F124" s="487"/>
      <c r="G124" s="487"/>
      <c r="H124" s="487"/>
      <c r="I124" s="487"/>
      <c r="J124" s="487"/>
      <c r="K124" s="1195"/>
      <c r="L124" s="1195"/>
      <c r="M124" s="1195"/>
      <c r="N124" s="1195"/>
      <c r="O124" s="1195"/>
      <c r="P124" s="1195"/>
      <c r="Q124" s="1195"/>
      <c r="R124" s="1195"/>
      <c r="S124" s="1195"/>
      <c r="T124" s="1195"/>
      <c r="U124" s="1029">
        <f t="shared" si="14"/>
        <v>0</v>
      </c>
      <c r="V124" s="3"/>
      <c r="W124" s="3"/>
      <c r="X124" s="3"/>
      <c r="Y124" s="3"/>
      <c r="Z124" s="3"/>
      <c r="AA124" s="3"/>
      <c r="AB124" s="3"/>
      <c r="AC124" s="3"/>
      <c r="AD124" s="3"/>
      <c r="AE124" s="3"/>
      <c r="AF124" s="3"/>
      <c r="AG124" s="3"/>
      <c r="AH124" s="3"/>
      <c r="AI124" s="3"/>
      <c r="AJ124" s="3"/>
      <c r="AK124" s="3"/>
      <c r="AL124" s="3"/>
    </row>
    <row r="125" spans="1:38" x14ac:dyDescent="0.2">
      <c r="A125" s="620"/>
      <c r="B125" s="1200"/>
      <c r="C125" s="487"/>
      <c r="D125" s="486" t="str">
        <f t="shared" si="12"/>
        <v>$ nominal</v>
      </c>
      <c r="E125" s="487"/>
      <c r="F125" s="487"/>
      <c r="G125" s="487"/>
      <c r="H125" s="487"/>
      <c r="I125" s="487"/>
      <c r="J125" s="487"/>
      <c r="K125" s="1195"/>
      <c r="L125" s="1195"/>
      <c r="M125" s="1195"/>
      <c r="N125" s="1195"/>
      <c r="O125" s="1195"/>
      <c r="P125" s="1195"/>
      <c r="Q125" s="1195"/>
      <c r="R125" s="1195"/>
      <c r="S125" s="1195"/>
      <c r="T125" s="1195"/>
      <c r="U125" s="1029">
        <f t="shared" si="14"/>
        <v>0</v>
      </c>
      <c r="V125" s="3"/>
      <c r="W125" s="3"/>
      <c r="X125" s="3"/>
      <c r="Y125" s="3"/>
      <c r="Z125" s="3"/>
      <c r="AA125" s="3"/>
      <c r="AB125" s="3"/>
      <c r="AC125" s="3"/>
      <c r="AD125" s="3"/>
      <c r="AE125" s="3"/>
      <c r="AF125" s="3"/>
      <c r="AG125" s="3"/>
      <c r="AH125" s="3"/>
      <c r="AI125" s="3"/>
      <c r="AJ125" s="3"/>
      <c r="AK125" s="3"/>
      <c r="AL125" s="3"/>
    </row>
    <row r="126" spans="1:38" x14ac:dyDescent="0.2">
      <c r="A126" s="620"/>
      <c r="B126" s="1200"/>
      <c r="C126" s="487"/>
      <c r="D126" s="486" t="str">
        <f t="shared" si="12"/>
        <v>$ nominal</v>
      </c>
      <c r="E126" s="487"/>
      <c r="F126" s="487"/>
      <c r="G126" s="487"/>
      <c r="H126" s="487"/>
      <c r="I126" s="487"/>
      <c r="J126" s="487"/>
      <c r="K126" s="1195"/>
      <c r="L126" s="1195"/>
      <c r="M126" s="1195"/>
      <c r="N126" s="1195"/>
      <c r="O126" s="1195"/>
      <c r="P126" s="1195"/>
      <c r="Q126" s="1195"/>
      <c r="R126" s="1195"/>
      <c r="S126" s="1195"/>
      <c r="T126" s="1195"/>
      <c r="U126" s="1029">
        <f t="shared" si="14"/>
        <v>0</v>
      </c>
      <c r="V126" s="3"/>
      <c r="W126" s="3"/>
      <c r="X126" s="3"/>
      <c r="Y126" s="3"/>
      <c r="Z126" s="3"/>
      <c r="AA126" s="3"/>
      <c r="AB126" s="3"/>
      <c r="AC126" s="3"/>
      <c r="AD126" s="3"/>
      <c r="AE126" s="3"/>
      <c r="AF126" s="3"/>
      <c r="AG126" s="3"/>
      <c r="AH126" s="3"/>
      <c r="AI126" s="3"/>
      <c r="AJ126" s="3"/>
      <c r="AK126" s="3"/>
      <c r="AL126" s="3"/>
    </row>
    <row r="127" spans="1:38" x14ac:dyDescent="0.2">
      <c r="A127" s="620"/>
      <c r="B127" s="1200"/>
      <c r="C127" s="487"/>
      <c r="D127" s="486" t="str">
        <f t="shared" si="12"/>
        <v>$ nominal</v>
      </c>
      <c r="E127" s="487"/>
      <c r="F127" s="487"/>
      <c r="G127" s="487"/>
      <c r="H127" s="487"/>
      <c r="I127" s="487"/>
      <c r="J127" s="487"/>
      <c r="K127" s="1195"/>
      <c r="L127" s="1195"/>
      <c r="M127" s="1195"/>
      <c r="N127" s="1195"/>
      <c r="O127" s="1195"/>
      <c r="P127" s="1195"/>
      <c r="Q127" s="1195"/>
      <c r="R127" s="1195"/>
      <c r="S127" s="1195"/>
      <c r="T127" s="1195"/>
      <c r="U127" s="1029">
        <f t="shared" si="14"/>
        <v>0</v>
      </c>
      <c r="V127" s="3"/>
      <c r="W127" s="3"/>
      <c r="X127" s="3"/>
      <c r="Y127" s="3"/>
      <c r="Z127" s="3"/>
      <c r="AA127" s="3"/>
      <c r="AB127" s="3"/>
      <c r="AC127" s="3"/>
      <c r="AD127" s="3"/>
      <c r="AE127" s="3"/>
      <c r="AF127" s="3"/>
      <c r="AG127" s="3"/>
      <c r="AH127" s="3"/>
      <c r="AI127" s="3"/>
      <c r="AJ127" s="3"/>
      <c r="AK127" s="3"/>
      <c r="AL127" s="3"/>
    </row>
    <row r="128" spans="1:38" x14ac:dyDescent="0.2">
      <c r="A128" s="620"/>
      <c r="B128" s="1200"/>
      <c r="C128" s="487"/>
      <c r="D128" s="486" t="str">
        <f t="shared" si="12"/>
        <v>$ nominal</v>
      </c>
      <c r="E128" s="487"/>
      <c r="F128" s="487"/>
      <c r="G128" s="487"/>
      <c r="H128" s="487"/>
      <c r="I128" s="487"/>
      <c r="J128" s="487"/>
      <c r="K128" s="1195"/>
      <c r="L128" s="1195"/>
      <c r="M128" s="1195"/>
      <c r="N128" s="1195"/>
      <c r="O128" s="1195"/>
      <c r="P128" s="1195"/>
      <c r="Q128" s="1195"/>
      <c r="R128" s="1195"/>
      <c r="S128" s="1195"/>
      <c r="T128" s="1195"/>
      <c r="U128" s="1029">
        <f t="shared" si="14"/>
        <v>0</v>
      </c>
      <c r="V128" s="3"/>
      <c r="W128" s="3"/>
      <c r="X128" s="3"/>
      <c r="Y128" s="3"/>
      <c r="Z128" s="3"/>
      <c r="AA128" s="3"/>
      <c r="AB128" s="3"/>
      <c r="AC128" s="3"/>
      <c r="AD128" s="3"/>
      <c r="AE128" s="3"/>
      <c r="AF128" s="3"/>
      <c r="AG128" s="3"/>
      <c r="AH128" s="3"/>
      <c r="AI128" s="3"/>
      <c r="AJ128" s="3"/>
      <c r="AK128" s="3"/>
      <c r="AL128" s="3"/>
    </row>
    <row r="129" spans="1:38" x14ac:dyDescent="0.2">
      <c r="A129" s="620"/>
      <c r="B129" s="1200"/>
      <c r="C129" s="487"/>
      <c r="D129" s="486" t="str">
        <f t="shared" si="12"/>
        <v>$ nominal</v>
      </c>
      <c r="E129" s="487"/>
      <c r="F129" s="487"/>
      <c r="G129" s="487"/>
      <c r="H129" s="487"/>
      <c r="I129" s="487"/>
      <c r="J129" s="487"/>
      <c r="K129" s="1195"/>
      <c r="L129" s="1195"/>
      <c r="M129" s="1195"/>
      <c r="N129" s="1195"/>
      <c r="O129" s="1195"/>
      <c r="P129" s="1195"/>
      <c r="Q129" s="1195"/>
      <c r="R129" s="1195"/>
      <c r="S129" s="1195"/>
      <c r="T129" s="1195"/>
      <c r="U129" s="1029">
        <f t="shared" si="14"/>
        <v>0</v>
      </c>
      <c r="V129" s="3"/>
      <c r="W129" s="3"/>
      <c r="X129" s="3"/>
      <c r="Y129" s="3"/>
      <c r="Z129" s="3"/>
      <c r="AA129" s="3"/>
      <c r="AB129" s="3"/>
      <c r="AC129" s="3"/>
      <c r="AD129" s="3"/>
      <c r="AE129" s="3"/>
      <c r="AF129" s="3"/>
      <c r="AG129" s="3"/>
      <c r="AH129" s="3"/>
      <c r="AI129" s="3"/>
      <c r="AJ129" s="3"/>
      <c r="AK129" s="3"/>
      <c r="AL129" s="3"/>
    </row>
    <row r="130" spans="1:38" x14ac:dyDescent="0.2">
      <c r="A130" s="620"/>
      <c r="B130" s="1200"/>
      <c r="C130" s="487"/>
      <c r="D130" s="486" t="str">
        <f t="shared" si="12"/>
        <v>$ nominal</v>
      </c>
      <c r="E130" s="487"/>
      <c r="F130" s="487"/>
      <c r="G130" s="487"/>
      <c r="H130" s="487"/>
      <c r="I130" s="487"/>
      <c r="J130" s="487"/>
      <c r="K130" s="1195"/>
      <c r="L130" s="1195"/>
      <c r="M130" s="1195"/>
      <c r="N130" s="1195"/>
      <c r="O130" s="1195"/>
      <c r="P130" s="1195"/>
      <c r="Q130" s="1195"/>
      <c r="R130" s="1195"/>
      <c r="S130" s="1195"/>
      <c r="T130" s="1195"/>
      <c r="U130" s="1029">
        <f t="shared" si="14"/>
        <v>0</v>
      </c>
      <c r="V130" s="3"/>
      <c r="W130" s="3"/>
      <c r="X130" s="3"/>
      <c r="Y130" s="3"/>
      <c r="Z130" s="3"/>
      <c r="AA130" s="3"/>
      <c r="AB130" s="3"/>
      <c r="AC130" s="3"/>
      <c r="AD130" s="3"/>
      <c r="AE130" s="3"/>
      <c r="AF130" s="3"/>
      <c r="AG130" s="3"/>
      <c r="AH130" s="3"/>
      <c r="AI130" s="3"/>
      <c r="AJ130" s="3"/>
      <c r="AK130" s="3"/>
      <c r="AL130" s="3"/>
    </row>
    <row r="131" spans="1:38" x14ac:dyDescent="0.2">
      <c r="A131" s="620"/>
      <c r="B131" s="1200"/>
      <c r="C131" s="487"/>
      <c r="D131" s="486" t="str">
        <f t="shared" si="12"/>
        <v>$ nominal</v>
      </c>
      <c r="E131" s="487"/>
      <c r="F131" s="487"/>
      <c r="G131" s="487"/>
      <c r="H131" s="487"/>
      <c r="I131" s="487"/>
      <c r="J131" s="487"/>
      <c r="K131" s="1195"/>
      <c r="L131" s="1195"/>
      <c r="M131" s="1195"/>
      <c r="N131" s="1195"/>
      <c r="O131" s="1195"/>
      <c r="P131" s="1195"/>
      <c r="Q131" s="1195"/>
      <c r="R131" s="1195"/>
      <c r="S131" s="1195"/>
      <c r="T131" s="1195"/>
      <c r="U131" s="1029">
        <f t="shared" si="14"/>
        <v>0</v>
      </c>
      <c r="V131" s="3"/>
      <c r="W131" s="3"/>
      <c r="X131" s="3"/>
      <c r="Y131" s="3"/>
      <c r="Z131" s="3"/>
      <c r="AA131" s="3"/>
      <c r="AB131" s="3"/>
      <c r="AC131" s="3"/>
      <c r="AD131" s="3"/>
      <c r="AE131" s="3"/>
      <c r="AF131" s="3"/>
      <c r="AG131" s="3"/>
      <c r="AH131" s="3"/>
      <c r="AI131" s="3"/>
      <c r="AJ131" s="3"/>
      <c r="AK131" s="3"/>
      <c r="AL131" s="3"/>
    </row>
    <row r="132" spans="1:38" x14ac:dyDescent="0.2">
      <c r="A132" s="620"/>
      <c r="B132" s="1200"/>
      <c r="C132" s="487"/>
      <c r="D132" s="486" t="str">
        <f t="shared" si="12"/>
        <v>$ nominal</v>
      </c>
      <c r="E132" s="487"/>
      <c r="F132" s="487"/>
      <c r="G132" s="487"/>
      <c r="H132" s="487"/>
      <c r="I132" s="487"/>
      <c r="J132" s="487"/>
      <c r="K132" s="1195"/>
      <c r="L132" s="1195"/>
      <c r="M132" s="1195"/>
      <c r="N132" s="1195"/>
      <c r="O132" s="1195"/>
      <c r="P132" s="1195"/>
      <c r="Q132" s="1195"/>
      <c r="R132" s="1195"/>
      <c r="S132" s="1195"/>
      <c r="T132" s="1195"/>
      <c r="U132" s="1029">
        <f t="shared" si="14"/>
        <v>0</v>
      </c>
      <c r="V132" s="3"/>
      <c r="W132" s="3"/>
      <c r="X132" s="3"/>
      <c r="Y132" s="3"/>
      <c r="Z132" s="3"/>
      <c r="AA132" s="3"/>
      <c r="AB132" s="3"/>
      <c r="AC132" s="3"/>
      <c r="AD132" s="3"/>
      <c r="AE132" s="3"/>
      <c r="AF132" s="3"/>
      <c r="AG132" s="3"/>
      <c r="AH132" s="3"/>
      <c r="AI132" s="3"/>
      <c r="AJ132" s="3"/>
      <c r="AK132" s="3"/>
      <c r="AL132" s="3"/>
    </row>
    <row r="133" spans="1:38" x14ac:dyDescent="0.2">
      <c r="A133" s="620"/>
      <c r="B133" s="1200"/>
      <c r="C133" s="487"/>
      <c r="D133" s="486" t="str">
        <f t="shared" si="12"/>
        <v>$ nominal</v>
      </c>
      <c r="E133" s="487"/>
      <c r="F133" s="487"/>
      <c r="G133" s="487"/>
      <c r="H133" s="487"/>
      <c r="I133" s="487"/>
      <c r="J133" s="487"/>
      <c r="K133" s="1195"/>
      <c r="L133" s="1195"/>
      <c r="M133" s="1195"/>
      <c r="N133" s="1195"/>
      <c r="O133" s="1195"/>
      <c r="P133" s="1195"/>
      <c r="Q133" s="1195"/>
      <c r="R133" s="1195"/>
      <c r="S133" s="1195"/>
      <c r="T133" s="1195"/>
      <c r="U133" s="1029">
        <f t="shared" si="14"/>
        <v>0</v>
      </c>
      <c r="V133" s="3"/>
      <c r="W133" s="3"/>
      <c r="X133" s="3"/>
      <c r="Y133" s="3"/>
      <c r="Z133" s="3"/>
      <c r="AA133" s="3"/>
      <c r="AB133" s="3"/>
      <c r="AC133" s="3"/>
      <c r="AD133" s="3"/>
      <c r="AE133" s="3"/>
      <c r="AF133" s="3"/>
      <c r="AG133" s="3"/>
      <c r="AH133" s="3"/>
      <c r="AI133" s="3"/>
      <c r="AJ133" s="3"/>
      <c r="AK133" s="3"/>
      <c r="AL133" s="3"/>
    </row>
    <row r="134" spans="1:38" x14ac:dyDescent="0.2">
      <c r="A134" s="620"/>
      <c r="B134" s="1200"/>
      <c r="C134" s="487"/>
      <c r="D134" s="486" t="str">
        <f t="shared" si="12"/>
        <v>$ nominal</v>
      </c>
      <c r="E134" s="487"/>
      <c r="F134" s="487"/>
      <c r="G134" s="487"/>
      <c r="H134" s="487"/>
      <c r="I134" s="487"/>
      <c r="J134" s="487"/>
      <c r="K134" s="1195"/>
      <c r="L134" s="1195"/>
      <c r="M134" s="1195"/>
      <c r="N134" s="1195"/>
      <c r="O134" s="1195"/>
      <c r="P134" s="1195"/>
      <c r="Q134" s="1195"/>
      <c r="R134" s="1195"/>
      <c r="S134" s="1195"/>
      <c r="T134" s="1195"/>
      <c r="U134" s="1029">
        <f t="shared" si="14"/>
        <v>0</v>
      </c>
      <c r="V134" s="3"/>
      <c r="W134" s="3"/>
      <c r="X134" s="3"/>
      <c r="Y134" s="3"/>
      <c r="Z134" s="3"/>
      <c r="AA134" s="3"/>
      <c r="AB134" s="3"/>
      <c r="AC134" s="3"/>
      <c r="AD134" s="3"/>
      <c r="AE134" s="3"/>
      <c r="AF134" s="3"/>
      <c r="AG134" s="3"/>
      <c r="AH134" s="3"/>
      <c r="AI134" s="3"/>
      <c r="AJ134" s="3"/>
      <c r="AK134" s="3"/>
      <c r="AL134" s="3"/>
    </row>
    <row r="135" spans="1:38" x14ac:dyDescent="0.2">
      <c r="A135" s="620"/>
      <c r="B135" s="1200"/>
      <c r="C135" s="487"/>
      <c r="D135" s="486" t="str">
        <f t="shared" si="12"/>
        <v>$ nominal</v>
      </c>
      <c r="E135" s="487"/>
      <c r="F135" s="487"/>
      <c r="G135" s="487"/>
      <c r="H135" s="487"/>
      <c r="I135" s="487"/>
      <c r="J135" s="487"/>
      <c r="K135" s="1195"/>
      <c r="L135" s="1195"/>
      <c r="M135" s="1195"/>
      <c r="N135" s="1195"/>
      <c r="O135" s="1195"/>
      <c r="P135" s="1195"/>
      <c r="Q135" s="1195"/>
      <c r="R135" s="1195"/>
      <c r="S135" s="1195"/>
      <c r="T135" s="1195"/>
      <c r="U135" s="1029">
        <f t="shared" si="14"/>
        <v>0</v>
      </c>
      <c r="V135" s="3"/>
      <c r="W135" s="3"/>
      <c r="X135" s="3"/>
      <c r="Y135" s="3"/>
      <c r="Z135" s="3"/>
      <c r="AA135" s="3"/>
      <c r="AB135" s="3"/>
      <c r="AC135" s="3"/>
      <c r="AD135" s="3"/>
      <c r="AE135" s="3"/>
      <c r="AF135" s="3"/>
      <c r="AG135" s="3"/>
      <c r="AH135" s="3"/>
      <c r="AI135" s="3"/>
      <c r="AJ135" s="3"/>
      <c r="AK135" s="3"/>
      <c r="AL135" s="3"/>
    </row>
    <row r="136" spans="1:38" x14ac:dyDescent="0.2">
      <c r="A136" s="620"/>
      <c r="B136" s="1200"/>
      <c r="C136" s="487"/>
      <c r="D136" s="486" t="str">
        <f t="shared" si="12"/>
        <v>$ nominal</v>
      </c>
      <c r="E136" s="487"/>
      <c r="F136" s="487"/>
      <c r="G136" s="487"/>
      <c r="H136" s="487"/>
      <c r="I136" s="487"/>
      <c r="J136" s="487"/>
      <c r="K136" s="1195"/>
      <c r="L136" s="1195"/>
      <c r="M136" s="1195"/>
      <c r="N136" s="1195"/>
      <c r="O136" s="1195"/>
      <c r="P136" s="1195"/>
      <c r="Q136" s="1195"/>
      <c r="R136" s="1195"/>
      <c r="S136" s="1195"/>
      <c r="T136" s="1195"/>
      <c r="U136" s="1029">
        <f t="shared" si="14"/>
        <v>0</v>
      </c>
      <c r="V136" s="3"/>
      <c r="W136" s="3"/>
      <c r="X136" s="3"/>
      <c r="Y136" s="3"/>
      <c r="Z136" s="3"/>
      <c r="AA136" s="3"/>
      <c r="AB136" s="3"/>
      <c r="AC136" s="3"/>
      <c r="AD136" s="3"/>
      <c r="AE136" s="3"/>
      <c r="AF136" s="3"/>
      <c r="AG136" s="3"/>
      <c r="AH136" s="3"/>
      <c r="AI136" s="3"/>
      <c r="AJ136" s="3"/>
      <c r="AK136" s="3"/>
      <c r="AL136" s="3"/>
    </row>
    <row r="137" spans="1:38" x14ac:dyDescent="0.2">
      <c r="A137" s="620"/>
      <c r="B137" s="1200"/>
      <c r="C137" s="487"/>
      <c r="D137" s="486" t="str">
        <f t="shared" si="12"/>
        <v>$ nominal</v>
      </c>
      <c r="E137" s="487"/>
      <c r="F137" s="487"/>
      <c r="G137" s="487"/>
      <c r="H137" s="487"/>
      <c r="I137" s="487"/>
      <c r="J137" s="487"/>
      <c r="K137" s="1195"/>
      <c r="L137" s="1195"/>
      <c r="M137" s="1195"/>
      <c r="N137" s="1195"/>
      <c r="O137" s="1195"/>
      <c r="P137" s="1195"/>
      <c r="Q137" s="1195"/>
      <c r="R137" s="1195"/>
      <c r="S137" s="1195"/>
      <c r="T137" s="1195"/>
      <c r="U137" s="1029">
        <f t="shared" si="14"/>
        <v>0</v>
      </c>
      <c r="V137" s="3"/>
      <c r="W137" s="3"/>
      <c r="X137" s="3"/>
      <c r="Y137" s="3"/>
      <c r="Z137" s="3"/>
      <c r="AA137" s="3"/>
      <c r="AB137" s="3"/>
      <c r="AC137" s="3"/>
      <c r="AD137" s="3"/>
      <c r="AE137" s="3"/>
      <c r="AF137" s="3"/>
      <c r="AG137" s="3"/>
      <c r="AH137" s="3"/>
      <c r="AI137" s="3"/>
      <c r="AJ137" s="3"/>
      <c r="AK137" s="3"/>
      <c r="AL137" s="3"/>
    </row>
    <row r="138" spans="1:38" x14ac:dyDescent="0.2">
      <c r="A138" s="620"/>
      <c r="B138" s="1200"/>
      <c r="C138" s="487"/>
      <c r="D138" s="486" t="str">
        <f t="shared" si="12"/>
        <v>$ nominal</v>
      </c>
      <c r="E138" s="487"/>
      <c r="F138" s="487"/>
      <c r="G138" s="487"/>
      <c r="H138" s="487"/>
      <c r="I138" s="487"/>
      <c r="J138" s="487"/>
      <c r="K138" s="1195"/>
      <c r="L138" s="1195"/>
      <c r="M138" s="1195"/>
      <c r="N138" s="1195"/>
      <c r="O138" s="1195"/>
      <c r="P138" s="1195"/>
      <c r="Q138" s="1195"/>
      <c r="R138" s="1195"/>
      <c r="S138" s="1195"/>
      <c r="T138" s="1195"/>
      <c r="U138" s="1029">
        <f t="shared" si="14"/>
        <v>0</v>
      </c>
      <c r="V138" s="3"/>
      <c r="W138" s="3"/>
      <c r="X138" s="3"/>
      <c r="Y138" s="3"/>
      <c r="Z138" s="3"/>
      <c r="AA138" s="3"/>
      <c r="AB138" s="3"/>
      <c r="AC138" s="3"/>
      <c r="AD138" s="3"/>
      <c r="AE138" s="3"/>
      <c r="AF138" s="3"/>
      <c r="AG138" s="3"/>
      <c r="AH138" s="3"/>
      <c r="AI138" s="3"/>
      <c r="AJ138" s="3"/>
      <c r="AK138" s="3"/>
      <c r="AL138" s="3"/>
    </row>
    <row r="139" spans="1:38" x14ac:dyDescent="0.2">
      <c r="A139" s="620"/>
      <c r="B139" s="1200"/>
      <c r="C139" s="487"/>
      <c r="D139" s="486" t="str">
        <f t="shared" si="12"/>
        <v>$ nominal</v>
      </c>
      <c r="E139" s="487"/>
      <c r="F139" s="487"/>
      <c r="G139" s="487"/>
      <c r="H139" s="487"/>
      <c r="I139" s="487"/>
      <c r="J139" s="487"/>
      <c r="K139" s="1195"/>
      <c r="L139" s="1195"/>
      <c r="M139" s="1195"/>
      <c r="N139" s="1195"/>
      <c r="O139" s="1195"/>
      <c r="P139" s="1195"/>
      <c r="Q139" s="1195"/>
      <c r="R139" s="1195"/>
      <c r="S139" s="1195"/>
      <c r="T139" s="1195"/>
      <c r="U139" s="1029">
        <f t="shared" si="14"/>
        <v>0</v>
      </c>
      <c r="V139" s="3"/>
      <c r="W139" s="3"/>
      <c r="X139" s="3"/>
      <c r="Y139" s="3"/>
      <c r="Z139" s="3"/>
      <c r="AA139" s="3"/>
      <c r="AB139" s="3"/>
      <c r="AC139" s="3"/>
      <c r="AD139" s="3"/>
      <c r="AE139" s="3"/>
      <c r="AF139" s="3"/>
      <c r="AG139" s="3"/>
      <c r="AH139" s="3"/>
      <c r="AI139" s="3"/>
      <c r="AJ139" s="3"/>
      <c r="AK139" s="3"/>
      <c r="AL139" s="3"/>
    </row>
    <row r="140" spans="1:38" x14ac:dyDescent="0.2">
      <c r="A140" s="620"/>
      <c r="B140" s="1200"/>
      <c r="C140" s="487"/>
      <c r="D140" s="486" t="str">
        <f t="shared" si="12"/>
        <v>$ nominal</v>
      </c>
      <c r="E140" s="487"/>
      <c r="F140" s="487"/>
      <c r="G140" s="487"/>
      <c r="H140" s="487"/>
      <c r="I140" s="487"/>
      <c r="J140" s="487"/>
      <c r="K140" s="1195"/>
      <c r="L140" s="1195"/>
      <c r="M140" s="1195"/>
      <c r="N140" s="1195"/>
      <c r="O140" s="1195"/>
      <c r="P140" s="1195"/>
      <c r="Q140" s="1195"/>
      <c r="R140" s="1195"/>
      <c r="S140" s="1195"/>
      <c r="T140" s="1195"/>
      <c r="U140" s="1029">
        <f t="shared" si="14"/>
        <v>0</v>
      </c>
      <c r="V140" s="3"/>
      <c r="W140" s="3"/>
      <c r="X140" s="3"/>
      <c r="Y140" s="3"/>
      <c r="Z140" s="3"/>
      <c r="AA140" s="3"/>
      <c r="AB140" s="3"/>
      <c r="AC140" s="3"/>
      <c r="AD140" s="3"/>
      <c r="AE140" s="3"/>
      <c r="AF140" s="3"/>
      <c r="AG140" s="3"/>
      <c r="AH140" s="3"/>
      <c r="AI140" s="3"/>
      <c r="AJ140" s="3"/>
      <c r="AK140" s="3"/>
      <c r="AL140" s="3"/>
    </row>
    <row r="141" spans="1:38" x14ac:dyDescent="0.2">
      <c r="A141" s="620"/>
      <c r="B141" s="1186"/>
      <c r="C141" s="486"/>
      <c r="D141" s="486" t="str">
        <f t="shared" si="12"/>
        <v>$ nominal</v>
      </c>
      <c r="E141" s="486"/>
      <c r="F141" s="486"/>
      <c r="G141" s="486"/>
      <c r="H141" s="486"/>
      <c r="I141" s="486"/>
      <c r="J141" s="486"/>
      <c r="K141" s="1195"/>
      <c r="L141" s="1195"/>
      <c r="M141" s="1195"/>
      <c r="N141" s="1195"/>
      <c r="O141" s="1195"/>
      <c r="P141" s="1195"/>
      <c r="Q141" s="1195"/>
      <c r="R141" s="1195"/>
      <c r="S141" s="1195"/>
      <c r="T141" s="1195"/>
      <c r="U141" s="1029">
        <f t="shared" si="14"/>
        <v>0</v>
      </c>
      <c r="V141" s="3"/>
      <c r="W141" s="3"/>
      <c r="X141" s="3"/>
      <c r="Y141" s="3"/>
      <c r="Z141" s="3"/>
      <c r="AA141" s="3"/>
      <c r="AB141" s="3"/>
      <c r="AC141" s="3"/>
      <c r="AD141" s="3"/>
      <c r="AE141" s="3"/>
      <c r="AF141" s="3"/>
      <c r="AG141" s="3"/>
      <c r="AH141" s="3"/>
      <c r="AI141" s="3"/>
      <c r="AJ141" s="3"/>
      <c r="AK141" s="3"/>
      <c r="AL141" s="3"/>
    </row>
    <row r="142" spans="1:38" x14ac:dyDescent="0.2">
      <c r="A142" s="620"/>
      <c r="B142" s="1202" t="str">
        <f>B$70</f>
        <v>Annual total</v>
      </c>
      <c r="C142" s="633"/>
      <c r="D142" s="633"/>
      <c r="E142" s="633"/>
      <c r="F142" s="633"/>
      <c r="G142" s="633"/>
      <c r="H142" s="633"/>
      <c r="I142" s="633"/>
      <c r="J142" s="633"/>
      <c r="K142" s="1205">
        <f t="shared" ref="K142:T142" si="15">IF(K$29=".",".",SUM(K78:K119,K121:K141))</f>
        <v>0</v>
      </c>
      <c r="L142" s="1205">
        <f t="shared" si="15"/>
        <v>0</v>
      </c>
      <c r="M142" s="1205">
        <f t="shared" si="15"/>
        <v>0</v>
      </c>
      <c r="N142" s="1205">
        <f t="shared" si="15"/>
        <v>0</v>
      </c>
      <c r="O142" s="1205">
        <f t="shared" si="15"/>
        <v>0</v>
      </c>
      <c r="P142" s="1205">
        <f t="shared" si="15"/>
        <v>0</v>
      </c>
      <c r="Q142" s="1205">
        <f t="shared" si="15"/>
        <v>0</v>
      </c>
      <c r="R142" s="1205">
        <f t="shared" si="15"/>
        <v>0</v>
      </c>
      <c r="S142" s="1205">
        <f t="shared" si="15"/>
        <v>0</v>
      </c>
      <c r="T142" s="1205">
        <f t="shared" si="15"/>
        <v>0</v>
      </c>
      <c r="U142" s="1029">
        <f t="shared" si="14"/>
        <v>0</v>
      </c>
      <c r="V142" s="243">
        <f>SUM(U78:U141)-U142</f>
        <v>0</v>
      </c>
      <c r="X142" s="3"/>
      <c r="Y142" s="3"/>
      <c r="Z142" s="3"/>
      <c r="AA142" s="3"/>
      <c r="AB142" s="3"/>
      <c r="AC142" s="3"/>
      <c r="AD142" s="3"/>
      <c r="AE142" s="3"/>
      <c r="AF142" s="3"/>
      <c r="AG142" s="3"/>
      <c r="AH142" s="3"/>
      <c r="AI142" s="3"/>
      <c r="AJ142" s="3"/>
      <c r="AK142" s="3"/>
      <c r="AL142" s="3"/>
    </row>
    <row r="143" spans="1:38" x14ac:dyDescent="0.2">
      <c r="A143" s="620"/>
      <c r="B143" s="1203" t="str">
        <f>B$71</f>
        <v>Cumulative totals by year</v>
      </c>
      <c r="C143" s="1204"/>
      <c r="D143" s="1204"/>
      <c r="E143" s="1204"/>
      <c r="F143" s="1204"/>
      <c r="G143" s="1204"/>
      <c r="H143" s="1204"/>
      <c r="I143" s="1204"/>
      <c r="J143" s="1204"/>
      <c r="K143" s="1206">
        <f>IF(K$29=".",".",SUM($K142:K142))</f>
        <v>0</v>
      </c>
      <c r="L143" s="1206">
        <f>IF(L$29=".",".",SUM($K142:L142))</f>
        <v>0</v>
      </c>
      <c r="M143" s="1206">
        <f>IF(M$29=".",".",SUM($K142:M142))</f>
        <v>0</v>
      </c>
      <c r="N143" s="1206">
        <f>IF(N$29=".",".",SUM($K142:N142))</f>
        <v>0</v>
      </c>
      <c r="O143" s="1206">
        <f>IF(O$29=".",".",SUM($K142:O142))</f>
        <v>0</v>
      </c>
      <c r="P143" s="1206">
        <f>IF(P$29=".",".",SUM($K142:P142))</f>
        <v>0</v>
      </c>
      <c r="Q143" s="1206">
        <f>IF(Q$29=".",".",SUM($K142:Q142))</f>
        <v>0</v>
      </c>
      <c r="R143" s="1206">
        <f>IF(R$29=".",".",SUM($K142:R142))</f>
        <v>0</v>
      </c>
      <c r="S143" s="1206">
        <f>IF(S$29=".",".",SUM($K142:S142))</f>
        <v>0</v>
      </c>
      <c r="T143" s="1206">
        <f>IF(T$29=".",".",SUM($K142:T142))</f>
        <v>0</v>
      </c>
      <c r="U143" s="1193"/>
      <c r="V143" s="3"/>
      <c r="W143" s="3"/>
      <c r="X143" s="3"/>
      <c r="Y143" s="3"/>
      <c r="Z143" s="3"/>
      <c r="AA143" s="3"/>
      <c r="AB143" s="3"/>
      <c r="AC143" s="3"/>
      <c r="AD143" s="3"/>
      <c r="AE143" s="3"/>
      <c r="AF143" s="3"/>
      <c r="AG143" s="3"/>
      <c r="AH143" s="3"/>
      <c r="AI143" s="3"/>
      <c r="AJ143" s="3"/>
      <c r="AK143" s="3"/>
      <c r="AL143" s="3"/>
    </row>
    <row r="144" spans="1:38" ht="12" customHeight="1" x14ac:dyDescent="0.2">
      <c r="A144" s="620"/>
      <c r="B144" s="633"/>
      <c r="C144" s="633"/>
      <c r="D144" s="633"/>
      <c r="E144" s="633"/>
      <c r="F144" s="633"/>
      <c r="G144" s="633"/>
      <c r="H144" s="633"/>
      <c r="I144" s="633"/>
      <c r="J144" s="633"/>
      <c r="K144" s="634"/>
      <c r="L144" s="634"/>
      <c r="M144" s="634"/>
      <c r="N144" s="634"/>
      <c r="O144" s="634"/>
      <c r="P144" s="634"/>
      <c r="Q144" s="634"/>
      <c r="R144" s="634"/>
      <c r="S144" s="634"/>
      <c r="T144" s="634"/>
      <c r="U144" s="85"/>
      <c r="V144" s="3"/>
      <c r="W144" s="3"/>
      <c r="X144" s="3"/>
      <c r="Y144" s="3"/>
      <c r="Z144" s="3"/>
      <c r="AA144" s="3"/>
      <c r="AB144" s="3"/>
      <c r="AC144" s="3"/>
      <c r="AD144" s="3"/>
      <c r="AE144" s="3"/>
      <c r="AF144" s="3"/>
      <c r="AG144" s="3"/>
      <c r="AH144" s="3"/>
      <c r="AI144" s="3"/>
      <c r="AJ144" s="3"/>
      <c r="AK144" s="3"/>
      <c r="AL144" s="3"/>
    </row>
    <row r="145" spans="1:38" ht="12" customHeight="1" x14ac:dyDescent="0.2">
      <c r="A145" s="620"/>
      <c r="B145" s="2"/>
      <c r="C145" s="2"/>
      <c r="D145" s="2"/>
      <c r="E145" s="2"/>
      <c r="F145" s="2"/>
      <c r="G145" s="2"/>
      <c r="H145" s="2"/>
      <c r="I145" s="2"/>
      <c r="J145" s="2"/>
      <c r="K145" s="2"/>
      <c r="L145" s="2"/>
      <c r="M145" s="2"/>
      <c r="N145" s="2"/>
      <c r="O145" s="2"/>
      <c r="P145" s="2"/>
      <c r="Q145" s="2"/>
      <c r="R145" s="2"/>
      <c r="S145" s="2"/>
      <c r="T145" s="2"/>
      <c r="U145" s="2"/>
      <c r="V145" s="3"/>
      <c r="W145" s="3"/>
      <c r="X145" s="3"/>
      <c r="Y145" s="3"/>
      <c r="Z145" s="3"/>
      <c r="AA145" s="3"/>
      <c r="AB145" s="3"/>
      <c r="AC145" s="3"/>
      <c r="AD145" s="3"/>
      <c r="AE145" s="3"/>
      <c r="AF145" s="3"/>
      <c r="AG145" s="3"/>
      <c r="AH145" s="3"/>
      <c r="AI145" s="3"/>
      <c r="AJ145" s="3"/>
      <c r="AK145" s="3"/>
      <c r="AL145" s="3"/>
    </row>
    <row r="146" spans="1:38" ht="17.649999999999999" customHeight="1" x14ac:dyDescent="0.2">
      <c r="A146" s="620">
        <f>A74+1</f>
        <v>4</v>
      </c>
      <c r="B146" s="181" t="str">
        <f>"Table "&amp;A1&amp;"."&amp;A146&amp;": Other uses of proposed SV income (eg, loan principal repayments, transfers to reserves) ($ nominal) "</f>
        <v xml:space="preserve">Table 8.4: Other uses of proposed SV income (eg, loan principal repayments, transfers to reserves) ($ nominal) </v>
      </c>
      <c r="C146" s="2"/>
      <c r="D146" s="2"/>
      <c r="E146" s="2"/>
      <c r="F146" s="2"/>
      <c r="G146" s="2"/>
      <c r="H146" s="2"/>
      <c r="I146" s="2"/>
      <c r="J146" s="2"/>
      <c r="K146" s="204"/>
      <c r="M146" s="3" t="str">
        <f>IF('WS1-Application'!$D$33="Minimum rate increase","[N/A - No need to complete, leave blue input cells blank]","")</f>
        <v/>
      </c>
      <c r="O146" s="204"/>
      <c r="P146" s="630"/>
      <c r="Q146" s="204"/>
      <c r="R146" s="204"/>
      <c r="S146" s="204"/>
      <c r="T146" s="204"/>
      <c r="U146" s="204"/>
      <c r="V146" s="3"/>
      <c r="W146" s="3"/>
      <c r="X146" s="3"/>
      <c r="Y146" s="3"/>
      <c r="Z146" s="3"/>
      <c r="AA146" s="3"/>
      <c r="AB146" s="3"/>
      <c r="AC146" s="3"/>
      <c r="AD146" s="3"/>
      <c r="AE146" s="3"/>
      <c r="AF146" s="3"/>
      <c r="AG146" s="3"/>
      <c r="AH146" s="3"/>
      <c r="AI146" s="3"/>
      <c r="AJ146" s="3"/>
      <c r="AK146" s="3"/>
      <c r="AL146" s="3"/>
    </row>
    <row r="147" spans="1:38" ht="17.649999999999999" customHeight="1" x14ac:dyDescent="0.25">
      <c r="A147" s="620"/>
      <c r="B147" s="1182"/>
      <c r="C147" s="695"/>
      <c r="D147" s="695"/>
      <c r="E147" s="695"/>
      <c r="F147" s="695"/>
      <c r="G147" s="695"/>
      <c r="H147" s="695"/>
      <c r="I147" s="695"/>
      <c r="J147" s="695"/>
      <c r="K147" s="1209" t="str">
        <f>K75</f>
        <v>Year 1</v>
      </c>
      <c r="L147" s="1209" t="str">
        <f t="shared" ref="L147:T147" si="16">L75</f>
        <v>Year 2</v>
      </c>
      <c r="M147" s="1209" t="str">
        <f t="shared" si="16"/>
        <v>Year 3</v>
      </c>
      <c r="N147" s="1209" t="str">
        <f t="shared" si="16"/>
        <v>Year 4</v>
      </c>
      <c r="O147" s="1209" t="str">
        <f t="shared" si="16"/>
        <v>Year 5</v>
      </c>
      <c r="P147" s="1209" t="str">
        <f t="shared" si="16"/>
        <v>Year 6</v>
      </c>
      <c r="Q147" s="1209" t="str">
        <f t="shared" si="16"/>
        <v>Year 7</v>
      </c>
      <c r="R147" s="1209" t="str">
        <f t="shared" si="16"/>
        <v>Year 8</v>
      </c>
      <c r="S147" s="1209" t="str">
        <f t="shared" si="16"/>
        <v>Year 9</v>
      </c>
      <c r="T147" s="1209" t="str">
        <f t="shared" si="16"/>
        <v>Year 10</v>
      </c>
      <c r="U147" s="1207" t="str">
        <f>U75</f>
        <v>Sum of 10 years</v>
      </c>
      <c r="V147" s="3"/>
      <c r="W147" s="3"/>
      <c r="X147" s="3"/>
      <c r="Y147" s="3"/>
      <c r="Z147" s="3"/>
      <c r="AA147" s="3"/>
      <c r="AB147" s="3"/>
      <c r="AC147" s="3"/>
      <c r="AD147" s="3"/>
      <c r="AE147" s="3"/>
      <c r="AF147" s="3"/>
      <c r="AG147" s="3"/>
      <c r="AH147" s="3"/>
      <c r="AI147" s="3"/>
      <c r="AJ147" s="3"/>
      <c r="AK147" s="3"/>
      <c r="AL147" s="3"/>
    </row>
    <row r="148" spans="1:38" ht="12" customHeight="1" x14ac:dyDescent="0.2">
      <c r="A148" s="620"/>
      <c r="B148" s="1211"/>
      <c r="C148" s="1212"/>
      <c r="D148" s="140" t="s">
        <v>641</v>
      </c>
      <c r="E148" s="1213"/>
      <c r="F148" s="1213"/>
      <c r="G148" s="1213"/>
      <c r="H148" s="1213"/>
      <c r="I148" s="1213"/>
      <c r="J148" s="1214"/>
      <c r="K148" s="1210" t="str">
        <f>K76</f>
        <v>2024-25</v>
      </c>
      <c r="L148" s="1210" t="str">
        <f t="shared" ref="L148:T148" si="17">L76</f>
        <v>2025-26</v>
      </c>
      <c r="M148" s="1210" t="str">
        <f t="shared" si="17"/>
        <v>2026-27</v>
      </c>
      <c r="N148" s="1210" t="str">
        <f t="shared" si="17"/>
        <v>2027-28</v>
      </c>
      <c r="O148" s="1210" t="str">
        <f t="shared" si="17"/>
        <v>2028-29</v>
      </c>
      <c r="P148" s="1210" t="str">
        <f t="shared" si="17"/>
        <v>2029-30</v>
      </c>
      <c r="Q148" s="1210" t="str">
        <f t="shared" si="17"/>
        <v>2030-31</v>
      </c>
      <c r="R148" s="1210" t="str">
        <f t="shared" si="17"/>
        <v>2031-32</v>
      </c>
      <c r="S148" s="1210" t="str">
        <f t="shared" si="17"/>
        <v>2032-33</v>
      </c>
      <c r="T148" s="1210" t="str">
        <f t="shared" si="17"/>
        <v>2033-34</v>
      </c>
      <c r="U148" s="1208"/>
      <c r="V148" s="3"/>
      <c r="W148" s="3"/>
      <c r="X148" s="85"/>
      <c r="Y148" s="3"/>
      <c r="Z148" s="3"/>
      <c r="AA148" s="3"/>
      <c r="AB148" s="3"/>
      <c r="AC148" s="3"/>
      <c r="AD148" s="3"/>
      <c r="AE148" s="3"/>
      <c r="AF148" s="3"/>
      <c r="AG148" s="3"/>
      <c r="AH148" s="3"/>
      <c r="AI148" s="3"/>
      <c r="AJ148" s="3"/>
      <c r="AK148" s="3"/>
      <c r="AL148" s="3"/>
    </row>
    <row r="149" spans="1:38" x14ac:dyDescent="0.2">
      <c r="A149" s="620"/>
      <c r="B149" s="1186"/>
      <c r="C149" s="486"/>
      <c r="D149" s="486" t="str">
        <f t="shared" ref="D149:D158" si="18">$D$29</f>
        <v>$ nominal</v>
      </c>
      <c r="E149" s="486"/>
      <c r="F149" s="486"/>
      <c r="G149" s="486"/>
      <c r="H149" s="486"/>
      <c r="I149" s="486"/>
      <c r="J149" s="486"/>
      <c r="K149" s="1195"/>
      <c r="L149" s="1195"/>
      <c r="M149" s="1195"/>
      <c r="N149" s="1195"/>
      <c r="O149" s="1195"/>
      <c r="P149" s="1195"/>
      <c r="Q149" s="1195"/>
      <c r="R149" s="1195"/>
      <c r="S149" s="1195"/>
      <c r="T149" s="1195"/>
      <c r="U149" s="1029">
        <f t="shared" ref="U149:U159" si="19">SUM(K149:T149)-SUMIF($K$22:$T$22,$Z$21,K149:T149)</f>
        <v>0</v>
      </c>
      <c r="V149" s="3"/>
      <c r="W149" s="3"/>
      <c r="X149" s="3"/>
      <c r="Y149" s="3"/>
      <c r="Z149" s="3"/>
      <c r="AA149" s="3"/>
      <c r="AB149" s="3"/>
      <c r="AC149" s="3"/>
      <c r="AD149" s="3"/>
      <c r="AE149" s="3"/>
      <c r="AF149" s="3"/>
      <c r="AG149" s="3"/>
      <c r="AH149" s="3"/>
      <c r="AI149" s="3"/>
      <c r="AJ149" s="3"/>
      <c r="AK149" s="3"/>
      <c r="AL149" s="3"/>
    </row>
    <row r="150" spans="1:38" x14ac:dyDescent="0.2">
      <c r="A150" s="620"/>
      <c r="B150" s="1186"/>
      <c r="C150" s="486"/>
      <c r="D150" s="486" t="str">
        <f t="shared" si="18"/>
        <v>$ nominal</v>
      </c>
      <c r="E150" s="486"/>
      <c r="F150" s="486"/>
      <c r="G150" s="486"/>
      <c r="H150" s="486"/>
      <c r="I150" s="486"/>
      <c r="J150" s="486"/>
      <c r="K150" s="1195"/>
      <c r="L150" s="1195"/>
      <c r="M150" s="1195"/>
      <c r="N150" s="1195"/>
      <c r="O150" s="1195"/>
      <c r="P150" s="1195"/>
      <c r="Q150" s="1195"/>
      <c r="R150" s="1195"/>
      <c r="S150" s="1195"/>
      <c r="T150" s="1195"/>
      <c r="U150" s="1029">
        <f t="shared" si="19"/>
        <v>0</v>
      </c>
      <c r="V150" s="3"/>
      <c r="W150" s="3"/>
      <c r="X150" s="3"/>
      <c r="Y150" s="3"/>
      <c r="Z150" s="3"/>
      <c r="AA150" s="3"/>
      <c r="AB150" s="3"/>
      <c r="AC150" s="3"/>
      <c r="AD150" s="3"/>
      <c r="AE150" s="3"/>
      <c r="AF150" s="3"/>
      <c r="AG150" s="3"/>
      <c r="AH150" s="3"/>
      <c r="AI150" s="3"/>
      <c r="AJ150" s="3"/>
      <c r="AK150" s="3"/>
      <c r="AL150" s="3"/>
    </row>
    <row r="151" spans="1:38" x14ac:dyDescent="0.2">
      <c r="A151" s="620"/>
      <c r="B151" s="1186"/>
      <c r="C151" s="486"/>
      <c r="D151" s="486" t="str">
        <f t="shared" si="18"/>
        <v>$ nominal</v>
      </c>
      <c r="E151" s="486"/>
      <c r="F151" s="486"/>
      <c r="G151" s="486"/>
      <c r="H151" s="486"/>
      <c r="I151" s="486"/>
      <c r="J151" s="486"/>
      <c r="K151" s="1195"/>
      <c r="L151" s="1195"/>
      <c r="M151" s="1195"/>
      <c r="N151" s="1195"/>
      <c r="O151" s="1195"/>
      <c r="P151" s="1195"/>
      <c r="Q151" s="1195"/>
      <c r="R151" s="1195"/>
      <c r="S151" s="1195"/>
      <c r="T151" s="1195"/>
      <c r="U151" s="1029">
        <f t="shared" si="19"/>
        <v>0</v>
      </c>
      <c r="V151" s="3"/>
      <c r="W151" s="3"/>
      <c r="X151" s="3"/>
      <c r="Y151" s="3"/>
      <c r="Z151" s="3"/>
      <c r="AA151" s="3"/>
      <c r="AB151" s="3"/>
      <c r="AC151" s="3"/>
      <c r="AD151" s="3"/>
      <c r="AE151" s="3"/>
      <c r="AF151" s="3"/>
      <c r="AG151" s="3"/>
      <c r="AH151" s="3"/>
      <c r="AI151" s="3"/>
      <c r="AJ151" s="3"/>
      <c r="AK151" s="3"/>
      <c r="AL151" s="3"/>
    </row>
    <row r="152" spans="1:38" x14ac:dyDescent="0.2">
      <c r="A152" s="620"/>
      <c r="B152" s="1186"/>
      <c r="C152" s="486"/>
      <c r="D152" s="486" t="str">
        <f t="shared" si="18"/>
        <v>$ nominal</v>
      </c>
      <c r="E152" s="486"/>
      <c r="F152" s="486"/>
      <c r="G152" s="486"/>
      <c r="H152" s="486"/>
      <c r="I152" s="486"/>
      <c r="J152" s="486"/>
      <c r="K152" s="1195"/>
      <c r="L152" s="1195"/>
      <c r="M152" s="1195"/>
      <c r="N152" s="1195"/>
      <c r="O152" s="1195"/>
      <c r="P152" s="1195"/>
      <c r="Q152" s="1195"/>
      <c r="R152" s="1195"/>
      <c r="S152" s="1195"/>
      <c r="T152" s="1195"/>
      <c r="U152" s="1029">
        <f t="shared" si="19"/>
        <v>0</v>
      </c>
      <c r="V152" s="3"/>
      <c r="W152" s="3"/>
      <c r="X152" s="3"/>
      <c r="Y152" s="3"/>
      <c r="Z152" s="3"/>
      <c r="AA152" s="3"/>
      <c r="AB152" s="3"/>
      <c r="AC152" s="3"/>
      <c r="AD152" s="3"/>
      <c r="AE152" s="3"/>
      <c r="AF152" s="3"/>
      <c r="AG152" s="3"/>
      <c r="AH152" s="3"/>
      <c r="AI152" s="3"/>
      <c r="AJ152" s="3"/>
      <c r="AK152" s="3"/>
      <c r="AL152" s="3"/>
    </row>
    <row r="153" spans="1:38" x14ac:dyDescent="0.2">
      <c r="A153" s="620"/>
      <c r="B153" s="1186"/>
      <c r="C153" s="486"/>
      <c r="D153" s="486" t="str">
        <f t="shared" si="18"/>
        <v>$ nominal</v>
      </c>
      <c r="E153" s="486"/>
      <c r="F153" s="486"/>
      <c r="G153" s="486"/>
      <c r="H153" s="486"/>
      <c r="I153" s="486"/>
      <c r="J153" s="486"/>
      <c r="K153" s="1195"/>
      <c r="L153" s="1195"/>
      <c r="M153" s="1195"/>
      <c r="N153" s="1195"/>
      <c r="O153" s="1195"/>
      <c r="P153" s="1195"/>
      <c r="Q153" s="1195"/>
      <c r="R153" s="1195"/>
      <c r="S153" s="1195"/>
      <c r="T153" s="1195"/>
      <c r="U153" s="1029">
        <f t="shared" si="19"/>
        <v>0</v>
      </c>
      <c r="V153" s="3"/>
      <c r="W153" s="3"/>
      <c r="X153" s="3"/>
      <c r="Y153" s="3"/>
      <c r="Z153" s="3"/>
      <c r="AA153" s="3"/>
      <c r="AB153" s="3"/>
      <c r="AC153" s="3"/>
      <c r="AD153" s="3"/>
      <c r="AE153" s="3"/>
      <c r="AF153" s="3"/>
      <c r="AG153" s="3"/>
      <c r="AH153" s="3"/>
      <c r="AI153" s="3"/>
      <c r="AJ153" s="3"/>
      <c r="AK153" s="3"/>
      <c r="AL153" s="3"/>
    </row>
    <row r="154" spans="1:38" x14ac:dyDescent="0.2">
      <c r="A154" s="620"/>
      <c r="B154" s="1186"/>
      <c r="C154" s="486"/>
      <c r="D154" s="486" t="str">
        <f t="shared" si="18"/>
        <v>$ nominal</v>
      </c>
      <c r="E154" s="486"/>
      <c r="F154" s="486"/>
      <c r="G154" s="486"/>
      <c r="H154" s="486"/>
      <c r="I154" s="486"/>
      <c r="J154" s="486"/>
      <c r="K154" s="1195"/>
      <c r="L154" s="1195"/>
      <c r="M154" s="1195"/>
      <c r="N154" s="1195"/>
      <c r="O154" s="1195"/>
      <c r="P154" s="1195"/>
      <c r="Q154" s="1195"/>
      <c r="R154" s="1195"/>
      <c r="S154" s="1195"/>
      <c r="T154" s="1195"/>
      <c r="U154" s="1029">
        <f t="shared" si="19"/>
        <v>0</v>
      </c>
      <c r="V154" s="3"/>
      <c r="W154" s="3"/>
      <c r="X154" s="3"/>
      <c r="Y154" s="3"/>
      <c r="Z154" s="3"/>
      <c r="AA154" s="3"/>
      <c r="AB154" s="3"/>
      <c r="AC154" s="3"/>
      <c r="AD154" s="3"/>
      <c r="AE154" s="3"/>
      <c r="AF154" s="3"/>
      <c r="AG154" s="3"/>
      <c r="AH154" s="3"/>
      <c r="AI154" s="3"/>
      <c r="AJ154" s="3"/>
      <c r="AK154" s="3"/>
      <c r="AL154" s="3"/>
    </row>
    <row r="155" spans="1:38" x14ac:dyDescent="0.2">
      <c r="A155" s="620"/>
      <c r="B155" s="1186"/>
      <c r="C155" s="486"/>
      <c r="D155" s="486" t="str">
        <f t="shared" si="18"/>
        <v>$ nominal</v>
      </c>
      <c r="E155" s="486"/>
      <c r="F155" s="486"/>
      <c r="G155" s="486"/>
      <c r="H155" s="486"/>
      <c r="I155" s="486"/>
      <c r="J155" s="486"/>
      <c r="K155" s="1195"/>
      <c r="L155" s="1195"/>
      <c r="M155" s="1195"/>
      <c r="N155" s="1195"/>
      <c r="O155" s="1195"/>
      <c r="P155" s="1195"/>
      <c r="Q155" s="1195"/>
      <c r="R155" s="1195"/>
      <c r="S155" s="1195"/>
      <c r="T155" s="1195"/>
      <c r="U155" s="1029">
        <f t="shared" si="19"/>
        <v>0</v>
      </c>
      <c r="V155" s="3"/>
      <c r="W155" s="3"/>
      <c r="X155" s="3"/>
      <c r="Y155" s="3"/>
      <c r="Z155" s="3"/>
      <c r="AA155" s="3"/>
      <c r="AB155" s="3"/>
      <c r="AC155" s="3"/>
      <c r="AD155" s="3"/>
      <c r="AE155" s="3"/>
      <c r="AF155" s="3"/>
      <c r="AG155" s="3"/>
      <c r="AH155" s="3"/>
      <c r="AI155" s="3"/>
      <c r="AJ155" s="3"/>
      <c r="AK155" s="3"/>
      <c r="AL155" s="3"/>
    </row>
    <row r="156" spans="1:38" x14ac:dyDescent="0.2">
      <c r="A156" s="620"/>
      <c r="B156" s="1186"/>
      <c r="C156" s="486"/>
      <c r="D156" s="486" t="str">
        <f t="shared" si="18"/>
        <v>$ nominal</v>
      </c>
      <c r="E156" s="486"/>
      <c r="F156" s="486"/>
      <c r="G156" s="486"/>
      <c r="H156" s="486"/>
      <c r="I156" s="486"/>
      <c r="J156" s="486"/>
      <c r="K156" s="1195"/>
      <c r="L156" s="1195"/>
      <c r="M156" s="1195"/>
      <c r="N156" s="1195"/>
      <c r="O156" s="1195"/>
      <c r="P156" s="1195"/>
      <c r="Q156" s="1195"/>
      <c r="R156" s="1195"/>
      <c r="S156" s="1195"/>
      <c r="T156" s="1195"/>
      <c r="U156" s="1029">
        <f>SUM(K156:T156)-SUMIF($K$22:$T$22,$Z$21,K156:T156)</f>
        <v>0</v>
      </c>
      <c r="V156" s="3"/>
      <c r="W156" s="3"/>
      <c r="X156" s="3"/>
      <c r="Y156" s="3"/>
      <c r="Z156" s="3"/>
      <c r="AA156" s="3"/>
      <c r="AB156" s="3"/>
      <c r="AC156" s="3"/>
      <c r="AD156" s="3"/>
      <c r="AE156" s="3"/>
      <c r="AF156" s="3"/>
      <c r="AG156" s="3"/>
      <c r="AH156" s="3"/>
      <c r="AI156" s="3"/>
      <c r="AJ156" s="3"/>
      <c r="AK156" s="3"/>
      <c r="AL156" s="3"/>
    </row>
    <row r="157" spans="1:38" x14ac:dyDescent="0.2">
      <c r="A157" s="620"/>
      <c r="B157" s="1186"/>
      <c r="C157" s="486"/>
      <c r="D157" s="486" t="str">
        <f t="shared" si="18"/>
        <v>$ nominal</v>
      </c>
      <c r="E157" s="486"/>
      <c r="F157" s="486"/>
      <c r="G157" s="486"/>
      <c r="H157" s="486"/>
      <c r="I157" s="486"/>
      <c r="J157" s="486"/>
      <c r="K157" s="1195"/>
      <c r="L157" s="1195"/>
      <c r="M157" s="1195"/>
      <c r="N157" s="1195"/>
      <c r="O157" s="1195"/>
      <c r="P157" s="1195"/>
      <c r="Q157" s="1195"/>
      <c r="R157" s="1195"/>
      <c r="S157" s="1195"/>
      <c r="T157" s="1195"/>
      <c r="U157" s="1029">
        <f>SUM(K157:T157)-SUMIF($K$22:$T$22,$Z$21,K157:T157)</f>
        <v>0</v>
      </c>
      <c r="V157" s="3"/>
      <c r="W157" s="3"/>
      <c r="X157" s="3"/>
      <c r="Y157" s="3"/>
      <c r="Z157" s="3"/>
      <c r="AA157" s="3"/>
      <c r="AB157" s="3"/>
      <c r="AC157" s="3"/>
      <c r="AD157" s="3"/>
      <c r="AE157" s="3"/>
      <c r="AF157" s="3"/>
      <c r="AG157" s="3"/>
      <c r="AH157" s="3"/>
      <c r="AI157" s="3"/>
      <c r="AJ157" s="3"/>
      <c r="AK157" s="3"/>
      <c r="AL157" s="3"/>
    </row>
    <row r="158" spans="1:38" x14ac:dyDescent="0.2">
      <c r="A158" s="620"/>
      <c r="B158" s="1186"/>
      <c r="C158" s="486"/>
      <c r="D158" s="486" t="str">
        <f t="shared" si="18"/>
        <v>$ nominal</v>
      </c>
      <c r="E158" s="486"/>
      <c r="F158" s="486"/>
      <c r="G158" s="486"/>
      <c r="H158" s="486"/>
      <c r="I158" s="486"/>
      <c r="J158" s="486"/>
      <c r="K158" s="1195"/>
      <c r="L158" s="1195"/>
      <c r="M158" s="1195"/>
      <c r="N158" s="1195"/>
      <c r="O158" s="1195"/>
      <c r="P158" s="1195"/>
      <c r="Q158" s="1195"/>
      <c r="R158" s="1195"/>
      <c r="S158" s="1195"/>
      <c r="T158" s="1195"/>
      <c r="U158" s="1029">
        <f>SUM(K158:T158)-SUMIF($K$22:$T$22,$Z$21,K158:T158)</f>
        <v>0</v>
      </c>
      <c r="V158" s="3"/>
      <c r="W158" s="3"/>
      <c r="X158" s="3"/>
      <c r="Y158" s="3"/>
      <c r="Z158" s="3"/>
      <c r="AA158" s="3"/>
      <c r="AB158" s="3"/>
      <c r="AC158" s="3"/>
      <c r="AD158" s="3"/>
      <c r="AE158" s="3"/>
      <c r="AF158" s="3"/>
      <c r="AG158" s="3"/>
      <c r="AH158" s="3"/>
      <c r="AI158" s="3"/>
      <c r="AJ158" s="3"/>
      <c r="AK158" s="3"/>
      <c r="AL158" s="3"/>
    </row>
    <row r="159" spans="1:38" x14ac:dyDescent="0.2">
      <c r="A159" s="620"/>
      <c r="B159" s="299" t="str">
        <f>B$70</f>
        <v>Annual total</v>
      </c>
      <c r="C159" s="3"/>
      <c r="D159" s="3"/>
      <c r="E159" s="3"/>
      <c r="F159" s="3"/>
      <c r="G159" s="3"/>
      <c r="H159" s="3"/>
      <c r="I159" s="3"/>
      <c r="J159" s="3"/>
      <c r="K159" s="1199">
        <f>IF(K$29=".",".",SUM(K149:K158))</f>
        <v>0</v>
      </c>
      <c r="L159" s="1199">
        <f t="shared" ref="L159:T159" si="20">IF(L$29=".",".",SUM(L149:L158))</f>
        <v>0</v>
      </c>
      <c r="M159" s="1199">
        <f t="shared" si="20"/>
        <v>0</v>
      </c>
      <c r="N159" s="1199">
        <f t="shared" si="20"/>
        <v>0</v>
      </c>
      <c r="O159" s="1199">
        <f t="shared" si="20"/>
        <v>0</v>
      </c>
      <c r="P159" s="1199">
        <f t="shared" si="20"/>
        <v>0</v>
      </c>
      <c r="Q159" s="1199">
        <f t="shared" si="20"/>
        <v>0</v>
      </c>
      <c r="R159" s="1199">
        <f t="shared" si="20"/>
        <v>0</v>
      </c>
      <c r="S159" s="1199">
        <f t="shared" si="20"/>
        <v>0</v>
      </c>
      <c r="T159" s="1199">
        <f t="shared" si="20"/>
        <v>0</v>
      </c>
      <c r="U159" s="1029">
        <f t="shared" si="19"/>
        <v>0</v>
      </c>
      <c r="V159" s="243">
        <f>SUM(U149:U158)-U159</f>
        <v>0</v>
      </c>
      <c r="W159" s="3"/>
      <c r="X159" s="3"/>
      <c r="Y159" s="3"/>
      <c r="Z159" s="3"/>
      <c r="AA159" s="3"/>
      <c r="AB159" s="3"/>
      <c r="AC159" s="3"/>
      <c r="AD159" s="3"/>
      <c r="AE159" s="3"/>
      <c r="AF159" s="3"/>
      <c r="AG159" s="3"/>
      <c r="AH159" s="3"/>
      <c r="AI159" s="3"/>
      <c r="AJ159" s="3"/>
      <c r="AK159" s="3"/>
      <c r="AL159" s="3"/>
    </row>
    <row r="160" spans="1:38" x14ac:dyDescent="0.2">
      <c r="A160" s="620"/>
      <c r="B160" s="344" t="str">
        <f>B$71</f>
        <v>Cumulative totals by year</v>
      </c>
      <c r="C160" s="140"/>
      <c r="D160" s="140"/>
      <c r="E160" s="140"/>
      <c r="F160" s="140"/>
      <c r="G160" s="140"/>
      <c r="H160" s="140"/>
      <c r="I160" s="140"/>
      <c r="J160" s="140"/>
      <c r="K160" s="1181">
        <f>IF(K$29=".",".",SUM($K159:K159))</f>
        <v>0</v>
      </c>
      <c r="L160" s="1181">
        <f>IF(L$29=".",".",SUM($K159:L159))</f>
        <v>0</v>
      </c>
      <c r="M160" s="1181">
        <f>IF(M$29=".",".",SUM($K159:M159))</f>
        <v>0</v>
      </c>
      <c r="N160" s="1181">
        <f>IF(N$29=".",".",SUM($K159:N159))</f>
        <v>0</v>
      </c>
      <c r="O160" s="1181">
        <f>IF(O$29=".",".",SUM($K159:O159))</f>
        <v>0</v>
      </c>
      <c r="P160" s="1181">
        <f>IF(P$29=".",".",SUM($K159:P159))</f>
        <v>0</v>
      </c>
      <c r="Q160" s="1181">
        <f>IF(Q$29=".",".",SUM($K159:Q159))</f>
        <v>0</v>
      </c>
      <c r="R160" s="1181">
        <f>IF(R$29=".",".",SUM($K159:R159))</f>
        <v>0</v>
      </c>
      <c r="S160" s="1181">
        <f>IF(S$29=".",".",SUM($K159:S159))</f>
        <v>0</v>
      </c>
      <c r="T160" s="1181">
        <f>IF(T$29=".",".",SUM($K159:T159))</f>
        <v>0</v>
      </c>
      <c r="U160" s="1193"/>
      <c r="V160" s="3"/>
      <c r="W160" s="3"/>
      <c r="X160" s="3"/>
      <c r="Y160" s="3"/>
      <c r="Z160" s="3"/>
      <c r="AA160" s="3"/>
      <c r="AB160" s="3"/>
      <c r="AC160" s="3"/>
      <c r="AD160" s="3"/>
      <c r="AE160" s="3"/>
      <c r="AF160" s="3"/>
      <c r="AG160" s="3"/>
      <c r="AH160" s="3"/>
      <c r="AI160" s="3"/>
      <c r="AJ160" s="3"/>
      <c r="AK160" s="3"/>
      <c r="AL160" s="3"/>
    </row>
    <row r="161" spans="1:38" ht="12" customHeight="1" x14ac:dyDescent="0.2">
      <c r="A161" s="620"/>
      <c r="B161" s="3"/>
      <c r="C161" s="3"/>
      <c r="D161" s="3"/>
      <c r="E161" s="3"/>
      <c r="F161" s="3"/>
      <c r="G161" s="3"/>
      <c r="H161" s="3"/>
      <c r="I161" s="3"/>
      <c r="J161" s="3"/>
      <c r="K161" s="112"/>
      <c r="L161" s="112"/>
      <c r="M161" s="112"/>
      <c r="N161" s="112"/>
      <c r="O161" s="112"/>
      <c r="P161" s="112"/>
      <c r="Q161" s="112"/>
      <c r="R161" s="112"/>
      <c r="S161" s="112"/>
      <c r="T161" s="112"/>
      <c r="U161" s="85"/>
      <c r="V161" s="3"/>
      <c r="W161" s="3"/>
      <c r="X161" s="3"/>
      <c r="Y161" s="3"/>
      <c r="Z161" s="3"/>
      <c r="AA161" s="3"/>
      <c r="AB161" s="3"/>
      <c r="AC161" s="3"/>
      <c r="AD161" s="3"/>
      <c r="AE161" s="3"/>
      <c r="AF161" s="3"/>
      <c r="AG161" s="3"/>
      <c r="AH161" s="3"/>
      <c r="AI161" s="3"/>
      <c r="AJ161" s="3"/>
      <c r="AK161" s="3"/>
      <c r="AL161" s="3"/>
    </row>
    <row r="162" spans="1:38" ht="12" customHeight="1" x14ac:dyDescent="0.2">
      <c r="A162" s="620"/>
      <c r="B162" s="3"/>
      <c r="C162" s="3"/>
      <c r="D162" s="3"/>
      <c r="E162" s="3"/>
      <c r="F162" s="3"/>
      <c r="G162" s="3"/>
      <c r="H162" s="3"/>
      <c r="I162" s="3"/>
      <c r="J162" s="3"/>
      <c r="K162" s="112"/>
      <c r="L162" s="112"/>
      <c r="M162" s="112"/>
      <c r="N162" s="112"/>
      <c r="O162" s="112"/>
      <c r="P162" s="112"/>
      <c r="Q162" s="112"/>
      <c r="R162" s="112"/>
      <c r="S162" s="112"/>
      <c r="T162" s="112"/>
      <c r="U162" s="85"/>
      <c r="V162" s="3"/>
      <c r="W162" s="3"/>
      <c r="X162" s="3"/>
      <c r="Y162" s="3"/>
      <c r="Z162" s="3"/>
      <c r="AA162" s="3"/>
      <c r="AB162" s="3"/>
      <c r="AC162" s="3"/>
      <c r="AD162" s="3"/>
      <c r="AE162" s="3"/>
      <c r="AF162" s="3"/>
      <c r="AG162" s="3"/>
      <c r="AH162" s="3"/>
      <c r="AI162" s="3"/>
      <c r="AJ162" s="3"/>
      <c r="AK162" s="3"/>
      <c r="AL162" s="3"/>
    </row>
    <row r="163" spans="1:38" ht="16.149999999999999" customHeight="1" x14ac:dyDescent="0.2">
      <c r="A163" s="620">
        <f>A146+1</f>
        <v>5</v>
      </c>
      <c r="B163" s="181" t="str">
        <f>"Table "&amp;A1&amp;"."&amp;A163&amp;": Total ($ nominal)"</f>
        <v>Table 8.5: Total ($ nominal)</v>
      </c>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spans="1:38" ht="16.149999999999999" customHeight="1" x14ac:dyDescent="0.25">
      <c r="A164" s="620"/>
      <c r="B164" s="1182"/>
      <c r="C164" s="695"/>
      <c r="D164" s="695"/>
      <c r="E164" s="695"/>
      <c r="F164" s="695"/>
      <c r="G164" s="695"/>
      <c r="H164" s="695"/>
      <c r="I164" s="695"/>
      <c r="J164" s="695"/>
      <c r="K164" s="1209" t="str">
        <f>K147</f>
        <v>Year 1</v>
      </c>
      <c r="L164" s="1209" t="str">
        <f t="shared" ref="L164:U164" si="21">L147</f>
        <v>Year 2</v>
      </c>
      <c r="M164" s="1209" t="str">
        <f t="shared" si="21"/>
        <v>Year 3</v>
      </c>
      <c r="N164" s="1209" t="str">
        <f t="shared" si="21"/>
        <v>Year 4</v>
      </c>
      <c r="O164" s="1209" t="str">
        <f t="shared" si="21"/>
        <v>Year 5</v>
      </c>
      <c r="P164" s="1209" t="str">
        <f t="shared" si="21"/>
        <v>Year 6</v>
      </c>
      <c r="Q164" s="1209" t="str">
        <f t="shared" si="21"/>
        <v>Year 7</v>
      </c>
      <c r="R164" s="1209" t="str">
        <f t="shared" si="21"/>
        <v>Year 8</v>
      </c>
      <c r="S164" s="1209" t="str">
        <f t="shared" si="21"/>
        <v>Year 9</v>
      </c>
      <c r="T164" s="1209" t="str">
        <f t="shared" si="21"/>
        <v>Year 10</v>
      </c>
      <c r="U164" s="1207" t="str">
        <f t="shared" si="21"/>
        <v>Sum of 10 years</v>
      </c>
      <c r="V164" s="3"/>
      <c r="W164" s="3"/>
      <c r="X164" s="3"/>
      <c r="Y164" s="3"/>
      <c r="Z164" s="3"/>
      <c r="AA164" s="3"/>
      <c r="AB164" s="3"/>
      <c r="AC164" s="3"/>
      <c r="AD164" s="3"/>
      <c r="AE164" s="3"/>
      <c r="AF164" s="3"/>
      <c r="AG164" s="3"/>
      <c r="AH164" s="3"/>
      <c r="AI164" s="3"/>
      <c r="AJ164" s="3"/>
      <c r="AK164" s="3"/>
      <c r="AL164" s="3"/>
    </row>
    <row r="165" spans="1:38" ht="17.649999999999999" customHeight="1" x14ac:dyDescent="0.2">
      <c r="A165" s="620"/>
      <c r="B165" s="1211"/>
      <c r="C165" s="1212"/>
      <c r="D165" s="1212"/>
      <c r="E165" s="1213"/>
      <c r="F165" s="1213"/>
      <c r="G165" s="1213"/>
      <c r="H165" s="1213"/>
      <c r="I165" s="1213"/>
      <c r="J165" s="1213"/>
      <c r="K165" s="1219" t="str">
        <f>K148</f>
        <v>2024-25</v>
      </c>
      <c r="L165" s="1219" t="str">
        <f t="shared" ref="L165:T165" si="22">L148</f>
        <v>2025-26</v>
      </c>
      <c r="M165" s="1219" t="str">
        <f t="shared" si="22"/>
        <v>2026-27</v>
      </c>
      <c r="N165" s="1219" t="str">
        <f t="shared" si="22"/>
        <v>2027-28</v>
      </c>
      <c r="O165" s="1219" t="str">
        <f t="shared" si="22"/>
        <v>2028-29</v>
      </c>
      <c r="P165" s="1219" t="str">
        <f t="shared" si="22"/>
        <v>2029-30</v>
      </c>
      <c r="Q165" s="1219" t="str">
        <f t="shared" si="22"/>
        <v>2030-31</v>
      </c>
      <c r="R165" s="1219" t="str">
        <f t="shared" si="22"/>
        <v>2031-32</v>
      </c>
      <c r="S165" s="1219" t="str">
        <f t="shared" si="22"/>
        <v>2032-33</v>
      </c>
      <c r="T165" s="1219" t="str">
        <f t="shared" si="22"/>
        <v>2033-34</v>
      </c>
      <c r="U165" s="1218"/>
      <c r="V165" s="3"/>
      <c r="W165" s="3"/>
      <c r="X165" s="3"/>
      <c r="Y165" s="3"/>
      <c r="Z165" s="3"/>
      <c r="AA165" s="3"/>
      <c r="AB165" s="3"/>
      <c r="AC165" s="3"/>
      <c r="AD165" s="3"/>
      <c r="AE165" s="3"/>
      <c r="AF165" s="3"/>
      <c r="AG165" s="3"/>
      <c r="AH165" s="3"/>
      <c r="AI165" s="3"/>
      <c r="AJ165" s="3"/>
      <c r="AK165" s="3"/>
      <c r="AL165" s="3"/>
    </row>
    <row r="166" spans="1:38" ht="24" customHeight="1" x14ac:dyDescent="0.2">
      <c r="A166" s="620"/>
      <c r="B166" s="1215" t="s">
        <v>726</v>
      </c>
      <c r="C166" s="52"/>
      <c r="D166" s="486" t="str">
        <f t="shared" ref="D166:D167" si="23">$D$29</f>
        <v>$ nominal</v>
      </c>
      <c r="E166" s="52"/>
      <c r="F166" s="52"/>
      <c r="G166" s="52"/>
      <c r="H166" s="52"/>
      <c r="I166" s="52"/>
      <c r="J166" s="52"/>
      <c r="K166" s="1220">
        <f t="shared" ref="K166:T166" si="24">IF(K$22=$Z$21,".",K70+K142+K159)</f>
        <v>2000000</v>
      </c>
      <c r="L166" s="1220">
        <f t="shared" si="24"/>
        <v>2060000</v>
      </c>
      <c r="M166" s="1220">
        <f t="shared" si="24"/>
        <v>2121800</v>
      </c>
      <c r="N166" s="1220">
        <f t="shared" si="24"/>
        <v>2185454</v>
      </c>
      <c r="O166" s="1220">
        <f t="shared" si="24"/>
        <v>2251017.62</v>
      </c>
      <c r="P166" s="1220">
        <f t="shared" si="24"/>
        <v>2318548.1486</v>
      </c>
      <c r="Q166" s="1220">
        <f t="shared" si="24"/>
        <v>2388104.5930579999</v>
      </c>
      <c r="R166" s="1220">
        <f t="shared" si="24"/>
        <v>2459747.7308497401</v>
      </c>
      <c r="S166" s="1220">
        <f t="shared" si="24"/>
        <v>2533540.1627752325</v>
      </c>
      <c r="T166" s="1220">
        <f t="shared" si="24"/>
        <v>2609546.3676584894</v>
      </c>
      <c r="U166" s="1029">
        <f>U70+U142+U159</f>
        <v>22927758.622941464</v>
      </c>
      <c r="V166" s="3"/>
      <c r="W166" s="3"/>
      <c r="X166" s="3"/>
      <c r="Y166" s="3"/>
      <c r="Z166" s="3"/>
      <c r="AA166" s="3"/>
      <c r="AB166" s="3"/>
      <c r="AC166" s="3"/>
      <c r="AD166" s="3"/>
      <c r="AE166" s="3"/>
      <c r="AF166" s="3"/>
      <c r="AG166" s="3"/>
      <c r="AH166" s="3"/>
      <c r="AI166" s="3"/>
      <c r="AJ166" s="3"/>
      <c r="AK166" s="3"/>
      <c r="AL166" s="3"/>
    </row>
    <row r="167" spans="1:38" x14ac:dyDescent="0.2">
      <c r="A167" s="620"/>
      <c r="B167" s="1216" t="s">
        <v>727</v>
      </c>
      <c r="C167" s="1217"/>
      <c r="D167" s="1107" t="str">
        <f t="shared" si="23"/>
        <v>$ nominal</v>
      </c>
      <c r="E167" s="1217"/>
      <c r="F167" s="1217"/>
      <c r="G167" s="1217"/>
      <c r="H167" s="1217"/>
      <c r="I167" s="1217"/>
      <c r="J167" s="1217"/>
      <c r="K167" s="1181">
        <f t="shared" ref="K167:T167" si="25">IF(K$22=$Z$21,".",K29-K166)</f>
        <v>3435200.3656308874</v>
      </c>
      <c r="L167" s="1181">
        <f t="shared" si="25"/>
        <v>3538256.376599811</v>
      </c>
      <c r="M167" s="1181">
        <f t="shared" si="25"/>
        <v>3644404.0678978115</v>
      </c>
      <c r="N167" s="1181">
        <f t="shared" si="25"/>
        <v>3753736.1899347454</v>
      </c>
      <c r="O167" s="1181">
        <f t="shared" si="25"/>
        <v>3866348.2756327884</v>
      </c>
      <c r="P167" s="1181">
        <f t="shared" si="25"/>
        <v>3982338.7239017682</v>
      </c>
      <c r="Q167" s="1181">
        <f t="shared" si="25"/>
        <v>4101808.8856188259</v>
      </c>
      <c r="R167" s="1181">
        <f t="shared" si="25"/>
        <v>4192413.5847940054</v>
      </c>
      <c r="S167" s="1181">
        <f t="shared" si="25"/>
        <v>4284925.1857596058</v>
      </c>
      <c r="T167" s="1181">
        <f t="shared" si="25"/>
        <v>4379380.6145897191</v>
      </c>
      <c r="U167" s="1180">
        <f>SUM(K167:T167)</f>
        <v>39178812.270359963</v>
      </c>
      <c r="V167" s="3"/>
      <c r="W167" s="3"/>
      <c r="X167" s="3"/>
      <c r="Y167" s="3"/>
      <c r="Z167" s="3"/>
      <c r="AA167" s="3"/>
      <c r="AB167" s="3"/>
      <c r="AC167" s="3"/>
      <c r="AD167" s="3"/>
      <c r="AE167" s="3"/>
      <c r="AF167" s="3"/>
      <c r="AG167" s="3"/>
      <c r="AH167" s="3"/>
      <c r="AI167" s="3"/>
      <c r="AJ167" s="3"/>
      <c r="AK167" s="3"/>
      <c r="AL167" s="3"/>
    </row>
    <row r="168" spans="1:38" x14ac:dyDescent="0.2">
      <c r="A168" s="620"/>
      <c r="B168" s="52"/>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spans="1:38" x14ac:dyDescent="0.2">
      <c r="A169" s="620"/>
      <c r="B169" s="3"/>
      <c r="C169" s="3"/>
      <c r="D169" s="3"/>
      <c r="E169" s="3"/>
      <c r="F169" s="3"/>
      <c r="G169" s="3"/>
      <c r="H169" s="3"/>
      <c r="I169" s="3"/>
      <c r="J169" s="3"/>
      <c r="V169" s="3"/>
      <c r="W169" s="3"/>
      <c r="X169" s="3"/>
      <c r="Y169" s="3"/>
      <c r="Z169" s="3"/>
      <c r="AA169" s="3"/>
      <c r="AB169" s="3"/>
      <c r="AC169" s="3"/>
      <c r="AD169" s="3"/>
      <c r="AE169" s="3"/>
      <c r="AF169" s="3"/>
      <c r="AG169" s="3"/>
      <c r="AH169" s="3"/>
      <c r="AI169" s="3"/>
      <c r="AJ169" s="3"/>
      <c r="AK169" s="3"/>
      <c r="AL169" s="3"/>
    </row>
    <row r="170" spans="1:38" x14ac:dyDescent="0.2">
      <c r="A170" s="620"/>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spans="1:38" x14ac:dyDescent="0.2">
      <c r="A171" s="620"/>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spans="1:38" x14ac:dyDescent="0.2">
      <c r="A172" s="620"/>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spans="1:38" x14ac:dyDescent="0.2">
      <c r="A173" s="620"/>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spans="1:38" x14ac:dyDescent="0.2">
      <c r="A174" s="620"/>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spans="1:38" x14ac:dyDescent="0.2">
      <c r="A175" s="620"/>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spans="1:38" x14ac:dyDescent="0.2">
      <c r="A176" s="620"/>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spans="1:38" x14ac:dyDescent="0.2">
      <c r="A177" s="620"/>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spans="1:38" x14ac:dyDescent="0.2">
      <c r="A178" s="620"/>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spans="1:38" x14ac:dyDescent="0.2">
      <c r="A179" s="620"/>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spans="1:38" x14ac:dyDescent="0.2">
      <c r="A180" s="620"/>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spans="1:38" x14ac:dyDescent="0.2">
      <c r="A181" s="620"/>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spans="1:38" x14ac:dyDescent="0.2">
      <c r="A182" s="620"/>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spans="1:38" x14ac:dyDescent="0.2">
      <c r="A183" s="620"/>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spans="1:38" x14ac:dyDescent="0.2">
      <c r="A184" s="620"/>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spans="1:38" x14ac:dyDescent="0.2">
      <c r="A185" s="620"/>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spans="1:38" x14ac:dyDescent="0.2">
      <c r="A186" s="620"/>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spans="1:38" x14ac:dyDescent="0.2">
      <c r="A187" s="620"/>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spans="1:38" x14ac:dyDescent="0.2">
      <c r="A188" s="620"/>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spans="1:38" x14ac:dyDescent="0.2">
      <c r="A189" s="620"/>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spans="1:38" x14ac:dyDescent="0.2">
      <c r="A190" s="620"/>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spans="1:38" x14ac:dyDescent="0.2">
      <c r="A191" s="620"/>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spans="1:38" x14ac:dyDescent="0.2">
      <c r="A192" s="620"/>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spans="1:38" x14ac:dyDescent="0.2">
      <c r="A193" s="620"/>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spans="1:38" x14ac:dyDescent="0.2">
      <c r="A194" s="620"/>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spans="1:38" x14ac:dyDescent="0.2">
      <c r="A195" s="620"/>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spans="1:38" x14ac:dyDescent="0.2">
      <c r="A196" s="620"/>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spans="1:38" x14ac:dyDescent="0.2">
      <c r="A197" s="620"/>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spans="1:38" x14ac:dyDescent="0.2">
      <c r="A198" s="620"/>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spans="1:38" x14ac:dyDescent="0.2">
      <c r="A199" s="620"/>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spans="1:38" x14ac:dyDescent="0.2">
      <c r="A200" s="620"/>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spans="1:38" x14ac:dyDescent="0.2">
      <c r="A201" s="620"/>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spans="1:38" x14ac:dyDescent="0.2">
      <c r="A202" s="620"/>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spans="1:38" x14ac:dyDescent="0.2">
      <c r="A203" s="620"/>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spans="1:38" x14ac:dyDescent="0.2">
      <c r="A204" s="620"/>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spans="1:38" x14ac:dyDescent="0.2">
      <c r="A205" s="620"/>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spans="1:38" x14ac:dyDescent="0.2">
      <c r="A206" s="620"/>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spans="1:38" x14ac:dyDescent="0.2">
      <c r="A207" s="620"/>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spans="1:38" x14ac:dyDescent="0.2">
      <c r="A208" s="620"/>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spans="1:38" x14ac:dyDescent="0.2">
      <c r="A209" s="620"/>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spans="1:38" x14ac:dyDescent="0.2">
      <c r="A210" s="620"/>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spans="1:38" x14ac:dyDescent="0.2">
      <c r="A211" s="620"/>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spans="1:38" x14ac:dyDescent="0.2">
      <c r="A212" s="620"/>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spans="1:38" x14ac:dyDescent="0.2">
      <c r="A213" s="620"/>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spans="1:38" x14ac:dyDescent="0.2">
      <c r="A214" s="620"/>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spans="1:38" x14ac:dyDescent="0.2">
      <c r="A215" s="620"/>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spans="1:38" x14ac:dyDescent="0.2">
      <c r="A216" s="620"/>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spans="1:38" x14ac:dyDescent="0.2">
      <c r="A217" s="620"/>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spans="1:38" x14ac:dyDescent="0.2">
      <c r="A218" s="620"/>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spans="1:38" x14ac:dyDescent="0.2">
      <c r="A219" s="620"/>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spans="1:38" x14ac:dyDescent="0.2">
      <c r="A220" s="620"/>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spans="1:38" x14ac:dyDescent="0.2">
      <c r="A221" s="620"/>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spans="1:38" x14ac:dyDescent="0.2">
      <c r="A222" s="620"/>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spans="1:38" x14ac:dyDescent="0.2">
      <c r="A223" s="620"/>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spans="1:38" x14ac:dyDescent="0.2">
      <c r="A224" s="620"/>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spans="1:38" x14ac:dyDescent="0.2">
      <c r="A225" s="620"/>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spans="1:38" x14ac:dyDescent="0.2">
      <c r="A226" s="620"/>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spans="1:38" x14ac:dyDescent="0.2">
      <c r="A227" s="620"/>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spans="1:38" x14ac:dyDescent="0.2">
      <c r="A228" s="620"/>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spans="1:38" x14ac:dyDescent="0.2">
      <c r="A229" s="620"/>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spans="1:38" x14ac:dyDescent="0.2">
      <c r="A230" s="620"/>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spans="1:38" x14ac:dyDescent="0.2">
      <c r="A231" s="620"/>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row>
    <row r="232" spans="1:38" x14ac:dyDescent="0.2">
      <c r="A232" s="620"/>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spans="1:38" x14ac:dyDescent="0.2">
      <c r="A233" s="620"/>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row>
    <row r="234" spans="1:38" x14ac:dyDescent="0.2">
      <c r="A234" s="620"/>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row>
    <row r="235" spans="1:38" x14ac:dyDescent="0.2">
      <c r="A235" s="620"/>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spans="1:38" x14ac:dyDescent="0.2">
      <c r="A236" s="620"/>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spans="1:38" x14ac:dyDescent="0.2">
      <c r="A237" s="620"/>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spans="1:38" x14ac:dyDescent="0.2">
      <c r="A238" s="620"/>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row>
    <row r="239" spans="1:38" x14ac:dyDescent="0.2">
      <c r="A239" s="620"/>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row>
    <row r="240" spans="1:38" x14ac:dyDescent="0.2">
      <c r="A240" s="620"/>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row>
    <row r="241" spans="1:38" x14ac:dyDescent="0.2">
      <c r="A241" s="620"/>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row>
    <row r="242" spans="1:38" x14ac:dyDescent="0.2">
      <c r="A242" s="620"/>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spans="1:38" x14ac:dyDescent="0.2">
      <c r="A243" s="620"/>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spans="1:38" x14ac:dyDescent="0.2">
      <c r="A244" s="620"/>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row>
    <row r="245" spans="1:38" x14ac:dyDescent="0.2">
      <c r="A245" s="620"/>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spans="1:38" x14ac:dyDescent="0.2">
      <c r="A246" s="620"/>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row>
    <row r="247" spans="1:38" x14ac:dyDescent="0.2">
      <c r="A247" s="620"/>
    </row>
    <row r="248" spans="1:38" x14ac:dyDescent="0.2">
      <c r="A248" s="620"/>
    </row>
    <row r="249" spans="1:38" x14ac:dyDescent="0.2">
      <c r="A249" s="620"/>
    </row>
  </sheetData>
  <sheetProtection algorithmName="SHA-512" hashValue="W3d093oevogmxH36p2nqhxAoLk0j30y7b+5Z3PB2QqhNNHstNErAoW7Mm5r9YEKgosxsXkUeouKtSuAX+Law5w==" saltValue="qZ82C1lJlXgEQurInVWYLQ==" spinCount="100000" sheet="1" formatColumns="0" formatRows="0"/>
  <phoneticPr fontId="12" type="noConversion"/>
  <conditionalFormatting sqref="K121:T140 K47:T53 K55:T69 O141:T141 O119:T119">
    <cfRule type="expression" dxfId="10" priority="15">
      <formula>K$22="No"</formula>
    </cfRule>
  </conditionalFormatting>
  <conditionalFormatting sqref="K78:T118">
    <cfRule type="expression" dxfId="9" priority="14">
      <formula>K$22="No"</formula>
    </cfRule>
  </conditionalFormatting>
  <conditionalFormatting sqref="O149:T158">
    <cfRule type="expression" dxfId="8" priority="13">
      <formula>O$22="No"</formula>
    </cfRule>
  </conditionalFormatting>
  <conditionalFormatting sqref="K26:T27">
    <cfRule type="expression" dxfId="7" priority="16">
      <formula>K$22=$Z$21</formula>
    </cfRule>
  </conditionalFormatting>
  <conditionalFormatting sqref="K119:N119">
    <cfRule type="expression" dxfId="6" priority="8">
      <formula>K$22="No"</formula>
    </cfRule>
  </conditionalFormatting>
  <conditionalFormatting sqref="K141:N141">
    <cfRule type="expression" dxfId="5" priority="7">
      <formula>K$22="No"</formula>
    </cfRule>
  </conditionalFormatting>
  <conditionalFormatting sqref="K149:N158">
    <cfRule type="expression" dxfId="4" priority="6">
      <formula>K$22="No"</formula>
    </cfRule>
  </conditionalFormatting>
  <conditionalFormatting sqref="K39:T46">
    <cfRule type="expression" dxfId="3" priority="5">
      <formula>K$22="No"</formula>
    </cfRule>
  </conditionalFormatting>
  <dataValidations xWindow="384" yWindow="786" count="5">
    <dataValidation allowBlank="1" showInputMessage="1" showErrorMessage="1" promptTitle="Sum of total spending" prompt="All individual spending allocations should be summed for each of the 10 years to calculate the council's total proposed spending for each year._x000a_" sqref="B166:C166 E166:J166"/>
    <dataValidation allowBlank="1" showInputMessage="1" showErrorMessage="1" prompt="This shows the difference between the council's total proposed spending program and the total additional funding available to the council from the SV._x000a__x000a_It may not = 0 if a council seeks an SV partly or wholly to enhance its financial sustainability." sqref="B167:C167 E167:J167"/>
    <dataValidation allowBlank="1" showInputMessage="1" showErrorMessage="1" promptTitle="Maintenance of current services" sqref="B32:J34"/>
    <dataValidation allowBlank="1" showErrorMessage="1" sqref="D149:D158 B38:T69 D78:D119 D121:D141 D166:D167"/>
    <dataValidation allowBlank="1" showInputMessage="1" showErrorMessage="1" promptTitle="New projects/services" prompt="Include new projects or services to be funded by the additional SV income eg, city centre upgrade, new sports centre._x000a__x000a_Include additional rows if needed._x000a__x000a_Delete this heading and associated rows if this is not part of the council's application." sqref="B74 C75:J75 B76:C77 E76:J77 D77"/>
  </dataValidations>
  <printOptions horizontalCentered="1"/>
  <pageMargins left="0.11811023622047245" right="0.11811023622047245" top="0.19685039370078741" bottom="0.19685039370078741" header="0.11811023622047245" footer="0.19685039370078741"/>
  <pageSetup paperSize="9" scale="86" fitToWidth="0" fitToHeight="0" orientation="landscape" r:id="rId1"/>
  <headerFooter alignWithMargins="0">
    <oddHeader>&amp;C&amp;"Calibri"&amp;10&amp;KFF0000 UNOFFICIAL&amp;1#_x000D_</oddHeader>
    <oddFooter>&amp;C_x000D_&amp;1#&amp;"Calibri"&amp;10&amp;KFF0000 UNOFFICIAL</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7" id="{B1E500B4-5B0F-4EBE-ACB5-11A44727A2A3}">
            <xm:f>'WS1-Application'!$D$33="Minimum rate increase"</xm:f>
            <x14:dxf>
              <font>
                <b/>
                <i val="0"/>
                <color rgb="FF974706"/>
              </font>
            </x14:dxf>
          </x14:cfRule>
          <xm:sqref>B35 B74 B146 M146 M74 M35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60"/>
  <sheetViews>
    <sheetView showGridLines="0" topLeftCell="A70" workbookViewId="0">
      <selection activeCell="B6" sqref="B6"/>
    </sheetView>
  </sheetViews>
  <sheetFormatPr defaultRowHeight="12" x14ac:dyDescent="0.2"/>
  <cols>
    <col min="1" max="1" width="2.7109375" style="621" customWidth="1"/>
    <col min="2" max="2" width="54" customWidth="1"/>
    <col min="3" max="3" width="12.28515625" customWidth="1"/>
    <col min="4" max="4" width="15" customWidth="1"/>
    <col min="5" max="5" width="12.140625" customWidth="1"/>
    <col min="6" max="8" width="16" customWidth="1"/>
    <col min="9" max="9" width="12.85546875" customWidth="1"/>
    <col min="10" max="20" width="11.85546875" customWidth="1"/>
    <col min="21" max="21" width="8.140625" bestFit="1" customWidth="1"/>
    <col min="27" max="42" width="9"/>
  </cols>
  <sheetData>
    <row r="1" spans="1:44" ht="15" thickBot="1" x14ac:dyDescent="0.25">
      <c r="A1" s="620">
        <v>9</v>
      </c>
      <c r="B1" s="3"/>
      <c r="C1" s="3"/>
      <c r="D1" s="3"/>
      <c r="E1" s="3"/>
      <c r="F1" s="10"/>
      <c r="G1" s="10"/>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4" s="58" customFormat="1" ht="15.75" x14ac:dyDescent="0.25">
      <c r="A2" s="627"/>
      <c r="B2" s="1590" t="str">
        <f>'WS1-Application'!B2</f>
        <v>APPLICATION FOR SPECIAL VARIATION - WILLOUGHBY CITY COUNCIL</v>
      </c>
      <c r="C2" s="1591"/>
      <c r="D2" s="1591"/>
      <c r="E2" s="1591"/>
      <c r="F2" s="1550"/>
      <c r="G2" s="1550"/>
      <c r="H2" s="1550"/>
      <c r="I2" s="1551"/>
      <c r="J2" s="49"/>
      <c r="K2" s="49"/>
      <c r="L2" s="49"/>
      <c r="M2" s="49"/>
      <c r="N2" s="49"/>
      <c r="O2" s="49"/>
      <c r="P2" s="49"/>
      <c r="Q2" s="49"/>
      <c r="R2" s="49"/>
      <c r="S2" s="49"/>
      <c r="T2" s="49"/>
      <c r="U2" s="49"/>
      <c r="V2" s="3"/>
      <c r="W2" s="49"/>
      <c r="X2" s="49"/>
      <c r="Y2" s="49"/>
      <c r="Z2" s="49"/>
      <c r="AA2" s="49"/>
      <c r="AB2" s="49"/>
      <c r="AC2" s="49"/>
      <c r="AD2" s="49"/>
      <c r="AE2" s="49"/>
      <c r="AF2" s="49"/>
      <c r="AG2" s="49"/>
      <c r="AH2" s="49"/>
      <c r="AI2" s="49"/>
      <c r="AJ2" s="49"/>
      <c r="AK2" s="49"/>
      <c r="AL2" s="49"/>
      <c r="AM2" s="49"/>
      <c r="AN2" s="49"/>
      <c r="AO2" s="49"/>
      <c r="AP2" s="49"/>
    </row>
    <row r="3" spans="1:44" s="58" customFormat="1" ht="12" customHeight="1" x14ac:dyDescent="0.25">
      <c r="A3" s="627"/>
      <c r="B3" s="1574"/>
      <c r="C3" s="1494"/>
      <c r="D3" s="1494"/>
      <c r="E3" s="1494"/>
      <c r="F3" s="1562"/>
      <c r="G3" s="1562"/>
      <c r="H3" s="1562"/>
      <c r="I3" s="1595"/>
      <c r="J3" s="49"/>
      <c r="K3" s="275"/>
      <c r="L3" s="276"/>
      <c r="M3" s="3"/>
      <c r="N3" s="56"/>
      <c r="O3" s="56"/>
      <c r="P3" s="71"/>
      <c r="Q3" s="71"/>
      <c r="R3" s="49"/>
      <c r="S3" s="49"/>
      <c r="T3" s="49"/>
      <c r="U3" s="49"/>
      <c r="V3" s="3"/>
      <c r="W3" s="49"/>
      <c r="X3" s="49"/>
      <c r="Y3" s="49"/>
      <c r="Z3" s="49"/>
      <c r="AA3" s="49"/>
      <c r="AB3" s="49"/>
      <c r="AC3" s="49"/>
      <c r="AD3" s="49"/>
      <c r="AE3" s="49"/>
      <c r="AF3" s="49"/>
      <c r="AG3" s="49"/>
      <c r="AH3" s="49"/>
      <c r="AI3" s="49"/>
      <c r="AJ3" s="49"/>
      <c r="AK3" s="49"/>
      <c r="AL3" s="49"/>
      <c r="AM3" s="49"/>
      <c r="AN3" s="49"/>
      <c r="AO3" s="49"/>
      <c r="AP3" s="49"/>
    </row>
    <row r="4" spans="1:44" s="58" customFormat="1" ht="24" customHeight="1" thickBot="1" x14ac:dyDescent="0.3">
      <c r="A4" s="627"/>
      <c r="B4" s="1553" t="str">
        <f>"WORKSHEET "&amp;A1&amp;": FINANCIAL INFORMATION"</f>
        <v>WORKSHEET 9: FINANCIAL INFORMATION</v>
      </c>
      <c r="C4" s="1593"/>
      <c r="D4" s="1593"/>
      <c r="E4" s="1593"/>
      <c r="F4" s="1554"/>
      <c r="G4" s="1554"/>
      <c r="H4" s="1554"/>
      <c r="I4" s="1560"/>
      <c r="J4" s="49"/>
      <c r="K4" s="49"/>
      <c r="L4" s="49"/>
      <c r="M4" s="71"/>
      <c r="N4" s="71"/>
      <c r="O4" s="71"/>
      <c r="P4" s="71"/>
      <c r="Q4" s="71"/>
      <c r="R4" s="49"/>
      <c r="S4" s="49"/>
      <c r="T4" s="49"/>
      <c r="U4" s="49"/>
      <c r="V4" s="3"/>
      <c r="W4" s="49"/>
      <c r="X4" s="49"/>
      <c r="Y4" s="49"/>
      <c r="Z4" s="49"/>
      <c r="AA4" s="49"/>
      <c r="AB4" s="49"/>
      <c r="AC4" s="49"/>
      <c r="AD4" s="49"/>
      <c r="AE4" s="49"/>
      <c r="AF4" s="49"/>
      <c r="AG4" s="49"/>
      <c r="AH4" s="49"/>
      <c r="AI4" s="49"/>
      <c r="AJ4" s="49"/>
      <c r="AK4" s="49"/>
      <c r="AL4" s="49"/>
      <c r="AM4" s="49"/>
      <c r="AN4" s="49"/>
      <c r="AO4" s="49"/>
      <c r="AP4" s="49"/>
    </row>
    <row r="5" spans="1:44" s="58" customFormat="1" ht="22.15" customHeight="1" x14ac:dyDescent="0.25">
      <c r="A5" s="627"/>
      <c r="C5" s="49"/>
      <c r="D5" s="49"/>
      <c r="F5" s="49"/>
      <c r="G5" s="49"/>
      <c r="H5" s="22"/>
      <c r="I5" s="49"/>
      <c r="J5" s="49"/>
      <c r="K5" s="22"/>
      <c r="L5" s="22"/>
      <c r="M5" s="70"/>
      <c r="N5" s="70"/>
      <c r="O5" s="49"/>
      <c r="P5" s="70"/>
      <c r="Q5" s="70"/>
      <c r="R5" s="49"/>
      <c r="S5" s="49"/>
      <c r="T5" s="49"/>
      <c r="U5" s="22"/>
      <c r="V5" s="3"/>
      <c r="W5" s="49"/>
      <c r="X5" s="49"/>
      <c r="Y5" s="49"/>
      <c r="Z5" s="49"/>
      <c r="AA5" s="49"/>
      <c r="AB5" s="49"/>
      <c r="AC5" s="49"/>
      <c r="AD5" s="49"/>
      <c r="AE5" s="49"/>
      <c r="AF5" s="49"/>
      <c r="AG5" s="49"/>
      <c r="AH5" s="49"/>
      <c r="AI5" s="49"/>
      <c r="AJ5" s="49"/>
      <c r="AK5" s="49"/>
      <c r="AL5" s="49"/>
      <c r="AM5" s="49"/>
      <c r="AN5" s="49"/>
      <c r="AO5" s="49"/>
      <c r="AP5" s="49"/>
    </row>
    <row r="6" spans="1:44" s="58" customFormat="1" ht="22.15" customHeight="1" x14ac:dyDescent="0.25">
      <c r="A6" s="627"/>
      <c r="C6" s="49"/>
      <c r="D6" s="49"/>
      <c r="F6" s="49"/>
      <c r="G6" s="49"/>
      <c r="H6" s="22"/>
      <c r="I6" s="49"/>
      <c r="J6" s="49"/>
      <c r="K6" s="22"/>
      <c r="L6" s="22"/>
      <c r="M6" s="70"/>
      <c r="N6" s="70"/>
      <c r="O6" s="49"/>
      <c r="P6" s="70"/>
      <c r="Q6" s="70"/>
      <c r="R6" s="49"/>
      <c r="S6" s="49"/>
      <c r="T6" s="49"/>
      <c r="U6" s="22"/>
      <c r="V6" s="3"/>
      <c r="W6" s="49"/>
      <c r="X6" s="49"/>
      <c r="Y6" s="49"/>
      <c r="Z6" s="49"/>
      <c r="AA6" s="49"/>
      <c r="AB6" s="49"/>
      <c r="AC6" s="49"/>
      <c r="AD6" s="49"/>
      <c r="AE6" s="49"/>
      <c r="AF6" s="49"/>
      <c r="AG6" s="49"/>
      <c r="AH6" s="49"/>
      <c r="AI6" s="49"/>
      <c r="AJ6" s="49"/>
      <c r="AK6" s="49"/>
      <c r="AL6" s="49"/>
      <c r="AM6" s="49"/>
      <c r="AN6" s="49"/>
      <c r="AO6" s="49"/>
      <c r="AP6" s="49"/>
    </row>
    <row r="7" spans="1:44" s="58" customFormat="1" ht="15.75" x14ac:dyDescent="0.25">
      <c r="A7" s="627"/>
      <c r="B7" s="461" t="s">
        <v>496</v>
      </c>
      <c r="C7" s="49"/>
      <c r="D7" s="49"/>
      <c r="F7" s="49"/>
      <c r="G7" s="49"/>
      <c r="H7" s="22"/>
      <c r="I7" s="49"/>
      <c r="J7" s="49"/>
      <c r="K7" s="22"/>
      <c r="L7" s="22"/>
      <c r="M7" s="70"/>
      <c r="N7" s="70"/>
      <c r="O7" s="49"/>
      <c r="P7" s="70"/>
      <c r="Q7" s="70"/>
      <c r="R7" s="49"/>
      <c r="S7" s="49"/>
      <c r="T7" s="49"/>
      <c r="U7" s="22"/>
      <c r="V7" s="3"/>
      <c r="W7" s="49"/>
      <c r="X7" s="49"/>
      <c r="Y7" s="49"/>
      <c r="Z7" s="49"/>
      <c r="AA7" s="49"/>
      <c r="AB7" s="49"/>
      <c r="AC7" s="49"/>
      <c r="AD7" s="49"/>
      <c r="AE7" s="49"/>
      <c r="AF7" s="49"/>
      <c r="AG7" s="49"/>
      <c r="AH7" s="49"/>
      <c r="AI7" s="49"/>
      <c r="AJ7" s="49"/>
      <c r="AK7" s="49"/>
      <c r="AL7" s="49"/>
      <c r="AM7" s="49"/>
      <c r="AN7" s="49"/>
      <c r="AO7" s="49"/>
      <c r="AP7" s="49"/>
    </row>
    <row r="8" spans="1:44" s="58" customFormat="1" ht="16.5" customHeight="1" x14ac:dyDescent="0.25">
      <c r="A8" s="627"/>
      <c r="B8" s="1154" t="s">
        <v>728</v>
      </c>
      <c r="C8" s="1155"/>
      <c r="D8" s="1155"/>
      <c r="E8" s="944"/>
      <c r="F8" s="1155"/>
      <c r="G8" s="1155"/>
      <c r="H8" s="1155"/>
      <c r="I8" s="987"/>
      <c r="J8" s="49"/>
      <c r="K8" s="49"/>
      <c r="L8" s="53"/>
      <c r="M8" s="84"/>
      <c r="N8" s="84"/>
      <c r="O8" s="49"/>
      <c r="P8" s="84"/>
      <c r="Q8" s="84"/>
      <c r="R8" s="49"/>
      <c r="S8" s="49"/>
      <c r="T8" s="49"/>
      <c r="U8" s="84"/>
      <c r="V8" s="3"/>
      <c r="W8" s="49"/>
      <c r="X8" s="49"/>
      <c r="Y8" s="49"/>
      <c r="Z8" s="49"/>
      <c r="AA8" s="49"/>
      <c r="AB8" s="49"/>
      <c r="AC8" s="49"/>
      <c r="AD8" s="49"/>
      <c r="AE8" s="49"/>
      <c r="AF8" s="49"/>
      <c r="AG8" s="49"/>
      <c r="AH8" s="49"/>
      <c r="AI8" s="49"/>
      <c r="AJ8" s="49"/>
      <c r="AK8" s="49"/>
      <c r="AL8" s="49"/>
      <c r="AM8" s="49"/>
      <c r="AN8" s="49"/>
      <c r="AO8" s="49"/>
      <c r="AP8" s="49"/>
    </row>
    <row r="9" spans="1:44" s="58" customFormat="1" ht="16.5" customHeight="1" x14ac:dyDescent="0.25">
      <c r="A9" s="627"/>
      <c r="B9" s="569" t="s">
        <v>729</v>
      </c>
      <c r="C9" s="49"/>
      <c r="D9" s="49"/>
      <c r="F9" s="49"/>
      <c r="G9" s="49"/>
      <c r="H9" s="49"/>
      <c r="I9" s="988"/>
      <c r="J9" s="49"/>
      <c r="K9" s="49"/>
      <c r="L9" s="53"/>
      <c r="M9" s="84"/>
      <c r="N9" s="84"/>
      <c r="O9" s="49"/>
      <c r="P9" s="84"/>
      <c r="Q9" s="84"/>
      <c r="R9" s="49"/>
      <c r="S9" s="49"/>
      <c r="T9" s="49"/>
      <c r="U9" s="84"/>
      <c r="V9" s="3"/>
      <c r="W9" s="49"/>
      <c r="X9" s="49"/>
      <c r="Y9" s="49"/>
      <c r="Z9" s="49"/>
      <c r="AA9" s="49"/>
      <c r="AB9" s="49"/>
      <c r="AC9" s="49"/>
      <c r="AD9" s="49"/>
      <c r="AE9" s="49"/>
      <c r="AF9" s="49"/>
      <c r="AG9" s="49"/>
      <c r="AH9" s="49"/>
      <c r="AI9" s="49"/>
      <c r="AJ9" s="49"/>
      <c r="AK9" s="49"/>
      <c r="AL9" s="49"/>
      <c r="AM9" s="49"/>
      <c r="AN9" s="49"/>
      <c r="AO9" s="49"/>
      <c r="AP9" s="49"/>
    </row>
    <row r="10" spans="1:44" s="58" customFormat="1" ht="5.25" customHeight="1" x14ac:dyDescent="0.25">
      <c r="A10" s="627"/>
      <c r="B10" s="569"/>
      <c r="C10" s="49"/>
      <c r="D10" s="49"/>
      <c r="F10" s="49"/>
      <c r="G10" s="49"/>
      <c r="H10" s="49"/>
      <c r="I10" s="988"/>
      <c r="J10" s="49"/>
      <c r="K10" s="49"/>
      <c r="L10" s="53"/>
      <c r="M10" s="84"/>
      <c r="N10" s="84"/>
      <c r="O10" s="49"/>
      <c r="P10" s="84"/>
      <c r="Q10" s="84"/>
      <c r="R10" s="49"/>
      <c r="S10" s="49"/>
      <c r="T10" s="49"/>
      <c r="U10" s="84"/>
      <c r="V10" s="3"/>
      <c r="W10" s="49"/>
      <c r="X10" s="49"/>
      <c r="Y10" s="49"/>
      <c r="Z10" s="49"/>
      <c r="AA10" s="49"/>
      <c r="AB10" s="49"/>
      <c r="AC10" s="49"/>
      <c r="AD10" s="49"/>
      <c r="AE10" s="49"/>
      <c r="AF10" s="49"/>
      <c r="AG10" s="49"/>
      <c r="AH10" s="49"/>
      <c r="AI10" s="49"/>
      <c r="AJ10" s="49"/>
      <c r="AK10" s="49"/>
      <c r="AL10" s="49"/>
      <c r="AM10" s="49"/>
      <c r="AN10" s="49"/>
      <c r="AO10" s="49"/>
      <c r="AP10" s="49"/>
    </row>
    <row r="11" spans="1:44" s="58" customFormat="1" ht="15" x14ac:dyDescent="0.2">
      <c r="A11" s="627"/>
      <c r="B11" s="685" t="s">
        <v>730</v>
      </c>
      <c r="C11" s="49"/>
      <c r="D11" s="49"/>
      <c r="I11" s="954"/>
      <c r="J11" s="49"/>
      <c r="K11" s="49"/>
      <c r="L11" s="49"/>
      <c r="M11" s="71"/>
      <c r="N11" s="71"/>
      <c r="O11" s="49"/>
      <c r="P11" s="71"/>
      <c r="Q11" s="71"/>
      <c r="R11" s="49"/>
      <c r="S11" s="49"/>
      <c r="T11" s="49"/>
      <c r="U11" s="49"/>
      <c r="V11" s="3"/>
      <c r="W11" s="49"/>
      <c r="X11" s="49"/>
      <c r="Y11" s="49"/>
      <c r="Z11" s="49"/>
      <c r="AA11" s="49"/>
      <c r="AB11" s="49"/>
      <c r="AC11" s="49"/>
      <c r="AD11" s="49"/>
      <c r="AE11" s="49"/>
      <c r="AF11" s="49"/>
      <c r="AG11" s="49"/>
      <c r="AH11" s="49"/>
      <c r="AI11" s="49"/>
      <c r="AJ11" s="49"/>
      <c r="AK11" s="49"/>
      <c r="AL11" s="49"/>
      <c r="AM11" s="49"/>
      <c r="AN11" s="49"/>
      <c r="AO11" s="49"/>
      <c r="AP11" s="49"/>
    </row>
    <row r="12" spans="1:44" s="58" customFormat="1" ht="15.75" x14ac:dyDescent="0.25">
      <c r="A12" s="627"/>
      <c r="B12" s="946"/>
      <c r="C12" s="803"/>
      <c r="D12" s="803"/>
      <c r="E12" s="803"/>
      <c r="F12" s="803"/>
      <c r="G12" s="803"/>
      <c r="H12" s="803"/>
      <c r="I12" s="989"/>
      <c r="J12" s="49"/>
      <c r="K12" s="53"/>
      <c r="L12" s="53"/>
      <c r="M12" s="72"/>
      <c r="N12" s="72"/>
      <c r="O12" s="49"/>
      <c r="P12" s="72"/>
      <c r="Q12" s="72"/>
      <c r="R12" s="49"/>
      <c r="S12" s="49"/>
      <c r="T12" s="49"/>
      <c r="U12" s="53"/>
      <c r="V12" s="3"/>
      <c r="W12" s="49"/>
      <c r="X12" s="49"/>
      <c r="Y12" s="49"/>
      <c r="Z12" s="49"/>
      <c r="AA12" s="49"/>
      <c r="AB12" s="49"/>
      <c r="AC12" s="49"/>
      <c r="AD12" s="49"/>
      <c r="AE12" s="49"/>
      <c r="AF12" s="49"/>
      <c r="AG12" s="49"/>
      <c r="AH12" s="49"/>
      <c r="AI12" s="49"/>
      <c r="AJ12" s="49"/>
      <c r="AK12" s="49"/>
      <c r="AL12" s="49"/>
      <c r="AM12" s="49"/>
      <c r="AN12" s="49"/>
      <c r="AO12" s="49"/>
      <c r="AP12" s="49"/>
    </row>
    <row r="13" spans="1:44" s="58" customFormat="1" ht="12" customHeight="1" x14ac:dyDescent="0.25">
      <c r="A13" s="627"/>
      <c r="B13" s="49"/>
      <c r="C13" s="49"/>
      <c r="D13" s="49"/>
      <c r="E13" s="49"/>
      <c r="F13" s="49"/>
      <c r="G13" s="49"/>
      <c r="H13" s="53"/>
      <c r="I13" s="49"/>
      <c r="J13" s="49"/>
      <c r="K13" s="53"/>
      <c r="L13" s="53"/>
      <c r="M13" s="72"/>
      <c r="N13" s="72"/>
      <c r="O13" s="49"/>
      <c r="P13" s="72"/>
      <c r="Q13" s="72"/>
      <c r="R13" s="49"/>
      <c r="S13" s="49"/>
      <c r="T13" s="49"/>
      <c r="U13" s="53"/>
      <c r="V13" s="3"/>
      <c r="W13" s="49"/>
      <c r="X13" s="49"/>
      <c r="Y13" s="49"/>
      <c r="Z13" s="49"/>
      <c r="AA13" s="49"/>
      <c r="AB13" s="49"/>
      <c r="AC13" s="49"/>
      <c r="AD13" s="49"/>
      <c r="AE13" s="49"/>
      <c r="AF13" s="49"/>
      <c r="AG13" s="49"/>
      <c r="AH13" s="49"/>
      <c r="AI13" s="49"/>
      <c r="AJ13" s="49"/>
      <c r="AK13" s="49"/>
      <c r="AL13" s="49"/>
      <c r="AM13" s="49"/>
      <c r="AN13" s="49"/>
      <c r="AO13" s="49"/>
      <c r="AP13" s="49"/>
    </row>
    <row r="14" spans="1:44" s="58" customFormat="1" ht="12" customHeight="1" x14ac:dyDescent="0.25">
      <c r="A14" s="627"/>
      <c r="B14" s="49"/>
      <c r="C14" s="49"/>
      <c r="D14" s="49"/>
      <c r="E14" s="49"/>
      <c r="F14" s="84"/>
      <c r="G14" s="49"/>
      <c r="H14" s="49"/>
      <c r="I14" s="49"/>
      <c r="J14" s="49"/>
      <c r="K14" s="84"/>
      <c r="L14" s="53"/>
      <c r="M14" s="84"/>
      <c r="N14" s="84"/>
      <c r="O14" s="49"/>
      <c r="P14" s="84"/>
      <c r="Q14" s="84"/>
      <c r="R14" s="49"/>
      <c r="S14" s="49"/>
      <c r="T14" s="49"/>
      <c r="U14" s="84"/>
      <c r="V14" s="3"/>
      <c r="W14" s="49"/>
      <c r="X14" s="49"/>
      <c r="Y14" s="49"/>
      <c r="Z14" s="49"/>
      <c r="AA14" s="49"/>
      <c r="AB14" s="49"/>
      <c r="AC14" s="49"/>
      <c r="AD14" s="49"/>
      <c r="AE14" s="49"/>
      <c r="AF14" s="49"/>
      <c r="AG14" s="49"/>
      <c r="AH14" s="49"/>
      <c r="AI14" s="49"/>
      <c r="AJ14" s="49"/>
      <c r="AK14" s="49"/>
      <c r="AL14" s="49"/>
      <c r="AM14" s="49"/>
      <c r="AN14" s="49"/>
      <c r="AO14" s="49"/>
      <c r="AP14" s="49"/>
    </row>
    <row r="15" spans="1:44" ht="15.75" x14ac:dyDescent="0.25">
      <c r="A15" s="620">
        <v>1</v>
      </c>
      <c r="B15" s="461" t="str">
        <f>"Table "&amp;A1&amp;"."&amp;A15&amp;": Income statement (General fund) ($'000 nominal)"</f>
        <v>Table 9.1: Income statement (General fund) ($'000 nominal)</v>
      </c>
      <c r="C15" s="3"/>
      <c r="D15" s="3"/>
      <c r="E15" s="38"/>
      <c r="F15" s="156"/>
      <c r="G15" s="156"/>
      <c r="H15" s="38"/>
      <c r="I15" s="38"/>
      <c r="L15" s="3"/>
      <c r="M15" s="3"/>
      <c r="N15" s="53"/>
      <c r="O15" s="3"/>
      <c r="P15" s="3"/>
      <c r="Q15" s="49"/>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row>
    <row r="16" spans="1:44" ht="15.75" x14ac:dyDescent="0.25">
      <c r="A16" s="620"/>
      <c r="B16" s="1075"/>
      <c r="C16" s="859"/>
      <c r="D16" s="1229" t="s">
        <v>641</v>
      </c>
      <c r="E16" s="1231" t="str">
        <f>'WS0 - Input data'!E$58</f>
        <v>2018-19</v>
      </c>
      <c r="F16" s="1231" t="str">
        <f>'WS0 - Input data'!F$58</f>
        <v>2019-20</v>
      </c>
      <c r="G16" s="1231" t="str">
        <f>'WS0 - Input data'!G$58</f>
        <v>2020-21</v>
      </c>
      <c r="H16" s="1231" t="str">
        <f>'WS0 - Input data'!H$58</f>
        <v>2021-22</v>
      </c>
      <c r="I16" s="1230" t="str">
        <f>'WS0 - Input data'!I$58</f>
        <v>2022-23</v>
      </c>
      <c r="L16" s="3"/>
      <c r="M16" s="3"/>
      <c r="N16" s="5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row>
    <row r="17" spans="1:44" ht="15.75" x14ac:dyDescent="0.25">
      <c r="A17" s="620"/>
      <c r="B17" s="685" t="s">
        <v>717</v>
      </c>
      <c r="C17" s="3"/>
      <c r="D17" s="19"/>
      <c r="E17" s="290"/>
      <c r="F17" s="290"/>
      <c r="G17" s="290"/>
      <c r="H17" s="290"/>
      <c r="I17" s="568"/>
      <c r="L17" s="3"/>
      <c r="M17" s="3"/>
      <c r="N17" s="5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row>
    <row r="18" spans="1:44" ht="15.75" x14ac:dyDescent="0.25">
      <c r="A18" s="620"/>
      <c r="B18" s="1221" t="s">
        <v>731</v>
      </c>
      <c r="C18" s="3"/>
      <c r="D18" s="19" t="s">
        <v>732</v>
      </c>
      <c r="E18" s="1232">
        <v>49915</v>
      </c>
      <c r="F18" s="1232">
        <v>51362</v>
      </c>
      <c r="G18" s="1232">
        <v>52786</v>
      </c>
      <c r="H18" s="1232">
        <v>53908</v>
      </c>
      <c r="I18" s="1222">
        <v>52098</v>
      </c>
      <c r="J18" s="457"/>
      <c r="L18" s="52"/>
      <c r="M18" s="3"/>
      <c r="N18" s="5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row>
    <row r="19" spans="1:44" ht="15.75" x14ac:dyDescent="0.25">
      <c r="A19" s="620"/>
      <c r="B19" s="1221" t="s">
        <v>733</v>
      </c>
      <c r="C19" s="3"/>
      <c r="D19" s="19" t="s">
        <v>732</v>
      </c>
      <c r="E19" s="1232">
        <f>15716+691</f>
        <v>16407</v>
      </c>
      <c r="F19" s="1232">
        <f>15768+693</f>
        <v>16461</v>
      </c>
      <c r="G19" s="1232">
        <f>15826+694</f>
        <v>16520</v>
      </c>
      <c r="H19" s="1232">
        <f>16356+696</f>
        <v>17052</v>
      </c>
      <c r="I19" s="1222">
        <f>16930+647</f>
        <v>17577</v>
      </c>
      <c r="J19" s="457"/>
      <c r="L19" s="52"/>
      <c r="M19" s="3"/>
      <c r="N19" s="5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row>
    <row r="20" spans="1:44" ht="15.75" x14ac:dyDescent="0.25">
      <c r="A20" s="620"/>
      <c r="B20" s="1221" t="s">
        <v>734</v>
      </c>
      <c r="C20" s="3"/>
      <c r="D20" s="19" t="s">
        <v>732</v>
      </c>
      <c r="E20" s="1232">
        <v>18774</v>
      </c>
      <c r="F20" s="1232">
        <v>16305</v>
      </c>
      <c r="G20" s="1232">
        <v>15273</v>
      </c>
      <c r="H20" s="1232">
        <v>12481</v>
      </c>
      <c r="I20" s="1222">
        <v>14953</v>
      </c>
      <c r="L20" s="52"/>
      <c r="M20" s="3"/>
      <c r="N20" s="5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row>
    <row r="21" spans="1:44" ht="15.75" x14ac:dyDescent="0.25">
      <c r="A21" s="620"/>
      <c r="B21" s="1221" t="s">
        <v>735</v>
      </c>
      <c r="C21" s="3"/>
      <c r="D21" s="19" t="s">
        <v>732</v>
      </c>
      <c r="E21" s="1232">
        <v>4261</v>
      </c>
      <c r="F21" s="1232">
        <v>3567</v>
      </c>
      <c r="G21" s="1232">
        <v>2226</v>
      </c>
      <c r="H21" s="1232">
        <v>1590</v>
      </c>
      <c r="I21" s="1222">
        <v>4254</v>
      </c>
      <c r="L21" s="52"/>
      <c r="M21" s="3"/>
      <c r="N21" s="5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row>
    <row r="22" spans="1:44" ht="15.75" x14ac:dyDescent="0.25">
      <c r="A22" s="620"/>
      <c r="B22" s="1221" t="s">
        <v>736</v>
      </c>
      <c r="C22" s="3"/>
      <c r="D22" s="19" t="s">
        <v>732</v>
      </c>
      <c r="E22" s="1232">
        <v>20035</v>
      </c>
      <c r="F22" s="1232">
        <f>7040+10939</f>
        <v>17979</v>
      </c>
      <c r="G22" s="1232">
        <f>4856+11621</f>
        <v>16477</v>
      </c>
      <c r="H22" s="1232">
        <f>4791+11731</f>
        <v>16522</v>
      </c>
      <c r="I22" s="1222">
        <f>7625+12882</f>
        <v>20507</v>
      </c>
      <c r="L22" s="52"/>
      <c r="M22" s="3"/>
      <c r="N22" s="5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75" x14ac:dyDescent="0.25">
      <c r="A23" s="620"/>
      <c r="B23" s="1221" t="s">
        <v>737</v>
      </c>
      <c r="C23" s="3"/>
      <c r="D23" s="19" t="s">
        <v>732</v>
      </c>
      <c r="E23" s="1232">
        <v>6277</v>
      </c>
      <c r="F23" s="1232">
        <v>7257</v>
      </c>
      <c r="G23" s="1232">
        <v>6146</v>
      </c>
      <c r="H23" s="1232">
        <v>7963</v>
      </c>
      <c r="I23" s="1222">
        <v>9579</v>
      </c>
      <c r="L23" s="52"/>
      <c r="M23" s="3"/>
      <c r="N23" s="5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75" x14ac:dyDescent="0.25">
      <c r="A24" s="620"/>
      <c r="B24" s="1221" t="s">
        <v>738</v>
      </c>
      <c r="C24" s="3"/>
      <c r="D24" s="19" t="s">
        <v>732</v>
      </c>
      <c r="E24" s="1232">
        <v>21945</v>
      </c>
      <c r="F24" s="1232">
        <v>25299</v>
      </c>
      <c r="G24" s="1232">
        <v>10046</v>
      </c>
      <c r="H24" s="1232">
        <v>10970</v>
      </c>
      <c r="I24" s="1222">
        <v>17865</v>
      </c>
      <c r="L24" s="52"/>
      <c r="M24" s="3"/>
      <c r="N24" s="5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15.75" x14ac:dyDescent="0.25">
      <c r="A25" s="620"/>
      <c r="B25" s="1223" t="str">
        <f>'WS10 - LTFP'!B34</f>
        <v>Other Income (items excluded from ratio analyis)</v>
      </c>
      <c r="C25" s="3"/>
      <c r="D25" s="19" t="s">
        <v>732</v>
      </c>
      <c r="E25" s="1232"/>
      <c r="F25" s="1232"/>
      <c r="G25" s="1232"/>
      <c r="H25" s="1232"/>
      <c r="I25" s="1222"/>
      <c r="L25" s="52"/>
      <c r="M25" s="3"/>
      <c r="N25" s="5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ht="15.75" x14ac:dyDescent="0.25">
      <c r="A26" s="620"/>
      <c r="B26" s="1221" t="s">
        <v>739</v>
      </c>
      <c r="C26" s="3"/>
      <c r="D26" s="19" t="s">
        <v>732</v>
      </c>
      <c r="E26" s="1232">
        <v>120</v>
      </c>
      <c r="F26" s="1232">
        <v>50</v>
      </c>
      <c r="G26" s="1232">
        <v>169</v>
      </c>
      <c r="H26" s="1232">
        <v>125</v>
      </c>
      <c r="I26" s="1222"/>
      <c r="L26" s="52"/>
      <c r="M26" s="3"/>
      <c r="N26" s="5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ht="15.75" x14ac:dyDescent="0.25">
      <c r="A27" s="620"/>
      <c r="B27" s="1221" t="s">
        <v>740</v>
      </c>
      <c r="C27" s="3"/>
      <c r="D27" s="19" t="s">
        <v>732</v>
      </c>
      <c r="E27" s="1232">
        <v>7751</v>
      </c>
      <c r="F27" s="1232">
        <v>3498</v>
      </c>
      <c r="G27" s="1232">
        <v>2490</v>
      </c>
      <c r="H27" s="1232">
        <v>3906</v>
      </c>
      <c r="I27" s="1222">
        <v>2414</v>
      </c>
      <c r="L27" s="52"/>
      <c r="M27" s="3"/>
      <c r="N27" s="5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ht="15.75" x14ac:dyDescent="0.25">
      <c r="A28" s="620"/>
      <c r="B28" s="1221" t="s">
        <v>741</v>
      </c>
      <c r="C28" s="3"/>
      <c r="D28" s="19" t="s">
        <v>732</v>
      </c>
      <c r="E28" s="1232">
        <v>0</v>
      </c>
      <c r="F28" s="1232">
        <v>0</v>
      </c>
      <c r="G28" s="1232"/>
      <c r="H28" s="1232"/>
      <c r="I28" s="1222"/>
      <c r="L28" s="52"/>
      <c r="M28" s="3"/>
      <c r="N28" s="5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ht="15.75" x14ac:dyDescent="0.25">
      <c r="A29" s="620"/>
      <c r="B29" s="685" t="s">
        <v>742</v>
      </c>
      <c r="C29" s="3"/>
      <c r="D29" s="19" t="s">
        <v>732</v>
      </c>
      <c r="E29" s="1286">
        <f t="shared" ref="E29:F29" si="0">SUM(E18:E28)</f>
        <v>145485</v>
      </c>
      <c r="F29" s="1286">
        <f t="shared" si="0"/>
        <v>141778</v>
      </c>
      <c r="G29" s="1286">
        <f>SUM(G18:G28)</f>
        <v>122133</v>
      </c>
      <c r="H29" s="1286">
        <f t="shared" ref="H29:I29" si="1">SUM(H18:H28)</f>
        <v>124517</v>
      </c>
      <c r="I29" s="1468">
        <f t="shared" si="1"/>
        <v>139247</v>
      </c>
      <c r="L29" s="3"/>
      <c r="M29" s="3"/>
      <c r="N29" s="5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ht="15.75" x14ac:dyDescent="0.25">
      <c r="A30" s="620"/>
      <c r="B30" s="688" t="s">
        <v>743</v>
      </c>
      <c r="C30" s="15"/>
      <c r="D30" s="19" t="s">
        <v>732</v>
      </c>
      <c r="E30" s="1234">
        <f t="shared" ref="E30:F30" si="2">E29-E24</f>
        <v>123540</v>
      </c>
      <c r="F30" s="1234">
        <f t="shared" si="2"/>
        <v>116479</v>
      </c>
      <c r="G30" s="1234">
        <f>G29-G24</f>
        <v>112087</v>
      </c>
      <c r="H30" s="1234">
        <f t="shared" ref="H30:I30" si="3">H29-H24</f>
        <v>113547</v>
      </c>
      <c r="I30" s="1225">
        <f t="shared" si="3"/>
        <v>121382</v>
      </c>
      <c r="L30" s="3"/>
      <c r="M30" s="3"/>
      <c r="N30" s="5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ht="39.75" customHeight="1" x14ac:dyDescent="0.25">
      <c r="A31" s="620"/>
      <c r="B31" s="1226" t="s">
        <v>744</v>
      </c>
      <c r="C31" s="628"/>
      <c r="D31" s="19" t="s">
        <v>732</v>
      </c>
      <c r="E31" s="1234">
        <f t="shared" ref="E31:F31" si="4">E30-SUM(E26:E28)</f>
        <v>115669</v>
      </c>
      <c r="F31" s="1234">
        <f t="shared" si="4"/>
        <v>112931</v>
      </c>
      <c r="G31" s="1234">
        <f>G30-SUM(G26:G28)</f>
        <v>109428</v>
      </c>
      <c r="H31" s="1234">
        <f t="shared" ref="H31:I31" si="5">H30-SUM(H26:H28)</f>
        <v>109516</v>
      </c>
      <c r="I31" s="1225">
        <f t="shared" si="5"/>
        <v>118968</v>
      </c>
      <c r="L31" s="3"/>
      <c r="M31" s="3"/>
      <c r="N31" s="5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ht="15.75" x14ac:dyDescent="0.25">
      <c r="A32" s="620"/>
      <c r="B32" s="685" t="s">
        <v>745</v>
      </c>
      <c r="C32" s="3"/>
      <c r="D32" s="16"/>
      <c r="E32" s="290"/>
      <c r="F32" s="290"/>
      <c r="G32" s="290"/>
      <c r="H32" s="290"/>
      <c r="I32" s="568"/>
      <c r="L32" s="3"/>
      <c r="M32" s="3"/>
      <c r="N32" s="5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15.75" x14ac:dyDescent="0.25">
      <c r="A33" s="620"/>
      <c r="B33" s="1221" t="s">
        <v>746</v>
      </c>
      <c r="C33" s="3"/>
      <c r="D33" s="19" t="s">
        <v>732</v>
      </c>
      <c r="E33" s="1232">
        <v>41273</v>
      </c>
      <c r="F33" s="1232">
        <v>42083</v>
      </c>
      <c r="G33" s="1232">
        <v>41621</v>
      </c>
      <c r="H33" s="1232">
        <v>42314</v>
      </c>
      <c r="I33" s="1222">
        <v>44885</v>
      </c>
      <c r="L33" s="3"/>
      <c r="M33" s="3"/>
      <c r="N33" s="5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ht="15.75" x14ac:dyDescent="0.25">
      <c r="A34" s="620"/>
      <c r="B34" s="1221" t="s">
        <v>747</v>
      </c>
      <c r="C34" s="3"/>
      <c r="D34" s="19" t="s">
        <v>732</v>
      </c>
      <c r="E34" s="1232">
        <v>1166</v>
      </c>
      <c r="F34" s="1232">
        <v>2099</v>
      </c>
      <c r="G34" s="1232">
        <v>2196</v>
      </c>
      <c r="H34" s="1232">
        <v>2083</v>
      </c>
      <c r="I34" s="1222">
        <v>2254</v>
      </c>
      <c r="L34" s="52"/>
      <c r="M34" s="3"/>
      <c r="N34" s="5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ht="15.75" x14ac:dyDescent="0.25">
      <c r="A35" s="620"/>
      <c r="B35" s="1221" t="s">
        <v>748</v>
      </c>
      <c r="C35" s="3"/>
      <c r="D35" s="19" t="s">
        <v>732</v>
      </c>
      <c r="E35" s="1232">
        <v>36345</v>
      </c>
      <c r="F35" s="1232">
        <f>47005</f>
        <v>47005</v>
      </c>
      <c r="G35" s="1232">
        <v>47028</v>
      </c>
      <c r="H35" s="1232">
        <v>47057</v>
      </c>
      <c r="I35" s="1222">
        <v>53698</v>
      </c>
      <c r="L35" s="52"/>
      <c r="M35" s="3"/>
      <c r="N35" s="5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15.75" x14ac:dyDescent="0.25">
      <c r="A36" s="620"/>
      <c r="B36" s="1221" t="s">
        <v>749</v>
      </c>
      <c r="C36" s="3"/>
      <c r="D36" s="19" t="s">
        <v>732</v>
      </c>
      <c r="E36" s="1232">
        <v>16308</v>
      </c>
      <c r="F36" s="1232">
        <v>17308</v>
      </c>
      <c r="G36" s="1232">
        <v>17111</v>
      </c>
      <c r="H36" s="1232">
        <v>18072</v>
      </c>
      <c r="I36" s="1222">
        <v>19916</v>
      </c>
      <c r="L36" s="52"/>
      <c r="M36" s="3"/>
      <c r="N36" s="5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15.75" x14ac:dyDescent="0.25">
      <c r="A37" s="620"/>
      <c r="B37" s="1221" t="s">
        <v>750</v>
      </c>
      <c r="C37" s="3"/>
      <c r="D37" s="19" t="s">
        <v>732</v>
      </c>
      <c r="E37" s="1232">
        <v>0</v>
      </c>
      <c r="F37" s="1232"/>
      <c r="G37" s="1232"/>
      <c r="H37" s="1232"/>
      <c r="I37" s="1222"/>
      <c r="L37" s="52"/>
      <c r="M37" s="3"/>
      <c r="N37" s="5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ht="15.75" x14ac:dyDescent="0.25">
      <c r="A38" s="620"/>
      <c r="B38" s="1221" t="s">
        <v>751</v>
      </c>
      <c r="C38" s="3"/>
      <c r="D38" s="19" t="s">
        <v>732</v>
      </c>
      <c r="E38" s="1232">
        <v>13379</v>
      </c>
      <c r="F38" s="1232">
        <f>3084-317</f>
        <v>2767</v>
      </c>
      <c r="G38" s="1232">
        <f>2953-102</f>
        <v>2851</v>
      </c>
      <c r="H38" s="1232">
        <f>3065-424</f>
        <v>2641</v>
      </c>
      <c r="I38" s="1222">
        <f>3122-59</f>
        <v>3063</v>
      </c>
      <c r="L38" s="52"/>
      <c r="M38" s="3"/>
      <c r="N38" s="5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ht="15.75" x14ac:dyDescent="0.25">
      <c r="A39" s="620"/>
      <c r="B39" s="1221" t="str">
        <f>'WS10 - LTFP'!B53</f>
        <v>Other Expenses (items excluded from ratio analyis)</v>
      </c>
      <c r="C39" s="3"/>
      <c r="D39" s="19" t="s">
        <v>732</v>
      </c>
      <c r="E39" s="1232"/>
      <c r="F39" s="1232"/>
      <c r="G39" s="1232"/>
      <c r="H39" s="1232"/>
      <c r="I39" s="1222"/>
      <c r="L39" s="52"/>
      <c r="M39" s="3"/>
      <c r="N39" s="5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15.75" x14ac:dyDescent="0.25">
      <c r="A40" s="620"/>
      <c r="B40" s="1223" t="s">
        <v>752</v>
      </c>
      <c r="C40" s="3"/>
      <c r="D40" s="19"/>
      <c r="E40" s="1232"/>
      <c r="F40" s="1232"/>
      <c r="G40" s="1232"/>
      <c r="H40" s="1232"/>
      <c r="I40" s="1222"/>
      <c r="L40" s="52"/>
      <c r="M40" s="3"/>
      <c r="N40" s="5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ht="15.75" x14ac:dyDescent="0.25">
      <c r="A41" s="620"/>
      <c r="B41" s="1221" t="s">
        <v>753</v>
      </c>
      <c r="C41" s="3"/>
      <c r="D41" s="19" t="s">
        <v>732</v>
      </c>
      <c r="E41" s="1232"/>
      <c r="F41" s="1232"/>
      <c r="G41" s="1232"/>
      <c r="H41" s="1232"/>
      <c r="I41" s="1222">
        <v>350</v>
      </c>
      <c r="L41" s="52"/>
      <c r="M41" s="3"/>
      <c r="N41" s="5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ht="15.75" x14ac:dyDescent="0.25">
      <c r="A42" s="620"/>
      <c r="B42" s="1221" t="s">
        <v>754</v>
      </c>
      <c r="C42" s="16"/>
      <c r="D42" s="19" t="s">
        <v>732</v>
      </c>
      <c r="E42" s="1232"/>
      <c r="F42" s="1232">
        <v>317</v>
      </c>
      <c r="G42" s="1232">
        <v>102</v>
      </c>
      <c r="H42" s="1232">
        <v>424</v>
      </c>
      <c r="I42" s="1222">
        <v>59</v>
      </c>
      <c r="L42" s="52"/>
      <c r="M42" s="3"/>
      <c r="N42" s="5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15.75" x14ac:dyDescent="0.25">
      <c r="A43" s="620"/>
      <c r="B43" s="1221" t="s">
        <v>741</v>
      </c>
      <c r="C43" s="16"/>
      <c r="D43" s="19" t="s">
        <v>732</v>
      </c>
      <c r="E43" s="1232"/>
      <c r="F43" s="1232"/>
      <c r="G43" s="1232"/>
      <c r="H43" s="1232"/>
      <c r="I43" s="1222"/>
      <c r="L43" s="52"/>
      <c r="M43" s="3"/>
      <c r="N43" s="5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15.75" x14ac:dyDescent="0.25">
      <c r="A44" s="620"/>
      <c r="B44" s="685" t="s">
        <v>755</v>
      </c>
      <c r="C44" s="16"/>
      <c r="D44" s="19" t="s">
        <v>732</v>
      </c>
      <c r="E44" s="1233">
        <f>SUM(E33:E43)</f>
        <v>108471</v>
      </c>
      <c r="F44" s="1233">
        <f>SUM(F33:F43)</f>
        <v>111579</v>
      </c>
      <c r="G44" s="1233">
        <f>SUM(G33:G43)</f>
        <v>110909</v>
      </c>
      <c r="H44" s="1233">
        <f>SUM(H33:H43)</f>
        <v>112591</v>
      </c>
      <c r="I44" s="1224">
        <f>SUM(I33:I43)</f>
        <v>124225</v>
      </c>
      <c r="L44" s="3"/>
      <c r="M44" s="3"/>
      <c r="N44" s="5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15.75" x14ac:dyDescent="0.25">
      <c r="A45" s="620"/>
      <c r="B45" s="688" t="s">
        <v>756</v>
      </c>
      <c r="C45" s="16"/>
      <c r="D45" s="19" t="s">
        <v>732</v>
      </c>
      <c r="E45" s="1234">
        <f t="shared" ref="E45:F45" si="6">E44-E40</f>
        <v>108471</v>
      </c>
      <c r="F45" s="1234">
        <f t="shared" si="6"/>
        <v>111579</v>
      </c>
      <c r="G45" s="1234">
        <f>G44-G40</f>
        <v>110909</v>
      </c>
      <c r="H45" s="1234">
        <f t="shared" ref="H45:I45" si="7">H44-H40</f>
        <v>112591</v>
      </c>
      <c r="I45" s="1225">
        <f t="shared" si="7"/>
        <v>124225</v>
      </c>
      <c r="L45" s="3"/>
      <c r="M45" s="3"/>
      <c r="N45" s="5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32.25" customHeight="1" x14ac:dyDescent="0.25">
      <c r="A46" s="620"/>
      <c r="B46" s="1226" t="s">
        <v>757</v>
      </c>
      <c r="C46" s="1227"/>
      <c r="D46" s="19" t="s">
        <v>732</v>
      </c>
      <c r="E46" s="1234">
        <f t="shared" ref="E46:F46" si="8">E45-SUM(E41:E43)</f>
        <v>108471</v>
      </c>
      <c r="F46" s="1234">
        <f t="shared" si="8"/>
        <v>111262</v>
      </c>
      <c r="G46" s="1234">
        <f>G45-SUM(G41:G43)</f>
        <v>110807</v>
      </c>
      <c r="H46" s="1234">
        <f t="shared" ref="H46:I46" si="9">H45-SUM(H41:H43)</f>
        <v>112167</v>
      </c>
      <c r="I46" s="1225">
        <f t="shared" si="9"/>
        <v>123816</v>
      </c>
      <c r="L46" s="3"/>
      <c r="M46" s="3"/>
      <c r="N46" s="5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15.75" x14ac:dyDescent="0.25">
      <c r="A47" s="620"/>
      <c r="B47" s="299" t="s">
        <v>758</v>
      </c>
      <c r="C47" s="16"/>
      <c r="D47" s="19" t="s">
        <v>732</v>
      </c>
      <c r="E47" s="1197">
        <f>E29-E44</f>
        <v>37014</v>
      </c>
      <c r="F47" s="1197">
        <f>F29-F44</f>
        <v>30199</v>
      </c>
      <c r="G47" s="1197">
        <f>G29-G44</f>
        <v>11224</v>
      </c>
      <c r="H47" s="1197">
        <f>H29-H44</f>
        <v>11926</v>
      </c>
      <c r="I47" s="1188">
        <f>I29-I44</f>
        <v>15022</v>
      </c>
      <c r="L47" s="3"/>
      <c r="M47" s="3"/>
      <c r="N47" s="5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15.75" x14ac:dyDescent="0.25">
      <c r="A48" s="620"/>
      <c r="B48" s="299" t="s">
        <v>759</v>
      </c>
      <c r="C48" s="16"/>
      <c r="D48" s="19" t="s">
        <v>732</v>
      </c>
      <c r="E48" s="1197">
        <f>E30-E44</f>
        <v>15069</v>
      </c>
      <c r="F48" s="1197">
        <f>F30-F44</f>
        <v>4900</v>
      </c>
      <c r="G48" s="1197">
        <f>G30-G44</f>
        <v>1178</v>
      </c>
      <c r="H48" s="1197">
        <f>H30-H44</f>
        <v>956</v>
      </c>
      <c r="I48" s="1188">
        <f>I30-I44</f>
        <v>-2843</v>
      </c>
      <c r="L48" s="3"/>
      <c r="M48" s="3"/>
      <c r="N48" s="5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24.75" x14ac:dyDescent="0.25">
      <c r="A49" s="620"/>
      <c r="B49" s="1226" t="s">
        <v>760</v>
      </c>
      <c r="C49" s="1227"/>
      <c r="D49" s="19" t="s">
        <v>732</v>
      </c>
      <c r="E49" s="1234">
        <f>E31-E46</f>
        <v>7198</v>
      </c>
      <c r="F49" s="1234">
        <f>F31-F46</f>
        <v>1669</v>
      </c>
      <c r="G49" s="1234">
        <f>G31-G46</f>
        <v>-1379</v>
      </c>
      <c r="H49" s="1234">
        <f>H31-H46</f>
        <v>-2651</v>
      </c>
      <c r="I49" s="1225">
        <f>I31-I46</f>
        <v>-4848</v>
      </c>
      <c r="L49" s="3"/>
      <c r="M49" s="3"/>
      <c r="N49" s="5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7.5" customHeight="1" x14ac:dyDescent="0.25">
      <c r="A50" s="620"/>
      <c r="B50" s="688"/>
      <c r="C50" s="16"/>
      <c r="D50" s="19"/>
      <c r="E50" s="1234"/>
      <c r="F50" s="1234"/>
      <c r="G50" s="1234"/>
      <c r="H50" s="1234"/>
      <c r="I50" s="1225"/>
      <c r="L50" s="3"/>
      <c r="M50" s="3"/>
      <c r="N50" s="5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x14ac:dyDescent="0.25">
      <c r="A51" s="620"/>
      <c r="B51" s="299" t="s">
        <v>761</v>
      </c>
      <c r="C51" s="16"/>
      <c r="D51" s="19" t="s">
        <v>108</v>
      </c>
      <c r="E51" s="1235">
        <f>IF(E31=0,0,E49/E31)</f>
        <v>6.2229292204480022E-2</v>
      </c>
      <c r="F51" s="1235">
        <f>IF(F31=0,0,F49/F31)</f>
        <v>1.477893581036208E-2</v>
      </c>
      <c r="G51" s="1235">
        <f>IF(G31=0,0,G49/G31)</f>
        <v>-1.2601893482472494E-2</v>
      </c>
      <c r="H51" s="1235">
        <f>IF(H31=0,0,H49/H31)</f>
        <v>-2.4206508638007232E-2</v>
      </c>
      <c r="I51" s="1228">
        <f>IF(I31=0,0,I49/I31)</f>
        <v>-4.075045390357071E-2</v>
      </c>
      <c r="L51" s="3"/>
      <c r="M51" s="3"/>
      <c r="N51" s="5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9" customHeight="1" x14ac:dyDescent="0.25">
      <c r="A52" s="620"/>
      <c r="B52" s="344"/>
      <c r="C52" s="140"/>
      <c r="D52" s="140"/>
      <c r="E52" s="776"/>
      <c r="F52" s="776"/>
      <c r="G52" s="776"/>
      <c r="H52" s="776"/>
      <c r="I52" s="578"/>
      <c r="L52" s="3"/>
      <c r="M52" s="3"/>
      <c r="N52" s="5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x14ac:dyDescent="0.25">
      <c r="A53" s="620"/>
      <c r="B53" s="274" t="s">
        <v>762</v>
      </c>
      <c r="C53" s="3"/>
      <c r="D53" s="3"/>
      <c r="E53" s="3"/>
      <c r="F53" s="3"/>
      <c r="G53" s="3"/>
      <c r="H53" s="3"/>
      <c r="I53" s="3"/>
      <c r="J53" s="3"/>
      <c r="K53" s="3"/>
      <c r="L53" s="3"/>
      <c r="M53" s="3"/>
      <c r="N53" s="5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2" customHeight="1" x14ac:dyDescent="0.25">
      <c r="A54" s="620"/>
      <c r="B54" s="3"/>
      <c r="C54" s="3"/>
      <c r="D54" s="3"/>
      <c r="E54" s="3"/>
      <c r="F54" s="3"/>
      <c r="G54" s="3"/>
      <c r="H54" s="3"/>
      <c r="I54" s="3"/>
      <c r="J54" s="3"/>
      <c r="K54" s="3"/>
      <c r="L54" s="3"/>
      <c r="M54" s="3"/>
      <c r="N54" s="5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2" customHeight="1" x14ac:dyDescent="0.25">
      <c r="A55" s="620"/>
      <c r="B55" s="3"/>
      <c r="C55" s="3"/>
      <c r="D55" s="3"/>
      <c r="E55" s="3"/>
      <c r="F55" s="3"/>
      <c r="G55" s="3"/>
      <c r="H55" s="3"/>
      <c r="I55" s="3"/>
      <c r="J55" s="3"/>
      <c r="K55" s="3"/>
      <c r="L55" s="3"/>
      <c r="M55" s="3"/>
      <c r="N55" s="5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x14ac:dyDescent="0.25">
      <c r="A56" s="620">
        <f>A15+1</f>
        <v>2</v>
      </c>
      <c r="B56" s="461" t="str">
        <f>"Table "&amp;A1&amp;"."&amp;A56&amp;": Borrowing costs and repayments ($'000 nominal)"</f>
        <v>Table 9.2: Borrowing costs and repayments ($'000 nominal)</v>
      </c>
      <c r="C56" s="3"/>
      <c r="D56" s="3"/>
      <c r="E56" s="38"/>
      <c r="F56" s="156"/>
      <c r="G56" s="156"/>
      <c r="H56" s="38"/>
      <c r="I56" s="38"/>
      <c r="L56" s="3"/>
      <c r="M56" s="3"/>
      <c r="N56" s="5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x14ac:dyDescent="0.25">
      <c r="A57" s="620"/>
      <c r="B57" s="1075"/>
      <c r="C57" s="859"/>
      <c r="D57" s="1229" t="s">
        <v>641</v>
      </c>
      <c r="E57" s="1237" t="str">
        <f>E$16</f>
        <v>2018-19</v>
      </c>
      <c r="F57" s="1237" t="str">
        <f>F$16</f>
        <v>2019-20</v>
      </c>
      <c r="G57" s="1237" t="str">
        <f>G$16</f>
        <v>2020-21</v>
      </c>
      <c r="H57" s="1237" t="str">
        <f>H$16</f>
        <v>2021-22</v>
      </c>
      <c r="I57" s="1236" t="str">
        <f>I$16</f>
        <v>2022-23</v>
      </c>
      <c r="L57" s="3"/>
      <c r="M57" s="3"/>
      <c r="N57" s="5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5.75" x14ac:dyDescent="0.25">
      <c r="A58" s="620"/>
      <c r="B58" s="299"/>
      <c r="C58" s="3"/>
      <c r="D58" s="19"/>
      <c r="E58" s="290"/>
      <c r="F58" s="290"/>
      <c r="G58" s="290"/>
      <c r="H58" s="290"/>
      <c r="I58" s="568"/>
      <c r="L58" s="3"/>
      <c r="M58" s="3"/>
      <c r="N58" s="5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x14ac:dyDescent="0.25">
      <c r="A59" s="620"/>
      <c r="B59" s="1221" t="s">
        <v>763</v>
      </c>
      <c r="C59" s="3"/>
      <c r="D59" s="19" t="s">
        <v>732</v>
      </c>
      <c r="E59" s="1232">
        <v>1614</v>
      </c>
      <c r="F59" s="1232">
        <v>1576</v>
      </c>
      <c r="G59" s="1232">
        <v>1517</v>
      </c>
      <c r="H59" s="1232">
        <v>1528</v>
      </c>
      <c r="I59" s="1222">
        <v>1628</v>
      </c>
      <c r="L59" s="3"/>
      <c r="M59" s="3"/>
      <c r="N59" s="5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5.75" x14ac:dyDescent="0.25">
      <c r="A60" s="620"/>
      <c r="B60" s="1221" t="s">
        <v>764</v>
      </c>
      <c r="C60" s="3"/>
      <c r="D60" s="19" t="s">
        <v>732</v>
      </c>
      <c r="E60" s="1232">
        <v>1699</v>
      </c>
      <c r="F60" s="1232">
        <v>1779</v>
      </c>
      <c r="G60" s="1232">
        <v>1381</v>
      </c>
      <c r="H60" s="1232">
        <v>1431</v>
      </c>
      <c r="I60" s="1222">
        <v>1486</v>
      </c>
      <c r="L60" s="3"/>
      <c r="M60" s="3"/>
      <c r="N60" s="5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5.75" x14ac:dyDescent="0.25">
      <c r="A61" s="620"/>
      <c r="B61" s="344"/>
      <c r="C61" s="140"/>
      <c r="D61" s="140"/>
      <c r="E61" s="776"/>
      <c r="F61" s="776"/>
      <c r="G61" s="776"/>
      <c r="H61" s="776"/>
      <c r="I61" s="578"/>
      <c r="L61" s="3"/>
      <c r="M61" s="3"/>
      <c r="N61" s="5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2" customHeight="1" x14ac:dyDescent="0.25">
      <c r="A62" s="620"/>
      <c r="B62" s="3" t="s">
        <v>765</v>
      </c>
      <c r="C62" s="3"/>
      <c r="D62" s="3"/>
      <c r="E62" s="3"/>
      <c r="F62" s="3"/>
      <c r="G62" s="3"/>
      <c r="H62" s="3"/>
      <c r="I62" s="3"/>
      <c r="J62" s="3"/>
      <c r="L62" s="3"/>
      <c r="M62" s="3"/>
      <c r="N62" s="5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2" customHeight="1" x14ac:dyDescent="0.25">
      <c r="A63" s="620"/>
      <c r="B63" s="3"/>
      <c r="C63" s="3"/>
      <c r="D63" s="3"/>
      <c r="E63" s="3"/>
      <c r="F63" s="3"/>
      <c r="G63" s="3"/>
      <c r="H63" s="3"/>
      <c r="I63" s="3"/>
      <c r="J63" s="3"/>
      <c r="L63" s="3"/>
      <c r="M63" s="3"/>
      <c r="N63" s="5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2" customHeight="1" x14ac:dyDescent="0.25">
      <c r="A64" s="620"/>
      <c r="B64" s="3"/>
      <c r="C64" s="3"/>
      <c r="D64" s="3"/>
      <c r="E64" s="3"/>
      <c r="F64" s="3"/>
      <c r="G64" s="3"/>
      <c r="H64" s="3"/>
      <c r="I64" s="3"/>
      <c r="J64" s="3"/>
      <c r="K64" s="3"/>
      <c r="L64" s="3"/>
      <c r="M64" s="3"/>
      <c r="N64" s="5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x14ac:dyDescent="0.25">
      <c r="A65" s="620">
        <f>A56+1</f>
        <v>3</v>
      </c>
      <c r="B65" s="461" t="str">
        <f>"Table "&amp;A1&amp;"."&amp;A65&amp;": Infrastructure asset performance indicators by fund (%)"</f>
        <v>Table 9.3: Infrastructure asset performance indicators by fund (%)</v>
      </c>
      <c r="C65" s="3"/>
      <c r="E65" s="38"/>
      <c r="F65" s="156"/>
      <c r="G65" s="156"/>
      <c r="H65" s="38"/>
      <c r="I65" s="38"/>
      <c r="L65" s="3"/>
      <c r="M65" s="3"/>
      <c r="N65" s="5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15.75" x14ac:dyDescent="0.25">
      <c r="A66" s="620"/>
      <c r="B66" s="1075"/>
      <c r="C66" s="859"/>
      <c r="D66" s="1229" t="s">
        <v>641</v>
      </c>
      <c r="E66" s="1237" t="str">
        <f>E$16</f>
        <v>2018-19</v>
      </c>
      <c r="F66" s="1237" t="str">
        <f>F$16</f>
        <v>2019-20</v>
      </c>
      <c r="G66" s="1237" t="str">
        <f>G$16</f>
        <v>2020-21</v>
      </c>
      <c r="H66" s="1237" t="str">
        <f>H$16</f>
        <v>2021-22</v>
      </c>
      <c r="I66" s="1236" t="str">
        <f>I$16</f>
        <v>2022-23</v>
      </c>
      <c r="L66" s="3"/>
      <c r="M66" s="3"/>
      <c r="N66" s="5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15.75" x14ac:dyDescent="0.25">
      <c r="A67" s="620"/>
      <c r="B67" s="299"/>
      <c r="C67" s="3"/>
      <c r="D67" s="19"/>
      <c r="E67" s="290"/>
      <c r="F67" s="290"/>
      <c r="G67" s="290"/>
      <c r="H67" s="290"/>
      <c r="I67" s="568"/>
      <c r="L67" s="3"/>
      <c r="M67" s="3"/>
      <c r="N67" s="5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x14ac:dyDescent="0.25">
      <c r="A68" s="620"/>
      <c r="B68" s="1221" t="s">
        <v>766</v>
      </c>
      <c r="C68" s="3"/>
      <c r="D68" s="19" t="s">
        <v>108</v>
      </c>
      <c r="E68" s="1469">
        <v>1.0221</v>
      </c>
      <c r="F68" s="1469">
        <v>0.8589</v>
      </c>
      <c r="G68" s="1469">
        <v>1.0434000000000001</v>
      </c>
      <c r="H68" s="1469">
        <v>0.83889999999999998</v>
      </c>
      <c r="I68" s="1470">
        <v>0.65390000000000004</v>
      </c>
      <c r="L68" s="3"/>
      <c r="M68" s="3"/>
      <c r="N68" s="5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x14ac:dyDescent="0.25">
      <c r="A69" s="620"/>
      <c r="B69" s="1221" t="s">
        <v>767</v>
      </c>
      <c r="C69" s="3"/>
      <c r="D69" s="19" t="s">
        <v>108</v>
      </c>
      <c r="E69" s="1469">
        <v>1.2800000000000001E-2</v>
      </c>
      <c r="F69" s="1469">
        <v>1.29E-2</v>
      </c>
      <c r="G69" s="1469">
        <v>1.3100000000000001E-2</v>
      </c>
      <c r="H69" s="1469">
        <v>5.7999999999999996E-3</v>
      </c>
      <c r="I69" s="1470">
        <v>1.1900000000000001E-2</v>
      </c>
      <c r="L69" s="3"/>
      <c r="M69" s="3"/>
      <c r="N69" s="5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x14ac:dyDescent="0.2">
      <c r="A70" s="620"/>
      <c r="B70" s="1221" t="s">
        <v>768</v>
      </c>
      <c r="C70" s="3"/>
      <c r="D70" s="19" t="s">
        <v>108</v>
      </c>
      <c r="E70" s="1469">
        <v>1.0001</v>
      </c>
      <c r="F70" s="1469">
        <v>1.0001</v>
      </c>
      <c r="G70" s="1469">
        <v>1.0302</v>
      </c>
      <c r="H70" s="1469">
        <v>1.03</v>
      </c>
      <c r="I70" s="1470">
        <v>1.0339</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x14ac:dyDescent="0.2">
      <c r="A71" s="620"/>
      <c r="B71" s="344"/>
      <c r="C71" s="140"/>
      <c r="D71" s="140"/>
      <c r="E71" s="776"/>
      <c r="F71" s="776"/>
      <c r="G71" s="776"/>
      <c r="H71" s="776"/>
      <c r="I71" s="578"/>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2" customHeight="1" x14ac:dyDescent="0.2">
      <c r="A72" s="620"/>
      <c r="B72" t="s">
        <v>769</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row>
    <row r="73" spans="1:44" ht="12" customHeight="1" x14ac:dyDescent="0.2">
      <c r="A73" s="620"/>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row>
    <row r="74" spans="1:44" x14ac:dyDescent="0.2">
      <c r="A74" s="620"/>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row>
    <row r="75" spans="1:44" ht="15" x14ac:dyDescent="0.25">
      <c r="A75" s="620">
        <f>A65+1</f>
        <v>4</v>
      </c>
      <c r="B75" s="461" t="str">
        <f>"Table "&amp;A1&amp;"."&amp;A75&amp;": Cash and investments (General fund) ($'000 nominal)"</f>
        <v>Table 9.4: Cash and investments (General fund) ($'000 nominal)</v>
      </c>
      <c r="C75" s="3"/>
      <c r="E75" s="38"/>
      <c r="F75" s="156"/>
      <c r="G75" s="156"/>
      <c r="H75" s="38"/>
      <c r="I75" s="38"/>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row>
    <row r="76" spans="1:44" x14ac:dyDescent="0.2">
      <c r="A76" s="620"/>
      <c r="B76" s="1075"/>
      <c r="C76" s="859"/>
      <c r="D76" s="1229" t="s">
        <v>641</v>
      </c>
      <c r="E76" s="859"/>
      <c r="F76" s="859"/>
      <c r="G76" s="859"/>
      <c r="H76" s="1239"/>
      <c r="I76" s="1237" t="str">
        <f>I$16</f>
        <v>2022-23</v>
      </c>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row>
    <row r="77" spans="1:44" x14ac:dyDescent="0.2">
      <c r="A77" s="620"/>
      <c r="B77" s="299"/>
      <c r="C77" s="3"/>
      <c r="D77" s="3"/>
      <c r="E77" s="3"/>
      <c r="F77" s="3"/>
      <c r="G77" s="3"/>
      <c r="I77" s="290"/>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row>
    <row r="78" spans="1:44" x14ac:dyDescent="0.2">
      <c r="A78" s="620"/>
      <c r="B78" s="685" t="s">
        <v>770</v>
      </c>
      <c r="C78" s="3"/>
      <c r="D78" s="3"/>
      <c r="E78" s="3"/>
      <c r="F78" s="3"/>
      <c r="G78" s="3"/>
      <c r="I78" s="1240"/>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row>
    <row r="79" spans="1:44" x14ac:dyDescent="0.2">
      <c r="A79" s="620"/>
      <c r="B79" s="1221" t="s">
        <v>771</v>
      </c>
      <c r="C79" s="3"/>
      <c r="D79" s="19" t="s">
        <v>732</v>
      </c>
      <c r="E79" s="3"/>
      <c r="F79" s="3"/>
      <c r="G79" s="3"/>
      <c r="I79" s="1232">
        <v>1214</v>
      </c>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row>
    <row r="80" spans="1:44" x14ac:dyDescent="0.2">
      <c r="A80" s="620"/>
      <c r="B80" s="1221" t="s">
        <v>772</v>
      </c>
      <c r="C80" s="3"/>
      <c r="D80" s="19" t="s">
        <v>732</v>
      </c>
      <c r="E80" s="3"/>
      <c r="F80" s="3"/>
      <c r="G80" s="3"/>
      <c r="I80" s="1232">
        <v>11362</v>
      </c>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row>
    <row r="81" spans="1:42" x14ac:dyDescent="0.2">
      <c r="A81" s="620"/>
      <c r="B81" s="299" t="s">
        <v>656</v>
      </c>
      <c r="C81" s="3"/>
      <c r="D81" s="19" t="s">
        <v>732</v>
      </c>
      <c r="E81" s="3"/>
      <c r="F81" s="3"/>
      <c r="G81" s="3"/>
      <c r="I81" s="1233">
        <f>SUM(I79:I80)</f>
        <v>12576</v>
      </c>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row>
    <row r="82" spans="1:42" x14ac:dyDescent="0.2">
      <c r="A82" s="620"/>
      <c r="B82" s="299"/>
      <c r="C82" s="3"/>
      <c r="D82" s="19"/>
      <c r="E82" s="3"/>
      <c r="F82" s="3"/>
      <c r="G82" s="3"/>
      <c r="I82" s="123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row>
    <row r="83" spans="1:42" x14ac:dyDescent="0.2">
      <c r="A83" s="620"/>
      <c r="B83" s="685" t="s">
        <v>773</v>
      </c>
      <c r="C83" s="3"/>
      <c r="D83" s="19"/>
      <c r="E83" s="3"/>
      <c r="F83" s="3"/>
      <c r="G83" s="3"/>
      <c r="I83" s="290"/>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row>
    <row r="84" spans="1:42" x14ac:dyDescent="0.2">
      <c r="A84" s="620"/>
      <c r="B84" s="1221" t="s">
        <v>774</v>
      </c>
      <c r="C84" s="3"/>
      <c r="D84" s="19" t="s">
        <v>732</v>
      </c>
      <c r="E84" s="3"/>
      <c r="F84" s="3"/>
      <c r="G84" s="3"/>
      <c r="I84" s="1232">
        <v>167000</v>
      </c>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row>
    <row r="85" spans="1:42" x14ac:dyDescent="0.2">
      <c r="A85" s="620"/>
      <c r="B85" s="1221" t="s">
        <v>775</v>
      </c>
      <c r="C85" s="3"/>
      <c r="D85" s="19" t="s">
        <v>732</v>
      </c>
      <c r="E85" s="3"/>
      <c r="F85" s="3"/>
      <c r="G85" s="3"/>
      <c r="I85" s="1232">
        <v>21000</v>
      </c>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row>
    <row r="86" spans="1:42" x14ac:dyDescent="0.2">
      <c r="A86" s="620"/>
      <c r="B86" s="299" t="s">
        <v>656</v>
      </c>
      <c r="C86" s="3"/>
      <c r="D86" s="19" t="s">
        <v>732</v>
      </c>
      <c r="E86" s="3"/>
      <c r="F86" s="3"/>
      <c r="G86" s="3"/>
      <c r="I86" s="1233">
        <f>SUM(I84:I85)</f>
        <v>188000</v>
      </c>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row>
    <row r="87" spans="1:42" x14ac:dyDescent="0.2">
      <c r="A87" s="620"/>
      <c r="B87" s="299"/>
      <c r="C87" s="3"/>
      <c r="D87" s="19"/>
      <c r="E87" s="3"/>
      <c r="F87" s="3"/>
      <c r="G87" s="3"/>
      <c r="I87" s="290"/>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row>
    <row r="88" spans="1:42" x14ac:dyDescent="0.2">
      <c r="A88" s="620"/>
      <c r="B88" s="685" t="s">
        <v>776</v>
      </c>
      <c r="C88" s="3"/>
      <c r="D88" s="19" t="s">
        <v>732</v>
      </c>
      <c r="E88" s="3"/>
      <c r="F88" s="3"/>
      <c r="G88" s="3"/>
      <c r="I88" s="1233">
        <f>I81+I86</f>
        <v>200576</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row>
    <row r="89" spans="1:42" x14ac:dyDescent="0.2">
      <c r="A89" s="620"/>
      <c r="B89" s="299"/>
      <c r="C89" s="3"/>
      <c r="D89" s="19"/>
      <c r="E89" s="3"/>
      <c r="F89" s="3"/>
      <c r="G89" s="3"/>
      <c r="I89" s="290"/>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row>
    <row r="90" spans="1:42" x14ac:dyDescent="0.2">
      <c r="A90" s="620"/>
      <c r="B90" s="685" t="s">
        <v>777</v>
      </c>
      <c r="C90" s="3"/>
      <c r="D90" s="19"/>
      <c r="E90" s="3"/>
      <c r="F90" s="3"/>
      <c r="G90" s="3"/>
      <c r="I90" s="290"/>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row>
    <row r="91" spans="1:42" x14ac:dyDescent="0.2">
      <c r="A91" s="620"/>
      <c r="B91" s="1221" t="s">
        <v>778</v>
      </c>
      <c r="C91" s="3"/>
      <c r="D91" s="19" t="s">
        <v>732</v>
      </c>
      <c r="E91" s="3"/>
      <c r="F91" s="3"/>
      <c r="G91" s="3"/>
      <c r="I91" s="1232">
        <v>120378</v>
      </c>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row>
    <row r="92" spans="1:42" x14ac:dyDescent="0.2">
      <c r="A92" s="620"/>
      <c r="B92" s="1221" t="s">
        <v>779</v>
      </c>
      <c r="C92" s="3"/>
      <c r="D92" s="19" t="s">
        <v>732</v>
      </c>
      <c r="E92" s="3"/>
      <c r="F92" s="3"/>
      <c r="G92" s="3"/>
      <c r="I92" s="1232">
        <v>64806</v>
      </c>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row>
    <row r="93" spans="1:42" x14ac:dyDescent="0.2">
      <c r="A93" s="620"/>
      <c r="B93" s="1221" t="s">
        <v>780</v>
      </c>
      <c r="C93" s="3"/>
      <c r="D93" s="19" t="s">
        <v>732</v>
      </c>
      <c r="E93" s="3"/>
      <c r="F93" s="3"/>
      <c r="G93" s="3"/>
      <c r="I93" s="1232">
        <v>15392</v>
      </c>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row>
    <row r="94" spans="1:42" x14ac:dyDescent="0.2">
      <c r="A94" s="620"/>
      <c r="B94" s="299" t="s">
        <v>656</v>
      </c>
      <c r="C94" s="3"/>
      <c r="D94" s="19" t="s">
        <v>732</v>
      </c>
      <c r="E94" s="3"/>
      <c r="F94" s="3"/>
      <c r="G94" s="3"/>
      <c r="I94" s="1233">
        <f>SUM(I91:I93)</f>
        <v>200576</v>
      </c>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row>
    <row r="95" spans="1:42" x14ac:dyDescent="0.2">
      <c r="A95" s="620"/>
      <c r="B95" s="1238" t="s">
        <v>77</v>
      </c>
      <c r="C95" s="134"/>
      <c r="D95" s="134"/>
      <c r="E95" s="134"/>
      <c r="F95" s="134"/>
      <c r="G95" s="134"/>
      <c r="I95" s="1241">
        <f>I94-I88</f>
        <v>0</v>
      </c>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row>
    <row r="96" spans="1:42" ht="6" customHeight="1" x14ac:dyDescent="0.2">
      <c r="A96" s="620"/>
      <c r="B96" s="344"/>
      <c r="C96" s="140"/>
      <c r="D96" s="140"/>
      <c r="E96" s="140"/>
      <c r="F96" s="140"/>
      <c r="G96" s="140"/>
      <c r="H96" s="140"/>
      <c r="I96" s="776"/>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row>
    <row r="97" spans="1:42" ht="15" customHeight="1" x14ac:dyDescent="0.2">
      <c r="A97" s="620"/>
      <c r="B97" t="s">
        <v>781</v>
      </c>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row>
    <row r="98" spans="1:42" x14ac:dyDescent="0.2">
      <c r="A98" s="620"/>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row>
    <row r="99" spans="1:42" x14ac:dyDescent="0.2">
      <c r="A99" s="620"/>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row>
    <row r="100" spans="1:42" ht="12.75" x14ac:dyDescent="0.2">
      <c r="A100" s="620">
        <f>A75+1</f>
        <v>5</v>
      </c>
      <c r="B100" s="461" t="str">
        <f>"Table "&amp;A1&amp;"."&amp;A100&amp;": Balance sheet extract (General fund) - historical and forecasts for SV scenario ($'000 nominal)"</f>
        <v>Table 9.5: Balance sheet extract (General fund) - historical and forecasts for SV scenario ($'000 nominal)</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row>
    <row r="101" spans="1:42" ht="15" x14ac:dyDescent="0.25">
      <c r="A101" s="620"/>
      <c r="B101" s="689"/>
      <c r="C101" s="141"/>
      <c r="D101" s="141"/>
      <c r="E101" s="1242"/>
      <c r="F101" s="672"/>
      <c r="G101" s="672"/>
      <c r="H101" s="962"/>
      <c r="I101" s="1244" t="s">
        <v>782</v>
      </c>
      <c r="J101" s="1244" t="s">
        <v>783</v>
      </c>
      <c r="K101" s="1244" t="s">
        <v>783</v>
      </c>
      <c r="L101" s="1244" t="s">
        <v>783</v>
      </c>
      <c r="M101" s="1244" t="s">
        <v>783</v>
      </c>
      <c r="N101" s="1244" t="s">
        <v>783</v>
      </c>
      <c r="O101" s="1244" t="str">
        <f>N101</f>
        <v>Forecast</v>
      </c>
      <c r="P101" s="1244" t="str">
        <f t="shared" ref="P101" si="10">O101</f>
        <v>Forecast</v>
      </c>
      <c r="Q101" s="1244" t="str">
        <f t="shared" ref="Q101" si="11">P101</f>
        <v>Forecast</v>
      </c>
      <c r="R101" s="1244" t="str">
        <f t="shared" ref="R101" si="12">Q101</f>
        <v>Forecast</v>
      </c>
      <c r="S101" s="1244" t="str">
        <f t="shared" ref="S101" si="13">R101</f>
        <v>Forecast</v>
      </c>
      <c r="T101" s="697" t="str">
        <f t="shared" ref="T101" si="14">S101</f>
        <v>Forecast</v>
      </c>
      <c r="U101" s="3"/>
      <c r="V101" s="3"/>
      <c r="W101" s="3"/>
      <c r="X101" s="3"/>
      <c r="Y101" s="3"/>
      <c r="Z101" s="3"/>
      <c r="AA101" s="3"/>
      <c r="AB101" s="3"/>
      <c r="AC101" s="3"/>
      <c r="AD101" s="3"/>
      <c r="AE101" s="3"/>
      <c r="AF101" s="3"/>
      <c r="AG101" s="3"/>
      <c r="AH101" s="3"/>
      <c r="AI101" s="3"/>
      <c r="AJ101" s="3"/>
      <c r="AK101" s="3"/>
      <c r="AL101" s="3"/>
      <c r="AM101" s="3"/>
      <c r="AN101" s="3"/>
      <c r="AO101" s="3"/>
      <c r="AP101" s="3"/>
    </row>
    <row r="102" spans="1:42" x14ac:dyDescent="0.2">
      <c r="A102" s="620"/>
      <c r="B102" s="344"/>
      <c r="C102" s="140"/>
      <c r="D102" s="140"/>
      <c r="E102" s="140"/>
      <c r="F102" s="140"/>
      <c r="G102" s="140"/>
      <c r="H102" s="571"/>
      <c r="I102" s="775" t="str">
        <f>'WS0 - Input data'!I58</f>
        <v>2022-23</v>
      </c>
      <c r="J102" s="775" t="str">
        <f>'WS0 - Input data'!J58</f>
        <v>2023-24</v>
      </c>
      <c r="K102" s="775" t="str">
        <f>'WS0 - Input data'!K58</f>
        <v>2024-25</v>
      </c>
      <c r="L102" s="775" t="str">
        <f>'WS0 - Input data'!L58</f>
        <v>2025-26</v>
      </c>
      <c r="M102" s="775" t="str">
        <f>'WS0 - Input data'!M58</f>
        <v>2026-27</v>
      </c>
      <c r="N102" s="775" t="str">
        <f>'WS0 - Input data'!N58</f>
        <v>2027-28</v>
      </c>
      <c r="O102" s="775" t="str">
        <f>'WS0 - Input data'!O58</f>
        <v>2028-29</v>
      </c>
      <c r="P102" s="775" t="str">
        <f>'WS0 - Input data'!P58</f>
        <v>2029-30</v>
      </c>
      <c r="Q102" s="775" t="str">
        <f>'WS0 - Input data'!Q58</f>
        <v>2030-31</v>
      </c>
      <c r="R102" s="775" t="str">
        <f>'WS0 - Input data'!R58</f>
        <v>2031-32</v>
      </c>
      <c r="S102" s="775" t="str">
        <f>'WS0 - Input data'!S58</f>
        <v>2032-33</v>
      </c>
      <c r="T102" s="1243" t="str">
        <f>'WS0 - Input data'!T58</f>
        <v>2033-34</v>
      </c>
      <c r="U102" s="3"/>
      <c r="V102" s="3"/>
      <c r="W102" s="3"/>
      <c r="X102" s="3"/>
      <c r="Y102" s="3"/>
      <c r="Z102" s="3"/>
      <c r="AA102" s="3"/>
      <c r="AB102" s="3"/>
      <c r="AC102" s="3"/>
      <c r="AD102" s="3"/>
      <c r="AE102" s="3"/>
      <c r="AF102" s="3"/>
      <c r="AG102" s="3"/>
      <c r="AH102" s="3"/>
      <c r="AI102" s="3"/>
      <c r="AJ102" s="3"/>
      <c r="AK102" s="3"/>
      <c r="AL102" s="3"/>
      <c r="AM102" s="3"/>
      <c r="AN102" s="3"/>
      <c r="AO102" s="3"/>
      <c r="AP102" s="3"/>
    </row>
    <row r="103" spans="1:42" x14ac:dyDescent="0.2">
      <c r="A103" s="620"/>
      <c r="B103" s="299"/>
      <c r="C103" s="3"/>
      <c r="D103" s="3"/>
      <c r="E103" s="3"/>
      <c r="F103" s="3"/>
      <c r="G103" s="3"/>
      <c r="I103" s="290"/>
      <c r="J103" s="290"/>
      <c r="K103" s="290"/>
      <c r="L103" s="290"/>
      <c r="M103" s="290"/>
      <c r="N103" s="290"/>
      <c r="O103" s="290"/>
      <c r="P103" s="290"/>
      <c r="Q103" s="290"/>
      <c r="R103" s="290"/>
      <c r="S103" s="290"/>
      <c r="T103" s="568"/>
      <c r="U103" s="3"/>
      <c r="V103" s="3"/>
      <c r="W103" s="3"/>
      <c r="X103" s="3"/>
      <c r="Y103" s="3"/>
      <c r="Z103" s="3"/>
      <c r="AA103" s="3"/>
      <c r="AB103" s="3"/>
      <c r="AC103" s="3"/>
      <c r="AD103" s="3"/>
      <c r="AE103" s="3"/>
      <c r="AF103" s="3"/>
      <c r="AG103" s="3"/>
      <c r="AH103" s="3"/>
      <c r="AI103" s="3"/>
      <c r="AJ103" s="3"/>
      <c r="AK103" s="3"/>
      <c r="AL103" s="3"/>
      <c r="AM103" s="3"/>
      <c r="AN103" s="3"/>
      <c r="AO103" s="3"/>
      <c r="AP103" s="3"/>
    </row>
    <row r="104" spans="1:42" x14ac:dyDescent="0.2">
      <c r="A104" s="620"/>
      <c r="B104" s="685" t="s">
        <v>784</v>
      </c>
      <c r="C104" s="3"/>
      <c r="D104" s="3"/>
      <c r="E104" s="3"/>
      <c r="F104" s="3"/>
      <c r="G104" s="3"/>
      <c r="I104" s="290"/>
      <c r="J104" s="290"/>
      <c r="K104" s="290"/>
      <c r="L104" s="290"/>
      <c r="M104" s="290"/>
      <c r="N104" s="290"/>
      <c r="O104" s="290"/>
      <c r="P104" s="290"/>
      <c r="Q104" s="290"/>
      <c r="R104" s="290"/>
      <c r="S104" s="290"/>
      <c r="T104" s="568"/>
      <c r="U104" s="3"/>
      <c r="V104" s="3"/>
      <c r="W104" s="3"/>
      <c r="X104" s="3"/>
      <c r="Y104" s="3"/>
      <c r="Z104" s="3"/>
      <c r="AA104" s="3"/>
      <c r="AB104" s="3"/>
      <c r="AC104" s="3"/>
      <c r="AD104" s="3"/>
      <c r="AE104" s="3"/>
      <c r="AF104" s="3"/>
      <c r="AG104" s="3"/>
      <c r="AH104" s="3"/>
      <c r="AI104" s="3"/>
      <c r="AJ104" s="3"/>
      <c r="AK104" s="3"/>
      <c r="AL104" s="3"/>
      <c r="AM104" s="3"/>
      <c r="AN104" s="3"/>
      <c r="AO104" s="3"/>
      <c r="AP104" s="3"/>
    </row>
    <row r="105" spans="1:42" x14ac:dyDescent="0.2">
      <c r="A105" s="620"/>
      <c r="B105" s="1221" t="s">
        <v>785</v>
      </c>
      <c r="C105" s="490" t="s">
        <v>774</v>
      </c>
      <c r="D105" s="19" t="s">
        <v>732</v>
      </c>
      <c r="E105" s="3"/>
      <c r="F105" s="3"/>
      <c r="G105" s="3"/>
      <c r="I105" s="1471">
        <f>I81</f>
        <v>12576</v>
      </c>
      <c r="J105" s="1222">
        <v>10000</v>
      </c>
      <c r="K105" s="1632">
        <v>10000</v>
      </c>
      <c r="L105" s="1232">
        <v>15000</v>
      </c>
      <c r="M105" s="1232">
        <v>10000</v>
      </c>
      <c r="N105" s="1232">
        <v>15000</v>
      </c>
      <c r="O105" s="1633">
        <v>15000</v>
      </c>
      <c r="P105" s="1633">
        <v>15000</v>
      </c>
      <c r="Q105" s="1633">
        <v>15000</v>
      </c>
      <c r="R105" s="1633">
        <v>15000</v>
      </c>
      <c r="S105" s="1633">
        <v>15000</v>
      </c>
      <c r="T105" s="1633">
        <v>15000</v>
      </c>
      <c r="U105" s="3"/>
      <c r="V105" s="3"/>
      <c r="W105" s="3"/>
      <c r="X105" s="3"/>
      <c r="Y105" s="3"/>
      <c r="Z105" s="3"/>
      <c r="AA105" s="3"/>
      <c r="AB105" s="3"/>
      <c r="AC105" s="3"/>
      <c r="AD105" s="3"/>
      <c r="AE105" s="3"/>
      <c r="AF105" s="3"/>
      <c r="AG105" s="3"/>
      <c r="AH105" s="3"/>
      <c r="AI105" s="3"/>
      <c r="AJ105" s="3"/>
      <c r="AK105" s="3"/>
      <c r="AL105" s="3"/>
      <c r="AM105" s="3"/>
      <c r="AN105" s="3"/>
      <c r="AO105" s="3"/>
      <c r="AP105" s="3"/>
    </row>
    <row r="106" spans="1:42" x14ac:dyDescent="0.2">
      <c r="A106" s="620"/>
      <c r="B106" s="1221" t="s">
        <v>786</v>
      </c>
      <c r="C106" s="172" t="s">
        <v>774</v>
      </c>
      <c r="D106" s="19" t="s">
        <v>732</v>
      </c>
      <c r="E106" s="3"/>
      <c r="F106" s="3"/>
      <c r="G106" s="3"/>
      <c r="I106" s="1232">
        <v>8738</v>
      </c>
      <c r="J106" s="1232">
        <v>6606.5279946131268</v>
      </c>
      <c r="K106" s="1232">
        <v>7696.3981669385821</v>
      </c>
      <c r="L106" s="1232">
        <v>7924.6685492622109</v>
      </c>
      <c r="M106" s="1232">
        <v>7939.4693848056204</v>
      </c>
      <c r="N106" s="1232">
        <v>8142.0026732168271</v>
      </c>
      <c r="O106" s="1232">
        <v>8388.4610207525202</v>
      </c>
      <c r="P106" s="1232">
        <v>8687.8607268457563</v>
      </c>
      <c r="Q106" s="1232">
        <v>8962.9946095647356</v>
      </c>
      <c r="R106" s="1232">
        <v>9274.4035742164033</v>
      </c>
      <c r="S106" s="1232">
        <v>9603.9432161758214</v>
      </c>
      <c r="T106" s="1222">
        <v>9909.3040459525091</v>
      </c>
      <c r="U106" s="3"/>
      <c r="V106" s="3"/>
      <c r="W106" s="3"/>
      <c r="X106" s="3"/>
      <c r="Y106" s="3"/>
      <c r="Z106" s="3"/>
      <c r="AA106" s="3"/>
      <c r="AB106" s="3"/>
      <c r="AC106" s="3"/>
      <c r="AD106" s="3"/>
      <c r="AE106" s="3"/>
      <c r="AF106" s="3"/>
      <c r="AG106" s="3"/>
      <c r="AH106" s="3"/>
      <c r="AI106" s="3"/>
      <c r="AJ106" s="3"/>
      <c r="AK106" s="3"/>
      <c r="AL106" s="3"/>
      <c r="AM106" s="3"/>
      <c r="AN106" s="3"/>
      <c r="AO106" s="3"/>
      <c r="AP106" s="3"/>
    </row>
    <row r="107" spans="1:42" x14ac:dyDescent="0.2">
      <c r="A107" s="620"/>
      <c r="B107" s="1221" t="s">
        <v>786</v>
      </c>
      <c r="C107" s="172" t="s">
        <v>775</v>
      </c>
      <c r="D107" s="19" t="s">
        <v>732</v>
      </c>
      <c r="E107" s="3"/>
      <c r="F107" s="3"/>
      <c r="G107" s="3"/>
      <c r="I107" s="1232">
        <v>51</v>
      </c>
      <c r="J107" s="1232">
        <v>54.687708714086682</v>
      </c>
      <c r="K107" s="1232">
        <v>59.417355092079816</v>
      </c>
      <c r="L107" s="1232">
        <v>60.738505615073166</v>
      </c>
      <c r="M107" s="1232">
        <v>62.09929065077845</v>
      </c>
      <c r="N107" s="1232">
        <v>63.50089923863775</v>
      </c>
      <c r="O107" s="1232">
        <v>65.747705318351251</v>
      </c>
      <c r="P107" s="1232">
        <v>67.258766343422266</v>
      </c>
      <c r="Q107" s="1232">
        <v>68.81515920417246</v>
      </c>
      <c r="R107" s="1232">
        <v>70.418243849337443</v>
      </c>
      <c r="S107" s="1232">
        <v>72.069421035589983</v>
      </c>
      <c r="T107" s="1222">
        <v>73.672972599645888</v>
      </c>
      <c r="U107" s="3"/>
      <c r="V107" s="3"/>
      <c r="W107" s="3"/>
      <c r="X107" s="3"/>
      <c r="Y107" s="3"/>
      <c r="Z107" s="3"/>
      <c r="AA107" s="3"/>
      <c r="AB107" s="3"/>
      <c r="AC107" s="3"/>
      <c r="AD107" s="3"/>
      <c r="AE107" s="3"/>
      <c r="AF107" s="3"/>
      <c r="AG107" s="3"/>
      <c r="AH107" s="3"/>
      <c r="AI107" s="3"/>
      <c r="AJ107" s="3"/>
      <c r="AK107" s="3"/>
      <c r="AL107" s="3"/>
      <c r="AM107" s="3"/>
      <c r="AN107" s="3"/>
      <c r="AO107" s="3"/>
      <c r="AP107" s="3"/>
    </row>
    <row r="108" spans="1:42" x14ac:dyDescent="0.2">
      <c r="A108" s="620"/>
      <c r="B108" s="1221" t="s">
        <v>787</v>
      </c>
      <c r="C108" s="172" t="s">
        <v>774</v>
      </c>
      <c r="D108" s="19" t="s">
        <v>732</v>
      </c>
      <c r="E108" s="3"/>
      <c r="F108" s="3"/>
      <c r="G108" s="3"/>
      <c r="I108" s="1471">
        <f>I84</f>
        <v>167000</v>
      </c>
      <c r="J108" s="1222">
        <v>116855.77044283725</v>
      </c>
      <c r="K108" s="1232">
        <v>113081.08157788725</v>
      </c>
      <c r="L108" s="1232">
        <v>114009.47631967746</v>
      </c>
      <c r="M108" s="1232">
        <v>103343.72200068456</v>
      </c>
      <c r="N108" s="1232">
        <v>103518.53897486806</v>
      </c>
      <c r="O108" s="1232">
        <v>108570.53226132653</v>
      </c>
      <c r="P108" s="1232">
        <v>121663.4660277486</v>
      </c>
      <c r="Q108" s="1232">
        <v>133526.80128870075</v>
      </c>
      <c r="R108" s="1232">
        <v>146478.95520338407</v>
      </c>
      <c r="S108" s="1232">
        <v>160563.38352642138</v>
      </c>
      <c r="T108" s="1222">
        <v>173530.02269264564</v>
      </c>
      <c r="U108" s="3"/>
      <c r="V108" s="3"/>
      <c r="W108" s="3"/>
      <c r="X108" s="3"/>
      <c r="Y108" s="3"/>
      <c r="Z108" s="3"/>
      <c r="AA108" s="3"/>
      <c r="AB108" s="3"/>
      <c r="AC108" s="3"/>
      <c r="AD108" s="3"/>
      <c r="AE108" s="3"/>
      <c r="AF108" s="3"/>
      <c r="AG108" s="3"/>
      <c r="AH108" s="3"/>
      <c r="AI108" s="3"/>
      <c r="AJ108" s="3"/>
      <c r="AK108" s="3"/>
      <c r="AL108" s="3"/>
      <c r="AM108" s="3"/>
      <c r="AN108" s="3"/>
      <c r="AO108" s="3"/>
      <c r="AP108" s="3"/>
    </row>
    <row r="109" spans="1:42" x14ac:dyDescent="0.2">
      <c r="A109" s="620"/>
      <c r="B109" s="1221" t="s">
        <v>787</v>
      </c>
      <c r="C109" s="172" t="s">
        <v>775</v>
      </c>
      <c r="D109" s="19" t="s">
        <v>732</v>
      </c>
      <c r="E109" s="3"/>
      <c r="F109" s="3"/>
      <c r="G109" s="3"/>
      <c r="I109" s="1471">
        <f>I85</f>
        <v>21000</v>
      </c>
      <c r="J109" s="1222">
        <v>26183.410735217021</v>
      </c>
      <c r="K109" s="1232">
        <v>25337.631116683046</v>
      </c>
      <c r="L109" s="1232">
        <v>25545.652857985071</v>
      </c>
      <c r="M109" s="1232">
        <v>23155.819432756703</v>
      </c>
      <c r="N109" s="1232">
        <v>23194.989981384198</v>
      </c>
      <c r="O109" s="1232">
        <v>24326.97015446096</v>
      </c>
      <c r="P109" s="1232">
        <v>27260.652087634451</v>
      </c>
      <c r="Q109" s="1232">
        <v>29918.822742365122</v>
      </c>
      <c r="R109" s="1232">
        <v>32820.960690441862</v>
      </c>
      <c r="S109" s="1232">
        <v>35976.802891090454</v>
      </c>
      <c r="T109" s="1222">
        <v>38882.186492242457</v>
      </c>
      <c r="U109" s="3"/>
      <c r="V109" s="3"/>
      <c r="W109" s="3"/>
      <c r="X109" s="3"/>
      <c r="Y109" s="3"/>
      <c r="Z109" s="3"/>
      <c r="AA109" s="3"/>
      <c r="AB109" s="3"/>
      <c r="AC109" s="3"/>
      <c r="AD109" s="3"/>
      <c r="AE109" s="3"/>
      <c r="AF109" s="3"/>
      <c r="AG109" s="3"/>
      <c r="AH109" s="3"/>
      <c r="AI109" s="3"/>
      <c r="AJ109" s="3"/>
      <c r="AK109" s="3"/>
      <c r="AL109" s="3"/>
      <c r="AM109" s="3"/>
      <c r="AN109" s="3"/>
      <c r="AO109" s="3"/>
      <c r="AP109" s="3"/>
    </row>
    <row r="110" spans="1:42" x14ac:dyDescent="0.2">
      <c r="A110" s="620"/>
      <c r="B110" s="299"/>
      <c r="C110" s="3"/>
      <c r="D110" s="74"/>
      <c r="E110" s="3"/>
      <c r="F110" s="3"/>
      <c r="G110" s="3"/>
      <c r="I110" s="1233"/>
      <c r="J110" s="1233"/>
      <c r="K110" s="1233"/>
      <c r="L110" s="1233"/>
      <c r="M110" s="1233"/>
      <c r="N110" s="1233"/>
      <c r="O110" s="1233"/>
      <c r="P110" s="1233"/>
      <c r="Q110" s="1233"/>
      <c r="R110" s="1233"/>
      <c r="S110" s="1233"/>
      <c r="T110" s="1224"/>
      <c r="U110" s="3"/>
      <c r="V110" s="3"/>
      <c r="W110" s="3"/>
      <c r="X110" s="3"/>
      <c r="Y110" s="3"/>
      <c r="Z110" s="3"/>
      <c r="AA110" s="3"/>
      <c r="AB110" s="3"/>
      <c r="AC110" s="3"/>
      <c r="AD110" s="3"/>
      <c r="AE110" s="3"/>
      <c r="AF110" s="3"/>
      <c r="AG110" s="3"/>
      <c r="AH110" s="3"/>
      <c r="AI110" s="3"/>
      <c r="AJ110" s="3"/>
      <c r="AK110" s="3"/>
      <c r="AL110" s="3"/>
      <c r="AM110" s="3"/>
      <c r="AN110" s="3"/>
      <c r="AO110" s="3"/>
      <c r="AP110" s="3"/>
    </row>
    <row r="111" spans="1:42" x14ac:dyDescent="0.2">
      <c r="A111" s="620"/>
      <c r="B111" s="685" t="s">
        <v>788</v>
      </c>
      <c r="C111" s="3"/>
      <c r="D111" s="74"/>
      <c r="E111" s="3"/>
      <c r="F111" s="3"/>
      <c r="G111" s="3"/>
      <c r="I111" s="290"/>
      <c r="J111" s="290"/>
      <c r="K111" s="290"/>
      <c r="L111" s="290"/>
      <c r="M111" s="290"/>
      <c r="N111" s="290"/>
      <c r="O111" s="290"/>
      <c r="P111" s="290"/>
      <c r="Q111" s="290"/>
      <c r="R111" s="290"/>
      <c r="S111" s="290"/>
      <c r="T111" s="568"/>
      <c r="U111" s="3"/>
      <c r="V111" s="3"/>
      <c r="W111" s="3"/>
      <c r="X111" s="3"/>
      <c r="Y111" s="3"/>
      <c r="Z111" s="3"/>
      <c r="AA111" s="3"/>
      <c r="AB111" s="3"/>
      <c r="AC111" s="3"/>
      <c r="AD111" s="3"/>
      <c r="AE111" s="3"/>
      <c r="AF111" s="3"/>
      <c r="AG111" s="3"/>
      <c r="AH111" s="3"/>
      <c r="AI111" s="3"/>
      <c r="AJ111" s="3"/>
      <c r="AK111" s="3"/>
      <c r="AL111" s="3"/>
      <c r="AM111" s="3"/>
      <c r="AN111" s="3"/>
      <c r="AO111" s="3"/>
      <c r="AP111" s="3"/>
    </row>
    <row r="112" spans="1:42" x14ac:dyDescent="0.2">
      <c r="A112" s="620"/>
      <c r="B112" s="1221" t="s">
        <v>789</v>
      </c>
      <c r="C112" s="172" t="s">
        <v>774</v>
      </c>
      <c r="D112" s="19" t="s">
        <v>732</v>
      </c>
      <c r="E112" s="3"/>
      <c r="F112" s="3"/>
      <c r="G112" s="3"/>
      <c r="I112" s="1232">
        <v>24265</v>
      </c>
      <c r="J112" s="1232">
        <v>28739.88757275392</v>
      </c>
      <c r="K112" s="1232">
        <v>29003.050965826475</v>
      </c>
      <c r="L112" s="1232">
        <v>29305.733091604219</v>
      </c>
      <c r="M112" s="1232">
        <v>29707.325559909968</v>
      </c>
      <c r="N112" s="1232">
        <v>30161.873116784613</v>
      </c>
      <c r="O112" s="1232">
        <v>30982.840920896931</v>
      </c>
      <c r="P112" s="1232">
        <v>31363.237193985427</v>
      </c>
      <c r="Q112" s="1232">
        <v>31810.524072842047</v>
      </c>
      <c r="R112" s="1232">
        <v>32314.362097100133</v>
      </c>
      <c r="S112" s="1232">
        <v>32945.921624426541</v>
      </c>
      <c r="T112" s="1222">
        <v>33473.483101240243</v>
      </c>
      <c r="U112" s="3"/>
      <c r="V112" s="3"/>
      <c r="W112" s="3"/>
      <c r="X112" s="3"/>
      <c r="Y112" s="3"/>
      <c r="Z112" s="3"/>
      <c r="AA112" s="3"/>
      <c r="AB112" s="3"/>
      <c r="AC112" s="3"/>
      <c r="AD112" s="3"/>
      <c r="AE112" s="3"/>
      <c r="AF112" s="3"/>
      <c r="AG112" s="3"/>
      <c r="AH112" s="3"/>
      <c r="AI112" s="3"/>
      <c r="AJ112" s="3"/>
      <c r="AK112" s="3"/>
      <c r="AL112" s="3"/>
      <c r="AM112" s="3"/>
      <c r="AN112" s="3"/>
      <c r="AO112" s="3"/>
      <c r="AP112" s="3"/>
    </row>
    <row r="113" spans="1:42" x14ac:dyDescent="0.2">
      <c r="A113" s="620"/>
      <c r="B113" s="1221" t="s">
        <v>789</v>
      </c>
      <c r="C113" s="172" t="s">
        <v>775</v>
      </c>
      <c r="D113" s="19" t="s">
        <v>732</v>
      </c>
      <c r="E113" s="3"/>
      <c r="F113" s="3"/>
      <c r="G113" s="3"/>
      <c r="I113" s="1232">
        <v>0</v>
      </c>
      <c r="J113" s="1232">
        <v>0</v>
      </c>
      <c r="K113" s="1633">
        <v>0</v>
      </c>
      <c r="L113" s="1633">
        <v>0</v>
      </c>
      <c r="M113" s="1633">
        <v>0</v>
      </c>
      <c r="N113" s="1633">
        <v>0</v>
      </c>
      <c r="O113" s="1633">
        <v>0</v>
      </c>
      <c r="P113" s="1633">
        <v>0</v>
      </c>
      <c r="Q113" s="1633">
        <v>0</v>
      </c>
      <c r="R113" s="1633">
        <v>0</v>
      </c>
      <c r="S113" s="1633">
        <v>0</v>
      </c>
      <c r="T113" s="1633">
        <v>0</v>
      </c>
      <c r="U113" s="3"/>
      <c r="V113" s="3"/>
      <c r="W113" s="3"/>
      <c r="X113" s="3"/>
      <c r="Y113" s="3"/>
      <c r="Z113" s="3"/>
      <c r="AA113" s="3"/>
      <c r="AB113" s="3"/>
      <c r="AC113" s="3"/>
      <c r="AD113" s="3"/>
      <c r="AE113" s="3"/>
      <c r="AF113" s="3"/>
      <c r="AG113" s="3"/>
      <c r="AH113" s="3"/>
      <c r="AI113" s="3"/>
      <c r="AJ113" s="3"/>
      <c r="AK113" s="3"/>
      <c r="AL113" s="3"/>
      <c r="AM113" s="3"/>
      <c r="AN113" s="3"/>
      <c r="AO113" s="3"/>
      <c r="AP113" s="3"/>
    </row>
    <row r="114" spans="1:42" x14ac:dyDescent="0.2">
      <c r="A114" s="620"/>
      <c r="B114" s="1221" t="s">
        <v>790</v>
      </c>
      <c r="C114" s="172" t="s">
        <v>774</v>
      </c>
      <c r="D114" s="19" t="s">
        <v>732</v>
      </c>
      <c r="E114" s="3"/>
      <c r="F114" s="3"/>
      <c r="G114" s="3"/>
      <c r="I114" s="1232">
        <v>1280</v>
      </c>
      <c r="J114" s="1232">
        <v>1326.556</v>
      </c>
      <c r="K114" s="1232">
        <v>1376.2239999999999</v>
      </c>
      <c r="L114" s="1232">
        <v>1426.2090000000001</v>
      </c>
      <c r="M114" s="1232">
        <v>1477.691</v>
      </c>
      <c r="N114" s="1232">
        <v>1494.3589999999999</v>
      </c>
      <c r="O114" s="1232">
        <v>1512.981</v>
      </c>
      <c r="P114" s="1232">
        <v>968.77599999999995</v>
      </c>
      <c r="Q114" s="1232">
        <v>796.96400000000006</v>
      </c>
      <c r="R114" s="1232">
        <v>822.53</v>
      </c>
      <c r="S114" s="1232">
        <v>848.91600000000005</v>
      </c>
      <c r="T114" s="1222">
        <v>874.89200000000005</v>
      </c>
      <c r="U114" s="3"/>
      <c r="V114" s="3"/>
      <c r="W114" s="3"/>
      <c r="X114" s="3"/>
      <c r="Y114" s="3"/>
      <c r="Z114" s="3"/>
      <c r="AA114" s="3"/>
      <c r="AB114" s="3"/>
      <c r="AC114" s="3"/>
      <c r="AD114" s="3"/>
      <c r="AE114" s="3"/>
      <c r="AF114" s="3"/>
      <c r="AG114" s="3"/>
      <c r="AH114" s="3"/>
      <c r="AI114" s="3"/>
      <c r="AJ114" s="3"/>
      <c r="AK114" s="3"/>
      <c r="AL114" s="3"/>
      <c r="AM114" s="3"/>
      <c r="AN114" s="3"/>
      <c r="AO114" s="3"/>
      <c r="AP114" s="3"/>
    </row>
    <row r="115" spans="1:42" x14ac:dyDescent="0.2">
      <c r="A115" s="620"/>
      <c r="B115" s="1221" t="s">
        <v>790</v>
      </c>
      <c r="C115" s="172" t="s">
        <v>775</v>
      </c>
      <c r="D115" s="19" t="s">
        <v>732</v>
      </c>
      <c r="E115" s="3"/>
      <c r="F115" s="3"/>
      <c r="G115" s="3"/>
      <c r="I115" s="1232">
        <v>36220</v>
      </c>
      <c r="J115" s="1232">
        <v>35684.107000000004</v>
      </c>
      <c r="K115" s="1232">
        <v>35007.883000000002</v>
      </c>
      <c r="L115" s="1232">
        <v>34281.673999999999</v>
      </c>
      <c r="M115" s="1232">
        <v>33503.983</v>
      </c>
      <c r="N115" s="1232">
        <v>32709.624</v>
      </c>
      <c r="O115" s="1232">
        <v>31896.643</v>
      </c>
      <c r="P115" s="1232">
        <v>31627.866999999998</v>
      </c>
      <c r="Q115" s="1232">
        <v>31530.902999999998</v>
      </c>
      <c r="R115" s="1232">
        <v>31408.373</v>
      </c>
      <c r="S115" s="1232">
        <v>31259.456999999999</v>
      </c>
      <c r="T115" s="1222">
        <v>31136.653666666665</v>
      </c>
      <c r="U115" s="3"/>
      <c r="V115" s="3"/>
      <c r="W115" s="3"/>
      <c r="X115" s="3"/>
      <c r="Y115" s="3"/>
      <c r="Z115" s="3"/>
      <c r="AA115" s="3"/>
      <c r="AB115" s="3"/>
      <c r="AC115" s="3"/>
      <c r="AD115" s="3"/>
      <c r="AE115" s="3"/>
      <c r="AF115" s="3"/>
      <c r="AG115" s="3"/>
      <c r="AH115" s="3"/>
      <c r="AI115" s="3"/>
      <c r="AJ115" s="3"/>
      <c r="AK115" s="3"/>
      <c r="AL115" s="3"/>
      <c r="AM115" s="3"/>
      <c r="AN115" s="3"/>
      <c r="AO115" s="3"/>
      <c r="AP115" s="3"/>
    </row>
    <row r="116" spans="1:42" ht="8.65" customHeight="1" x14ac:dyDescent="0.2">
      <c r="A116" s="620"/>
      <c r="B116" s="344"/>
      <c r="C116" s="140"/>
      <c r="D116" s="140"/>
      <c r="E116" s="140"/>
      <c r="F116" s="140"/>
      <c r="G116" s="140"/>
      <c r="H116" s="571"/>
      <c r="I116" s="776"/>
      <c r="J116" s="776"/>
      <c r="K116" s="776"/>
      <c r="L116" s="776"/>
      <c r="M116" s="776"/>
      <c r="N116" s="776"/>
      <c r="O116" s="776"/>
      <c r="P116" s="776"/>
      <c r="Q116" s="776"/>
      <c r="R116" s="776"/>
      <c r="S116" s="776"/>
      <c r="T116" s="578"/>
      <c r="U116" s="3"/>
      <c r="V116" s="3"/>
      <c r="W116" s="3"/>
      <c r="X116" s="3"/>
      <c r="Y116" s="3"/>
      <c r="Z116" s="3"/>
      <c r="AA116" s="3"/>
      <c r="AB116" s="3"/>
      <c r="AC116" s="3"/>
      <c r="AD116" s="3"/>
      <c r="AE116" s="3"/>
      <c r="AF116" s="3"/>
      <c r="AG116" s="3"/>
      <c r="AH116" s="3"/>
      <c r="AI116" s="3"/>
      <c r="AJ116" s="3"/>
      <c r="AK116" s="3"/>
      <c r="AL116" s="3"/>
      <c r="AM116" s="3"/>
      <c r="AN116" s="3"/>
      <c r="AO116" s="3"/>
      <c r="AP116" s="3"/>
    </row>
    <row r="117" spans="1:42" ht="11.25" customHeight="1" x14ac:dyDescent="0.2">
      <c r="A117" s="620"/>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row>
    <row r="118" spans="1:42" ht="8.65" customHeight="1" x14ac:dyDescent="0.2">
      <c r="A118" s="620"/>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row>
    <row r="119" spans="1:42" x14ac:dyDescent="0.2">
      <c r="A119" s="620"/>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row>
    <row r="120" spans="1:42" x14ac:dyDescent="0.2">
      <c r="A120" s="620"/>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row>
    <row r="121" spans="1:42" x14ac:dyDescent="0.2">
      <c r="A121" s="620"/>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row>
    <row r="122" spans="1:42" x14ac:dyDescent="0.2">
      <c r="A122" s="620"/>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row>
    <row r="123" spans="1:42" x14ac:dyDescent="0.2">
      <c r="A123" s="620"/>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row>
    <row r="124" spans="1:42" x14ac:dyDescent="0.2">
      <c r="A124" s="620"/>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row>
    <row r="125" spans="1:42" x14ac:dyDescent="0.2">
      <c r="A125" s="620"/>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row>
    <row r="126" spans="1:42" x14ac:dyDescent="0.2">
      <c r="A126" s="620"/>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row>
    <row r="127" spans="1:42" x14ac:dyDescent="0.2">
      <c r="A127" s="620"/>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row>
    <row r="128" spans="1:42" x14ac:dyDescent="0.2">
      <c r="A128" s="620"/>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row>
    <row r="129" spans="1:42" x14ac:dyDescent="0.2">
      <c r="A129" s="620"/>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row>
    <row r="130" spans="1:42" x14ac:dyDescent="0.2">
      <c r="A130" s="620"/>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row>
    <row r="131" spans="1:42" x14ac:dyDescent="0.2">
      <c r="A131" s="620"/>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row>
    <row r="132" spans="1:42" x14ac:dyDescent="0.2">
      <c r="A132" s="620"/>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row>
    <row r="133" spans="1:42" x14ac:dyDescent="0.2">
      <c r="A133" s="620"/>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row>
    <row r="134" spans="1:42" x14ac:dyDescent="0.2">
      <c r="A134" s="620"/>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row>
    <row r="135" spans="1:42" x14ac:dyDescent="0.2">
      <c r="A135" s="620"/>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row>
    <row r="136" spans="1:42" x14ac:dyDescent="0.2">
      <c r="A136" s="620"/>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row>
    <row r="137" spans="1:42" x14ac:dyDescent="0.2">
      <c r="A137" s="620"/>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row>
    <row r="138" spans="1:42" x14ac:dyDescent="0.2">
      <c r="A138" s="620"/>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row>
    <row r="139" spans="1:42" x14ac:dyDescent="0.2">
      <c r="A139" s="620"/>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row>
    <row r="140" spans="1:42" x14ac:dyDescent="0.2">
      <c r="A140" s="620"/>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row>
    <row r="141" spans="1:42" x14ac:dyDescent="0.2">
      <c r="A141" s="620"/>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row>
    <row r="142" spans="1:42" x14ac:dyDescent="0.2">
      <c r="A142" s="620"/>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row>
    <row r="143" spans="1:42" x14ac:dyDescent="0.2">
      <c r="A143" s="620"/>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row>
    <row r="144" spans="1:42" x14ac:dyDescent="0.2">
      <c r="A144" s="620"/>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row>
    <row r="145" spans="1:42" x14ac:dyDescent="0.2">
      <c r="A145" s="620"/>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row>
    <row r="146" spans="1:42" x14ac:dyDescent="0.2">
      <c r="A146" s="620"/>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row>
    <row r="147" spans="1:42" x14ac:dyDescent="0.2">
      <c r="A147" s="620"/>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row>
    <row r="148" spans="1:42" x14ac:dyDescent="0.2">
      <c r="A148" s="620"/>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row>
    <row r="149" spans="1:42" x14ac:dyDescent="0.2">
      <c r="A149" s="620"/>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row>
    <row r="150" spans="1:42" x14ac:dyDescent="0.2">
      <c r="A150" s="620"/>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row>
    <row r="151" spans="1:42" x14ac:dyDescent="0.2">
      <c r="A151" s="620"/>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row>
    <row r="152" spans="1:42" x14ac:dyDescent="0.2">
      <c r="A152" s="620"/>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row>
    <row r="153" spans="1:42" x14ac:dyDescent="0.2">
      <c r="A153" s="620"/>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row>
    <row r="154" spans="1:42" x14ac:dyDescent="0.2">
      <c r="A154" s="620"/>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row>
    <row r="155" spans="1:42" x14ac:dyDescent="0.2">
      <c r="A155" s="620"/>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row>
    <row r="156" spans="1:42" x14ac:dyDescent="0.2">
      <c r="A156" s="620"/>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row>
    <row r="157" spans="1:42" x14ac:dyDescent="0.2">
      <c r="A157" s="620"/>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row>
    <row r="158" spans="1:42" x14ac:dyDescent="0.2">
      <c r="A158" s="620"/>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row>
    <row r="159" spans="1:42" x14ac:dyDescent="0.2">
      <c r="A159" s="620"/>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row>
    <row r="160" spans="1:42" x14ac:dyDescent="0.2">
      <c r="A160" s="620"/>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row>
    <row r="161" spans="1:42" x14ac:dyDescent="0.2">
      <c r="A161" s="620"/>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row>
    <row r="162" spans="1:42" x14ac:dyDescent="0.2">
      <c r="A162" s="620"/>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row>
    <row r="163" spans="1:42" x14ac:dyDescent="0.2">
      <c r="A163" s="620"/>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row>
    <row r="164" spans="1:42" x14ac:dyDescent="0.2">
      <c r="A164" s="620"/>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row>
    <row r="165" spans="1:42" x14ac:dyDescent="0.2">
      <c r="A165" s="620"/>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row>
    <row r="166" spans="1:42" x14ac:dyDescent="0.2">
      <c r="A166" s="620"/>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row>
    <row r="167" spans="1:42" x14ac:dyDescent="0.2">
      <c r="A167" s="620"/>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row>
    <row r="168" spans="1:42" x14ac:dyDescent="0.2">
      <c r="A168" s="620"/>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row>
    <row r="169" spans="1:42" x14ac:dyDescent="0.2">
      <c r="A169" s="620"/>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row>
    <row r="170" spans="1:42" x14ac:dyDescent="0.2">
      <c r="A170" s="620"/>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row>
    <row r="171" spans="1:42" x14ac:dyDescent="0.2">
      <c r="A171" s="620"/>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row>
    <row r="172" spans="1:42" x14ac:dyDescent="0.2">
      <c r="A172" s="620"/>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row>
    <row r="173" spans="1:42" x14ac:dyDescent="0.2">
      <c r="A173" s="620"/>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row>
    <row r="174" spans="1:42" x14ac:dyDescent="0.2">
      <c r="A174" s="620"/>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row>
    <row r="175" spans="1:42" x14ac:dyDescent="0.2">
      <c r="A175" s="620"/>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row>
    <row r="176" spans="1:42" x14ac:dyDescent="0.2">
      <c r="A176" s="620"/>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row>
    <row r="177" spans="1:42" x14ac:dyDescent="0.2">
      <c r="A177" s="620"/>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row>
    <row r="178" spans="1:42" x14ac:dyDescent="0.2">
      <c r="A178" s="620"/>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row>
    <row r="179" spans="1:42" x14ac:dyDescent="0.2">
      <c r="A179" s="620"/>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row>
    <row r="180" spans="1:42" x14ac:dyDescent="0.2">
      <c r="A180" s="620"/>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row>
    <row r="181" spans="1:42" x14ac:dyDescent="0.2">
      <c r="A181" s="620"/>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row>
    <row r="182" spans="1:42" x14ac:dyDescent="0.2">
      <c r="A182" s="620"/>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row>
    <row r="183" spans="1:42" x14ac:dyDescent="0.2">
      <c r="A183" s="620"/>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row>
    <row r="184" spans="1:42" x14ac:dyDescent="0.2">
      <c r="A184" s="620"/>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row>
    <row r="185" spans="1:42" x14ac:dyDescent="0.2">
      <c r="A185" s="620"/>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row>
    <row r="186" spans="1:42" x14ac:dyDescent="0.2">
      <c r="A186" s="620"/>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row>
    <row r="187" spans="1:42" x14ac:dyDescent="0.2">
      <c r="A187" s="620"/>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row>
    <row r="188" spans="1:42" x14ac:dyDescent="0.2">
      <c r="A188" s="620"/>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row>
    <row r="189" spans="1:42" x14ac:dyDescent="0.2">
      <c r="A189" s="620"/>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row>
    <row r="190" spans="1:42" x14ac:dyDescent="0.2">
      <c r="A190" s="620"/>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row>
    <row r="191" spans="1:42" x14ac:dyDescent="0.2">
      <c r="A191" s="620"/>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row>
    <row r="192" spans="1:42" x14ac:dyDescent="0.2">
      <c r="A192" s="620"/>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row>
    <row r="193" spans="1:42" x14ac:dyDescent="0.2">
      <c r="A193" s="620"/>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row>
    <row r="194" spans="1:42" x14ac:dyDescent="0.2">
      <c r="A194" s="620"/>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row>
    <row r="195" spans="1:42" x14ac:dyDescent="0.2">
      <c r="A195" s="620"/>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row>
    <row r="196" spans="1:42" x14ac:dyDescent="0.2">
      <c r="A196" s="620"/>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row>
    <row r="197" spans="1:42" x14ac:dyDescent="0.2">
      <c r="A197" s="620"/>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row>
    <row r="198" spans="1:42" x14ac:dyDescent="0.2">
      <c r="A198" s="620"/>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row>
    <row r="199" spans="1:42" x14ac:dyDescent="0.2">
      <c r="A199" s="620"/>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row>
    <row r="200" spans="1:42" x14ac:dyDescent="0.2">
      <c r="A200" s="620"/>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row>
    <row r="201" spans="1:42" x14ac:dyDescent="0.2">
      <c r="A201" s="620"/>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row>
    <row r="202" spans="1:42" x14ac:dyDescent="0.2">
      <c r="A202" s="620"/>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row>
    <row r="203" spans="1:42" x14ac:dyDescent="0.2">
      <c r="A203" s="620"/>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row>
    <row r="204" spans="1:42" x14ac:dyDescent="0.2">
      <c r="A204" s="620"/>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row>
    <row r="205" spans="1:42" x14ac:dyDescent="0.2">
      <c r="A205" s="620"/>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row>
    <row r="206" spans="1:42" x14ac:dyDescent="0.2">
      <c r="A206" s="620"/>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row>
    <row r="207" spans="1:42" x14ac:dyDescent="0.2">
      <c r="A207" s="620"/>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row>
    <row r="208" spans="1:42" x14ac:dyDescent="0.2">
      <c r="A208" s="620"/>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row>
    <row r="209" spans="1:42" x14ac:dyDescent="0.2">
      <c r="A209" s="620"/>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row>
    <row r="210" spans="1:42" x14ac:dyDescent="0.2">
      <c r="A210" s="620"/>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row>
    <row r="211" spans="1:42" x14ac:dyDescent="0.2">
      <c r="A211" s="620"/>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row>
    <row r="212" spans="1:42" x14ac:dyDescent="0.2">
      <c r="A212" s="620"/>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row>
    <row r="213" spans="1:42" x14ac:dyDescent="0.2">
      <c r="A213" s="620"/>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row>
    <row r="214" spans="1:42" x14ac:dyDescent="0.2">
      <c r="A214" s="620"/>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row>
    <row r="215" spans="1:42" x14ac:dyDescent="0.2">
      <c r="A215" s="620"/>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row>
    <row r="216" spans="1:42" x14ac:dyDescent="0.2">
      <c r="A216" s="620"/>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row>
    <row r="217" spans="1:42" x14ac:dyDescent="0.2">
      <c r="A217" s="620"/>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row>
    <row r="218" spans="1:42" x14ac:dyDescent="0.2">
      <c r="A218" s="620"/>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row>
    <row r="219" spans="1:42" x14ac:dyDescent="0.2">
      <c r="A219" s="620"/>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row>
    <row r="220" spans="1:42" x14ac:dyDescent="0.2">
      <c r="A220" s="620"/>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row>
    <row r="221" spans="1:42" x14ac:dyDescent="0.2">
      <c r="A221" s="620"/>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row>
    <row r="222" spans="1:42" x14ac:dyDescent="0.2">
      <c r="A222" s="620"/>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row>
    <row r="223" spans="1:42" x14ac:dyDescent="0.2">
      <c r="A223" s="620"/>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row>
    <row r="224" spans="1:42" x14ac:dyDescent="0.2">
      <c r="A224" s="620"/>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row>
    <row r="225" spans="1:42" x14ac:dyDescent="0.2">
      <c r="A225" s="620"/>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row>
    <row r="226" spans="1:42" x14ac:dyDescent="0.2">
      <c r="A226" s="620"/>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row>
    <row r="227" spans="1:42" x14ac:dyDescent="0.2">
      <c r="A227" s="620"/>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row>
    <row r="228" spans="1:42" x14ac:dyDescent="0.2">
      <c r="A228" s="620"/>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row>
    <row r="229" spans="1:42" x14ac:dyDescent="0.2">
      <c r="A229" s="620"/>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row>
    <row r="230" spans="1:42" x14ac:dyDescent="0.2">
      <c r="A230" s="620"/>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row>
    <row r="231" spans="1:42" x14ac:dyDescent="0.2">
      <c r="A231" s="620"/>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row>
    <row r="232" spans="1:42" x14ac:dyDescent="0.2">
      <c r="A232" s="620"/>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row>
    <row r="233" spans="1:42" x14ac:dyDescent="0.2">
      <c r="A233" s="620"/>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row>
    <row r="234" spans="1:42" x14ac:dyDescent="0.2">
      <c r="A234" s="620"/>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row>
    <row r="235" spans="1:42" x14ac:dyDescent="0.2">
      <c r="A235" s="620"/>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row>
    <row r="236" spans="1:42" x14ac:dyDescent="0.2">
      <c r="A236" s="620"/>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row>
    <row r="237" spans="1:42" x14ac:dyDescent="0.2">
      <c r="A237" s="620"/>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row>
    <row r="238" spans="1:42" x14ac:dyDescent="0.2">
      <c r="A238" s="620"/>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row>
    <row r="239" spans="1:42" x14ac:dyDescent="0.2">
      <c r="A239" s="620"/>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row>
    <row r="240" spans="1:42" x14ac:dyDescent="0.2">
      <c r="A240" s="620"/>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row>
    <row r="241" spans="1:42" x14ac:dyDescent="0.2">
      <c r="A241" s="620"/>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row>
    <row r="242" spans="1:42" x14ac:dyDescent="0.2">
      <c r="A242" s="620"/>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row>
    <row r="243" spans="1:42" x14ac:dyDescent="0.2">
      <c r="A243" s="620"/>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row>
    <row r="244" spans="1:42" x14ac:dyDescent="0.2">
      <c r="A244" s="620"/>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row>
    <row r="245" spans="1:42" x14ac:dyDescent="0.2">
      <c r="A245" s="620"/>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row>
    <row r="246" spans="1:42" x14ac:dyDescent="0.2">
      <c r="A246" s="620"/>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row>
    <row r="247" spans="1:42" x14ac:dyDescent="0.2">
      <c r="A247" s="620"/>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row>
    <row r="248" spans="1:42" x14ac:dyDescent="0.2">
      <c r="A248" s="620"/>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row>
    <row r="249" spans="1:42" x14ac:dyDescent="0.2">
      <c r="A249" s="620"/>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row>
    <row r="250" spans="1:42" x14ac:dyDescent="0.2">
      <c r="A250" s="620"/>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row>
    <row r="251" spans="1:42" x14ac:dyDescent="0.2">
      <c r="A251" s="620"/>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row>
    <row r="252" spans="1:42" x14ac:dyDescent="0.2">
      <c r="A252" s="620"/>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row>
    <row r="253" spans="1:42" x14ac:dyDescent="0.2">
      <c r="A253" s="620"/>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row>
    <row r="254" spans="1:42" x14ac:dyDescent="0.2">
      <c r="A254" s="620"/>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row>
    <row r="255" spans="1:42" x14ac:dyDescent="0.2">
      <c r="A255" s="620"/>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row>
    <row r="256" spans="1:42" x14ac:dyDescent="0.2">
      <c r="A256" s="620"/>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row>
    <row r="257" spans="1:42" x14ac:dyDescent="0.2">
      <c r="A257" s="620"/>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row>
    <row r="258" spans="1:42" x14ac:dyDescent="0.2">
      <c r="A258" s="620"/>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row>
    <row r="259" spans="1:42" x14ac:dyDescent="0.2">
      <c r="A259" s="620"/>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row>
    <row r="260" spans="1:42" x14ac:dyDescent="0.2">
      <c r="A260" s="620"/>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row>
    <row r="261" spans="1:42" x14ac:dyDescent="0.2">
      <c r="A261" s="620"/>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row>
    <row r="262" spans="1:42" x14ac:dyDescent="0.2">
      <c r="A262" s="620"/>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row>
    <row r="263" spans="1:42" x14ac:dyDescent="0.2">
      <c r="A263" s="620"/>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row>
    <row r="264" spans="1:42" x14ac:dyDescent="0.2">
      <c r="A264" s="620"/>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row>
    <row r="265" spans="1:42" x14ac:dyDescent="0.2">
      <c r="A265" s="620"/>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row>
    <row r="266" spans="1:42" x14ac:dyDescent="0.2">
      <c r="A266" s="620"/>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row>
    <row r="267" spans="1:42" x14ac:dyDescent="0.2">
      <c r="A267" s="620"/>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row>
    <row r="268" spans="1:42" x14ac:dyDescent="0.2">
      <c r="A268" s="620"/>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row>
    <row r="269" spans="1:42" x14ac:dyDescent="0.2">
      <c r="A269" s="62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row>
    <row r="270" spans="1:42" x14ac:dyDescent="0.2">
      <c r="A270" s="620"/>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row>
    <row r="271" spans="1:42" x14ac:dyDescent="0.2">
      <c r="A271" s="620"/>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row>
    <row r="272" spans="1:42" x14ac:dyDescent="0.2">
      <c r="A272" s="620"/>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row>
    <row r="273" spans="1:42" x14ac:dyDescent="0.2">
      <c r="A273" s="620"/>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row>
    <row r="274" spans="1:42" x14ac:dyDescent="0.2">
      <c r="A274" s="620"/>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row>
    <row r="275" spans="1:42" x14ac:dyDescent="0.2">
      <c r="A275" s="620"/>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row>
    <row r="276" spans="1:42" x14ac:dyDescent="0.2">
      <c r="A276" s="620"/>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row>
    <row r="277" spans="1:42" x14ac:dyDescent="0.2">
      <c r="A277" s="62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row>
    <row r="278" spans="1:42" x14ac:dyDescent="0.2">
      <c r="A278" s="620"/>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row>
    <row r="279" spans="1:42" x14ac:dyDescent="0.2">
      <c r="A279" s="620"/>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row>
    <row r="280" spans="1:42" x14ac:dyDescent="0.2">
      <c r="A280" s="620"/>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row>
    <row r="281" spans="1:42" x14ac:dyDescent="0.2">
      <c r="A281" s="620"/>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row>
    <row r="282" spans="1:42" x14ac:dyDescent="0.2">
      <c r="A282" s="620"/>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row>
    <row r="283" spans="1:42" x14ac:dyDescent="0.2">
      <c r="A283" s="620"/>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row>
    <row r="284" spans="1:42" x14ac:dyDescent="0.2">
      <c r="A284" s="620"/>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row>
    <row r="285" spans="1:42" x14ac:dyDescent="0.2">
      <c r="A285" s="620"/>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row>
    <row r="286" spans="1:42" x14ac:dyDescent="0.2">
      <c r="A286" s="620"/>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row>
    <row r="287" spans="1:42" x14ac:dyDescent="0.2">
      <c r="A287" s="620"/>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row>
    <row r="288" spans="1:42" x14ac:dyDescent="0.2">
      <c r="A288" s="620"/>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row>
    <row r="289" spans="1:42" x14ac:dyDescent="0.2">
      <c r="A289" s="620"/>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row>
    <row r="290" spans="1:42" x14ac:dyDescent="0.2">
      <c r="A290" s="620"/>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row>
    <row r="291" spans="1:42" x14ac:dyDescent="0.2">
      <c r="A291" s="620"/>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row>
    <row r="292" spans="1:42" x14ac:dyDescent="0.2">
      <c r="A292" s="620"/>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row>
    <row r="293" spans="1:42" x14ac:dyDescent="0.2">
      <c r="A293" s="620"/>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row>
    <row r="294" spans="1:42" x14ac:dyDescent="0.2">
      <c r="A294" s="620"/>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row>
    <row r="295" spans="1:42" x14ac:dyDescent="0.2">
      <c r="A295" s="620"/>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row>
    <row r="296" spans="1:42" x14ac:dyDescent="0.2">
      <c r="A296" s="620"/>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row>
    <row r="297" spans="1:42" x14ac:dyDescent="0.2">
      <c r="A297" s="620"/>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row>
    <row r="298" spans="1:42" x14ac:dyDescent="0.2">
      <c r="A298" s="620"/>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row>
    <row r="299" spans="1:42" x14ac:dyDescent="0.2">
      <c r="A299" s="620"/>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row>
    <row r="300" spans="1:42" x14ac:dyDescent="0.2">
      <c r="A300" s="620"/>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row>
    <row r="301" spans="1:42" x14ac:dyDescent="0.2">
      <c r="A301" s="620"/>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row>
    <row r="302" spans="1:42" x14ac:dyDescent="0.2">
      <c r="A302" s="620"/>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row>
    <row r="303" spans="1:42" x14ac:dyDescent="0.2">
      <c r="A303" s="620"/>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row>
    <row r="304" spans="1:42" x14ac:dyDescent="0.2">
      <c r="A304" s="620"/>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row>
    <row r="305" spans="1:42" x14ac:dyDescent="0.2">
      <c r="A305" s="620"/>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row>
    <row r="306" spans="1:42" x14ac:dyDescent="0.2">
      <c r="A306" s="620"/>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row>
    <row r="307" spans="1:42" x14ac:dyDescent="0.2">
      <c r="A307" s="620"/>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row>
    <row r="308" spans="1:42" x14ac:dyDescent="0.2">
      <c r="A308" s="620"/>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row>
    <row r="309" spans="1:42" x14ac:dyDescent="0.2">
      <c r="A309" s="620"/>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row>
    <row r="310" spans="1:42" x14ac:dyDescent="0.2">
      <c r="A310" s="620"/>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row>
    <row r="311" spans="1:42" x14ac:dyDescent="0.2">
      <c r="A311" s="620"/>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row>
    <row r="312" spans="1:42" x14ac:dyDescent="0.2">
      <c r="A312" s="620"/>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row>
    <row r="313" spans="1:42" x14ac:dyDescent="0.2">
      <c r="A313" s="620"/>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row>
    <row r="314" spans="1:42" x14ac:dyDescent="0.2">
      <c r="A314" s="620"/>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row>
    <row r="315" spans="1:42" x14ac:dyDescent="0.2">
      <c r="A315" s="620"/>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row>
    <row r="316" spans="1:42" x14ac:dyDescent="0.2">
      <c r="A316" s="620"/>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row>
    <row r="317" spans="1:42" x14ac:dyDescent="0.2">
      <c r="A317" s="620"/>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row>
    <row r="318" spans="1:42" x14ac:dyDescent="0.2">
      <c r="A318" s="620"/>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row>
    <row r="319" spans="1:42" x14ac:dyDescent="0.2">
      <c r="A319" s="620"/>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row>
    <row r="320" spans="1:42" x14ac:dyDescent="0.2">
      <c r="A320" s="620"/>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row>
    <row r="321" spans="1:42" x14ac:dyDescent="0.2">
      <c r="A321" s="620"/>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row>
    <row r="322" spans="1:42" x14ac:dyDescent="0.2">
      <c r="A322" s="620"/>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row>
    <row r="323" spans="1:42" x14ac:dyDescent="0.2">
      <c r="A323" s="620"/>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row>
    <row r="324" spans="1:42" x14ac:dyDescent="0.2">
      <c r="A324" s="620"/>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row>
    <row r="325" spans="1:42" x14ac:dyDescent="0.2">
      <c r="A325" s="620"/>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row>
    <row r="326" spans="1:42" x14ac:dyDescent="0.2">
      <c r="A326" s="620"/>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row>
    <row r="327" spans="1:42" x14ac:dyDescent="0.2">
      <c r="A327" s="620"/>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row>
    <row r="328" spans="1:42" x14ac:dyDescent="0.2">
      <c r="A328" s="620"/>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row>
    <row r="329" spans="1:42" x14ac:dyDescent="0.2">
      <c r="A329" s="620"/>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row>
    <row r="330" spans="1:42" x14ac:dyDescent="0.2">
      <c r="A330" s="620"/>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row>
    <row r="331" spans="1:42" x14ac:dyDescent="0.2">
      <c r="A331" s="620"/>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row>
    <row r="332" spans="1:42" x14ac:dyDescent="0.2">
      <c r="A332" s="620"/>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row>
    <row r="333" spans="1:42" x14ac:dyDescent="0.2">
      <c r="A333" s="620"/>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row>
    <row r="334" spans="1:42" x14ac:dyDescent="0.2">
      <c r="A334" s="620"/>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row>
    <row r="335" spans="1:42" x14ac:dyDescent="0.2">
      <c r="A335" s="620"/>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row>
    <row r="336" spans="1:42" x14ac:dyDescent="0.2">
      <c r="A336" s="620"/>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row>
    <row r="337" spans="1:42" x14ac:dyDescent="0.2">
      <c r="A337" s="620"/>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row>
    <row r="338" spans="1:42" x14ac:dyDescent="0.2">
      <c r="A338" s="620"/>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row>
    <row r="339" spans="1:42" x14ac:dyDescent="0.2">
      <c r="A339" s="620"/>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row>
    <row r="340" spans="1:42" x14ac:dyDescent="0.2">
      <c r="A340" s="620"/>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row>
    <row r="341" spans="1:42" x14ac:dyDescent="0.2">
      <c r="A341" s="620"/>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row>
    <row r="342" spans="1:42" x14ac:dyDescent="0.2">
      <c r="A342" s="620"/>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row>
    <row r="343" spans="1:42" x14ac:dyDescent="0.2">
      <c r="A343" s="620"/>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row>
    <row r="344" spans="1:42" x14ac:dyDescent="0.2">
      <c r="A344" s="620"/>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row>
    <row r="345" spans="1:42" x14ac:dyDescent="0.2">
      <c r="A345" s="620"/>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row>
    <row r="346" spans="1:42" x14ac:dyDescent="0.2">
      <c r="A346" s="620"/>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row>
    <row r="347" spans="1:42" x14ac:dyDescent="0.2">
      <c r="A347" s="620"/>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row>
    <row r="348" spans="1:42" x14ac:dyDescent="0.2">
      <c r="A348" s="620"/>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row>
    <row r="349" spans="1:42" x14ac:dyDescent="0.2">
      <c r="A349" s="620"/>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row>
    <row r="350" spans="1:42" x14ac:dyDescent="0.2">
      <c r="A350" s="620"/>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row>
    <row r="351" spans="1:42" x14ac:dyDescent="0.2">
      <c r="A351" s="620"/>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row>
    <row r="352" spans="1:42" x14ac:dyDescent="0.2">
      <c r="A352" s="620"/>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row>
    <row r="353" spans="1:42" x14ac:dyDescent="0.2">
      <c r="A353" s="620"/>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row>
    <row r="354" spans="1:42" x14ac:dyDescent="0.2">
      <c r="A354" s="620"/>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row>
    <row r="355" spans="1:42" x14ac:dyDescent="0.2">
      <c r="A355" s="620"/>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row>
    <row r="356" spans="1:42" x14ac:dyDescent="0.2">
      <c r="A356" s="620"/>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row>
    <row r="357" spans="1:42" x14ac:dyDescent="0.2">
      <c r="A357" s="620"/>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row>
    <row r="358" spans="1:42" x14ac:dyDescent="0.2">
      <c r="A358" s="620"/>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row>
    <row r="359" spans="1:42" x14ac:dyDescent="0.2">
      <c r="A359" s="620"/>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row>
    <row r="360" spans="1:42" x14ac:dyDescent="0.2">
      <c r="A360" s="620"/>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row>
  </sheetData>
  <sheetProtection algorithmName="SHA-512" hashValue="me1LqNZk7+yKB2F51NwFEt+WNxhMKw6UlSytd0QBhksLm6MJazDL80W1kTecRTqnxuBjW2E63lpvhOlIOFH+1Q==" saltValue="voOJP6gd+dWUMmS15rOTCQ==" spinCount="100000" sheet="1" formatColumns="0" formatRows="0"/>
  <pageMargins left="0.7" right="0.7" top="0.75" bottom="0.75" header="0.3" footer="0.3"/>
  <pageSetup paperSize="9" scale="70" orientation="landscape" r:id="rId1"/>
  <headerFooter>
    <oddHeader>&amp;C&amp;"Calibri"&amp;10&amp;KFF0000 UNOFFICIAL&amp;1#_x000D_</oddHeader>
    <oddFooter>&amp;C_x000D_&amp;1#&amp;"Calibri"&amp;10&amp;KFF0000 UNOFFICIAL</oddFooter>
  </headerFooter>
  <rowBreaks count="2" manualBreakCount="2">
    <brk id="31" max="20" man="1"/>
    <brk id="74" max="20"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BA480"/>
  <sheetViews>
    <sheetView showGridLines="0" topLeftCell="A292" workbookViewId="0">
      <selection activeCell="N333" sqref="N333"/>
    </sheetView>
  </sheetViews>
  <sheetFormatPr defaultColWidth="9.140625" defaultRowHeight="12" outlineLevelRow="2" outlineLevelCol="1" x14ac:dyDescent="0.2"/>
  <cols>
    <col min="1" max="1" width="2.7109375" style="640" customWidth="1"/>
    <col min="2" max="2" width="59.7109375" style="5" customWidth="1"/>
    <col min="3" max="3" width="6.42578125" style="5" customWidth="1"/>
    <col min="4" max="4" width="18.85546875" style="5" customWidth="1"/>
    <col min="5" max="9" width="2.7109375" style="5" hidden="1" customWidth="1" outlineLevel="1"/>
    <col min="10" max="10" width="11.42578125" style="14" bestFit="1" customWidth="1" collapsed="1"/>
    <col min="11" max="12" width="11.42578125" style="14" bestFit="1" customWidth="1"/>
    <col min="13" max="13" width="11.85546875" style="74" bestFit="1" customWidth="1"/>
    <col min="14" max="14" width="11.85546875" style="14" bestFit="1" customWidth="1"/>
    <col min="15" max="16" width="11.42578125" style="14" bestFit="1" customWidth="1"/>
    <col min="17" max="17" width="12.42578125" style="14" customWidth="1"/>
    <col min="18" max="18" width="14.140625" style="14" customWidth="1"/>
    <col min="19" max="19" width="13.42578125" style="14" customWidth="1"/>
    <col min="20" max="20" width="13.140625" style="14" customWidth="1"/>
    <col min="21" max="21" width="14.85546875" style="14" bestFit="1" customWidth="1"/>
    <col min="22" max="22" width="1.42578125" style="14" customWidth="1"/>
    <col min="23" max="23" width="12" style="14" customWidth="1"/>
    <col min="24" max="24" width="12.42578125" style="14" customWidth="1"/>
    <col min="25" max="25" width="3.140625" style="14" customWidth="1"/>
    <col min="26" max="26" width="9.140625" style="14"/>
    <col min="27" max="27" width="15.42578125" style="14" customWidth="1"/>
    <col min="28" max="37" width="9.140625" style="14"/>
    <col min="38" max="38" width="13" style="14" bestFit="1" customWidth="1"/>
    <col min="39" max="46" width="9.140625" style="14"/>
    <col min="47" max="52" width="9.140625" style="5"/>
    <col min="53" max="53" width="11.85546875" style="5" customWidth="1"/>
    <col min="54" max="16384" width="9.140625" style="5"/>
  </cols>
  <sheetData>
    <row r="1" spans="1:46" ht="12.75" thickBot="1" x14ac:dyDescent="0.25">
      <c r="A1" s="622">
        <v>10</v>
      </c>
      <c r="B1" s="1"/>
      <c r="C1" s="1"/>
      <c r="D1" s="1"/>
      <c r="E1" s="1"/>
      <c r="F1" s="1"/>
      <c r="G1" s="1"/>
      <c r="H1" s="1"/>
      <c r="I1" s="1"/>
      <c r="J1" s="16"/>
      <c r="K1" s="16"/>
      <c r="L1" s="16"/>
      <c r="M1" s="19"/>
      <c r="N1" s="16"/>
      <c r="O1" s="16"/>
      <c r="P1" s="16"/>
      <c r="Q1" s="16"/>
      <c r="R1" s="16"/>
      <c r="S1" s="16"/>
      <c r="T1" s="16"/>
      <c r="U1" s="16"/>
      <c r="V1" s="16"/>
      <c r="W1" s="16"/>
      <c r="X1" s="16"/>
      <c r="Y1" s="16"/>
      <c r="Z1" s="16"/>
      <c r="AA1" s="16"/>
      <c r="AB1" s="16"/>
      <c r="AC1" s="16"/>
      <c r="AD1" s="16"/>
      <c r="AE1" s="16"/>
      <c r="AF1" s="16"/>
      <c r="AG1" s="16"/>
      <c r="AH1" s="16"/>
      <c r="AI1" s="16"/>
      <c r="AJ1" s="16"/>
      <c r="AK1" s="16"/>
    </row>
    <row r="2" spans="1:46" ht="15.75" x14ac:dyDescent="0.25">
      <c r="A2" s="622"/>
      <c r="B2" s="1549" t="str">
        <f>'WS1-Application'!B2</f>
        <v>APPLICATION FOR SPECIAL VARIATION - WILLOUGHBY CITY COUNCIL</v>
      </c>
      <c r="C2" s="1550"/>
      <c r="D2" s="1550"/>
      <c r="E2" s="1550"/>
      <c r="F2" s="1550"/>
      <c r="G2" s="1550"/>
      <c r="H2" s="1550"/>
      <c r="I2" s="1550"/>
      <c r="J2" s="1550"/>
      <c r="K2" s="1550"/>
      <c r="L2" s="1550"/>
      <c r="M2" s="1550"/>
      <c r="N2" s="1550"/>
      <c r="O2" s="1550"/>
      <c r="P2" s="1550"/>
      <c r="Q2" s="1550"/>
      <c r="R2" s="1550"/>
      <c r="S2" s="1550"/>
      <c r="T2" s="1550"/>
      <c r="U2" s="1550"/>
      <c r="V2" s="1550"/>
      <c r="W2" s="1550"/>
      <c r="X2" s="1551"/>
      <c r="Y2" s="16"/>
      <c r="Z2" s="16"/>
      <c r="AA2" s="16"/>
      <c r="AB2" s="16"/>
      <c r="AC2" s="16"/>
      <c r="AD2" s="16"/>
      <c r="AE2" s="16"/>
      <c r="AF2" s="16"/>
      <c r="AG2" s="16"/>
      <c r="AH2" s="16"/>
      <c r="AI2" s="16"/>
      <c r="AJ2" s="16"/>
      <c r="AK2" s="16"/>
    </row>
    <row r="3" spans="1:46" s="61" customFormat="1" ht="15" x14ac:dyDescent="0.2">
      <c r="A3" s="622"/>
      <c r="B3" s="1596"/>
      <c r="C3" s="1519"/>
      <c r="D3" s="1519"/>
      <c r="E3" s="1597"/>
      <c r="F3" s="1597"/>
      <c r="G3" s="1597"/>
      <c r="H3" s="1597"/>
      <c r="I3" s="1597"/>
      <c r="J3" s="1598"/>
      <c r="K3" s="1598"/>
      <c r="L3" s="1598"/>
      <c r="M3" s="1598"/>
      <c r="N3" s="1598"/>
      <c r="O3" s="1598"/>
      <c r="P3" s="1598"/>
      <c r="Q3" s="1598"/>
      <c r="R3" s="1598"/>
      <c r="S3" s="1598"/>
      <c r="T3" s="1598"/>
      <c r="U3" s="1598"/>
      <c r="V3" s="1598"/>
      <c r="W3" s="1598"/>
      <c r="X3" s="1599"/>
      <c r="Y3" s="59"/>
      <c r="Z3" s="59"/>
      <c r="AA3" s="59"/>
      <c r="AB3" s="59"/>
      <c r="AC3" s="59"/>
      <c r="AD3" s="59"/>
      <c r="AE3" s="59"/>
      <c r="AF3" s="59"/>
      <c r="AG3" s="59"/>
      <c r="AH3" s="59"/>
      <c r="AI3" s="59"/>
      <c r="AJ3" s="59"/>
      <c r="AK3" s="59"/>
      <c r="AL3" s="60"/>
      <c r="AM3" s="60"/>
      <c r="AN3" s="60"/>
      <c r="AO3" s="60"/>
      <c r="AP3" s="60"/>
      <c r="AQ3" s="60"/>
      <c r="AR3" s="60"/>
      <c r="AS3" s="60"/>
      <c r="AT3" s="60"/>
    </row>
    <row r="4" spans="1:46" s="61" customFormat="1" ht="16.5" thickBot="1" x14ac:dyDescent="0.25">
      <c r="A4" s="622"/>
      <c r="B4" s="1600" t="str">
        <f>"WORKSHEET "&amp;A1&amp;": LONG TERM FINANCIAL PLAN"</f>
        <v>WORKSHEET 10: LONG TERM FINANCIAL PLAN</v>
      </c>
      <c r="C4" s="1554"/>
      <c r="D4" s="1554"/>
      <c r="E4" s="1554"/>
      <c r="F4" s="1554"/>
      <c r="G4" s="1554"/>
      <c r="H4" s="1554"/>
      <c r="I4" s="1554"/>
      <c r="J4" s="1554"/>
      <c r="K4" s="1554"/>
      <c r="L4" s="1554"/>
      <c r="M4" s="1554"/>
      <c r="N4" s="1554"/>
      <c r="O4" s="1554"/>
      <c r="P4" s="1554"/>
      <c r="Q4" s="1554"/>
      <c r="R4" s="1554"/>
      <c r="S4" s="1554"/>
      <c r="T4" s="1554"/>
      <c r="U4" s="1554"/>
      <c r="V4" s="1554"/>
      <c r="W4" s="1554"/>
      <c r="X4" s="1560"/>
      <c r="Y4" s="59"/>
      <c r="Z4" s="59"/>
      <c r="AA4" s="59"/>
      <c r="AB4" s="59"/>
      <c r="AC4" s="59"/>
      <c r="AD4" s="59"/>
      <c r="AE4" s="59"/>
      <c r="AF4" s="59"/>
      <c r="AG4" s="59"/>
      <c r="AH4" s="59"/>
      <c r="AI4" s="59"/>
      <c r="AJ4" s="59"/>
      <c r="AK4" s="59"/>
      <c r="AL4" s="60"/>
      <c r="AM4" s="60"/>
      <c r="AN4" s="60"/>
      <c r="AO4" s="60"/>
      <c r="AP4" s="60"/>
      <c r="AQ4" s="60"/>
      <c r="AR4" s="60"/>
      <c r="AS4" s="60"/>
      <c r="AT4" s="60"/>
    </row>
    <row r="5" spans="1:46" s="61" customFormat="1" ht="12" customHeight="1" x14ac:dyDescent="0.2">
      <c r="A5" s="622"/>
      <c r="B5" s="1"/>
      <c r="C5" s="1"/>
      <c r="D5" s="1"/>
      <c r="E5" s="1"/>
      <c r="F5" s="1"/>
      <c r="G5" s="1"/>
      <c r="H5" s="1"/>
      <c r="I5" s="1"/>
      <c r="J5" s="1"/>
      <c r="K5" s="1"/>
      <c r="L5" s="1"/>
      <c r="M5" s="266"/>
      <c r="N5" s="16"/>
      <c r="O5" s="16"/>
      <c r="P5" s="16"/>
      <c r="Q5" s="16"/>
      <c r="R5" s="16"/>
      <c r="S5" s="16"/>
      <c r="T5" s="16"/>
      <c r="U5" s="16"/>
      <c r="V5" s="16"/>
      <c r="W5" s="59"/>
      <c r="X5" s="59"/>
      <c r="Y5" s="59"/>
      <c r="Z5" s="59"/>
      <c r="AA5" s="59"/>
      <c r="AB5" s="59"/>
      <c r="AC5" s="59"/>
      <c r="AD5" s="59"/>
      <c r="AE5" s="59"/>
      <c r="AF5" s="59"/>
      <c r="AG5" s="59"/>
      <c r="AH5" s="59"/>
      <c r="AI5" s="59"/>
      <c r="AJ5" s="59"/>
      <c r="AK5" s="59"/>
      <c r="AL5" s="60"/>
      <c r="AM5" s="60"/>
      <c r="AN5" s="60"/>
      <c r="AO5" s="60"/>
      <c r="AP5" s="60"/>
      <c r="AQ5" s="60"/>
      <c r="AR5" s="60"/>
      <c r="AS5" s="60"/>
      <c r="AT5" s="60"/>
    </row>
    <row r="6" spans="1:46" s="61" customFormat="1" ht="12" customHeight="1" x14ac:dyDescent="0.2">
      <c r="A6" s="622"/>
      <c r="B6" s="1"/>
      <c r="C6" s="1"/>
      <c r="D6" s="1"/>
      <c r="E6" s="1"/>
      <c r="F6" s="1"/>
      <c r="G6" s="1"/>
      <c r="H6" s="1"/>
      <c r="I6" s="1"/>
      <c r="J6" s="1"/>
      <c r="K6" s="1"/>
      <c r="L6" s="1"/>
      <c r="M6" s="266"/>
      <c r="N6" s="16"/>
      <c r="O6" s="16"/>
      <c r="P6" s="16"/>
      <c r="Q6" s="16"/>
      <c r="R6" s="16"/>
      <c r="S6" s="16"/>
      <c r="T6" s="16"/>
      <c r="U6" s="16"/>
      <c r="V6" s="16"/>
      <c r="W6" s="59"/>
      <c r="X6" s="59"/>
      <c r="Y6" s="59"/>
      <c r="Z6" s="59"/>
      <c r="AA6" s="59"/>
      <c r="AB6" s="59"/>
      <c r="AC6" s="59"/>
      <c r="AD6" s="59"/>
      <c r="AE6" s="59"/>
      <c r="AF6" s="59"/>
      <c r="AG6" s="59"/>
      <c r="AH6" s="59"/>
      <c r="AI6" s="59"/>
      <c r="AJ6" s="59"/>
      <c r="AK6" s="59"/>
      <c r="AL6" s="60"/>
      <c r="AM6" s="60"/>
      <c r="AN6" s="60"/>
      <c r="AO6" s="60"/>
      <c r="AP6" s="60"/>
      <c r="AQ6" s="60"/>
      <c r="AR6" s="60"/>
      <c r="AS6" s="60"/>
      <c r="AT6" s="60"/>
    </row>
    <row r="7" spans="1:46" s="61" customFormat="1" ht="16.5" customHeight="1" x14ac:dyDescent="0.2">
      <c r="A7" s="622"/>
      <c r="B7" s="461" t="s">
        <v>496</v>
      </c>
      <c r="C7" s="1"/>
      <c r="D7" s="1"/>
      <c r="E7" s="1"/>
      <c r="F7" s="1"/>
      <c r="G7" s="1"/>
      <c r="H7" s="1"/>
      <c r="I7" s="1"/>
      <c r="J7" s="1"/>
      <c r="K7" s="1"/>
      <c r="L7" s="1"/>
      <c r="M7" s="266"/>
      <c r="N7" s="16"/>
      <c r="O7" s="16"/>
      <c r="P7" s="16"/>
      <c r="Q7" s="16"/>
      <c r="R7" s="16"/>
      <c r="S7" s="16"/>
      <c r="T7" s="16"/>
      <c r="U7" s="16"/>
      <c r="V7" s="16"/>
      <c r="W7" s="59"/>
      <c r="X7" s="59"/>
      <c r="Y7" s="59"/>
      <c r="Z7" s="59"/>
      <c r="AA7" s="59"/>
      <c r="AB7" s="59"/>
      <c r="AC7" s="59"/>
      <c r="AD7" s="59"/>
      <c r="AE7" s="59"/>
      <c r="AF7" s="59"/>
      <c r="AG7" s="59"/>
      <c r="AH7" s="59"/>
      <c r="AI7" s="59"/>
      <c r="AJ7" s="59"/>
      <c r="AK7" s="59"/>
      <c r="AL7" s="60"/>
      <c r="AM7" s="60"/>
      <c r="AN7" s="60"/>
      <c r="AO7" s="60"/>
      <c r="AP7" s="60"/>
      <c r="AQ7" s="60"/>
      <c r="AR7" s="60"/>
      <c r="AS7" s="60"/>
      <c r="AT7" s="60"/>
    </row>
    <row r="8" spans="1:46" ht="15.75" customHeight="1" x14ac:dyDescent="0.2">
      <c r="A8" s="622"/>
      <c r="B8" s="1246" t="str">
        <f>"- If council is applying for a "&amp;'WS0 - Input data'!B404&amp;" or "&amp;'WS0 - Input data'!B406&amp;": "</f>
        <v xml:space="preserve">- If council is applying for a Special Variation or Special Variation and Minimum Rate Increase: </v>
      </c>
      <c r="C8" s="1247"/>
      <c r="D8" s="1248"/>
      <c r="E8" s="1248"/>
      <c r="F8" s="1248"/>
      <c r="G8" s="1248"/>
      <c r="H8" s="1248"/>
      <c r="I8" s="1248"/>
      <c r="J8" s="1247"/>
      <c r="K8" s="1247"/>
      <c r="L8" s="1247"/>
      <c r="M8" s="1247"/>
      <c r="N8" s="1247"/>
      <c r="O8" s="1247"/>
      <c r="P8" s="1247"/>
      <c r="Q8" s="1247"/>
      <c r="R8" s="1247"/>
      <c r="S8" s="1247"/>
      <c r="T8" s="1247"/>
      <c r="U8" s="1247"/>
      <c r="V8" s="1247"/>
      <c r="W8" s="1247"/>
      <c r="X8" s="1249"/>
      <c r="Y8" s="16"/>
      <c r="Z8" s="16"/>
      <c r="AA8" s="16"/>
      <c r="AB8" s="16"/>
      <c r="AC8" s="16"/>
      <c r="AD8" s="16"/>
      <c r="AE8" s="16"/>
      <c r="AF8" s="16"/>
      <c r="AG8" s="16"/>
      <c r="AH8" s="16"/>
      <c r="AI8" s="16"/>
      <c r="AJ8" s="16"/>
      <c r="AK8" s="16"/>
    </row>
    <row r="9" spans="1:46" x14ac:dyDescent="0.2">
      <c r="A9" s="622"/>
      <c r="B9" s="605" t="s">
        <v>966</v>
      </c>
      <c r="C9" s="88"/>
      <c r="J9" s="88"/>
      <c r="K9" s="88"/>
      <c r="L9" s="88"/>
      <c r="M9" s="88"/>
      <c r="N9" s="88"/>
      <c r="O9" s="88"/>
      <c r="P9" s="88"/>
      <c r="Q9" s="88"/>
      <c r="R9" s="88"/>
      <c r="S9" s="88"/>
      <c r="T9" s="88"/>
      <c r="U9" s="88"/>
      <c r="V9" s="88"/>
      <c r="W9" s="88"/>
      <c r="X9" s="661"/>
      <c r="Y9" s="16"/>
      <c r="Z9" s="16"/>
      <c r="AA9" s="16"/>
      <c r="AB9" s="16"/>
      <c r="AC9" s="16"/>
      <c r="AD9" s="16"/>
      <c r="AE9" s="16"/>
      <c r="AF9" s="16"/>
      <c r="AG9" s="16"/>
      <c r="AH9" s="16"/>
      <c r="AI9" s="16"/>
      <c r="AJ9" s="16"/>
      <c r="AK9" s="16"/>
    </row>
    <row r="10" spans="1:46" x14ac:dyDescent="0.2">
      <c r="A10" s="622"/>
      <c r="B10" s="1250" t="str">
        <f>"- If council is applying for a "&amp;'WS0 - Input data'!B405&amp;" only:"</f>
        <v>- If council is applying for a Minimum Rate Increase only:</v>
      </c>
      <c r="C10" s="88"/>
      <c r="J10" s="88"/>
      <c r="K10" s="88"/>
      <c r="L10" s="88"/>
      <c r="M10" s="88"/>
      <c r="N10" s="88"/>
      <c r="O10" s="88"/>
      <c r="P10" s="88"/>
      <c r="Q10" s="88"/>
      <c r="R10" s="88"/>
      <c r="S10" s="88"/>
      <c r="T10" s="88"/>
      <c r="U10" s="88"/>
      <c r="V10" s="88"/>
      <c r="W10" s="88"/>
      <c r="X10" s="661"/>
      <c r="Y10" s="16"/>
      <c r="Z10" s="16"/>
      <c r="AA10" s="16"/>
      <c r="AB10" s="16"/>
      <c r="AC10" s="16"/>
      <c r="AD10" s="16"/>
      <c r="AE10" s="16"/>
      <c r="AF10" s="16"/>
      <c r="AG10" s="16"/>
      <c r="AH10" s="16"/>
      <c r="AI10" s="16"/>
      <c r="AJ10" s="16"/>
      <c r="AK10" s="16"/>
    </row>
    <row r="11" spans="1:46" x14ac:dyDescent="0.2">
      <c r="A11" s="622"/>
      <c r="B11" s="605" t="str">
        <f>"* then this sheet shows how the council's long term Financial Plan reflects the impact of the proposed minimum rate increase application and only tables "&amp;A1&amp;"."&amp;A21&amp;", "&amp;A1&amp;"."&amp;A75&amp;" and "&amp;A1&amp;A313&amp;" need to be completed."</f>
        <v>* then this sheet shows how the council's long term Financial Plan reflects the impact of the proposed minimum rate increase application and only tables 10.1(a), 10.1(b) and 10.3 need to be completed.</v>
      </c>
      <c r="C11" s="88"/>
      <c r="J11" s="88"/>
      <c r="K11" s="88"/>
      <c r="L11" s="88"/>
      <c r="M11" s="88"/>
      <c r="N11" s="88"/>
      <c r="O11" s="88"/>
      <c r="P11" s="88"/>
      <c r="Q11" s="88"/>
      <c r="R11" s="88"/>
      <c r="S11" s="88"/>
      <c r="T11" s="88"/>
      <c r="U11" s="88"/>
      <c r="V11" s="88"/>
      <c r="W11" s="88"/>
      <c r="X11" s="661"/>
      <c r="Y11" s="16"/>
      <c r="Z11" s="16"/>
      <c r="AA11" s="16"/>
      <c r="AB11" s="16"/>
      <c r="AC11" s="16"/>
      <c r="AD11" s="16"/>
      <c r="AE11" s="16"/>
      <c r="AF11" s="16"/>
      <c r="AG11" s="16"/>
      <c r="AH11" s="16"/>
      <c r="AI11" s="16"/>
      <c r="AJ11" s="16"/>
      <c r="AK11" s="16"/>
    </row>
    <row r="12" spans="1:46" x14ac:dyDescent="0.2">
      <c r="A12" s="622"/>
      <c r="B12" s="1441" t="str">
        <f>"* tables "&amp;A1&amp;"."&amp;A21&amp;", "&amp;A1&amp;"."&amp;A75&amp;", "&amp;A1&amp;A334&amp;" and "&amp;A1&amp;A388&amp;" and rows "&amp;ROW(B318)&amp;", "&amp;ROW(B321)&amp;", "&amp;ROW(B324)&amp;", "&amp;ROW(B327)&amp;" and "&amp;ROW(B330)&amp;" do not need to be completed."</f>
        <v>* tables 10.1(a), 10.1(b), 10.4 and 10.5 and rows 318, 321, 324, 327 and 330 do not need to be completed.</v>
      </c>
      <c r="C12" s="88"/>
      <c r="J12" s="88"/>
      <c r="K12" s="88"/>
      <c r="L12" s="88"/>
      <c r="M12" s="88"/>
      <c r="N12" s="88"/>
      <c r="O12" s="88"/>
      <c r="P12" s="88"/>
      <c r="Q12" s="88"/>
      <c r="R12" s="88"/>
      <c r="S12" s="88"/>
      <c r="T12" s="88"/>
      <c r="U12" s="88"/>
      <c r="V12" s="88"/>
      <c r="W12" s="88"/>
      <c r="X12" s="661"/>
      <c r="Y12" s="16"/>
      <c r="Z12" s="16"/>
      <c r="AA12" s="16"/>
      <c r="AB12" s="16"/>
      <c r="AC12" s="16"/>
      <c r="AD12" s="16"/>
      <c r="AE12" s="16"/>
      <c r="AF12" s="16"/>
      <c r="AG12" s="16"/>
      <c r="AH12" s="16"/>
      <c r="AI12" s="16"/>
      <c r="AJ12" s="16"/>
      <c r="AK12" s="16"/>
    </row>
    <row r="13" spans="1:46" ht="17.649999999999999" customHeight="1" x14ac:dyDescent="0.2">
      <c r="A13" s="622"/>
      <c r="B13" s="1159" t="s">
        <v>791</v>
      </c>
      <c r="C13" s="88"/>
      <c r="J13" s="88"/>
      <c r="K13" s="88"/>
      <c r="L13" s="88"/>
      <c r="M13" s="88"/>
      <c r="N13" s="88"/>
      <c r="O13" s="88"/>
      <c r="P13" s="88"/>
      <c r="Q13" s="88"/>
      <c r="R13" s="88"/>
      <c r="S13" s="88"/>
      <c r="T13" s="88"/>
      <c r="U13" s="88"/>
      <c r="V13" s="88"/>
      <c r="W13" s="88"/>
      <c r="X13" s="661"/>
      <c r="Y13" s="16"/>
      <c r="Z13" s="16"/>
      <c r="AA13" s="16"/>
      <c r="AB13" s="16"/>
      <c r="AC13" s="16"/>
      <c r="AD13" s="16"/>
      <c r="AE13" s="16"/>
      <c r="AF13" s="16"/>
      <c r="AG13" s="16"/>
      <c r="AH13" s="16"/>
      <c r="AI13" s="16"/>
      <c r="AJ13" s="16"/>
      <c r="AK13" s="16"/>
    </row>
    <row r="14" spans="1:46" x14ac:dyDescent="0.2">
      <c r="A14" s="622"/>
      <c r="B14" s="1159" t="s">
        <v>792</v>
      </c>
      <c r="C14" s="88"/>
      <c r="J14" s="88"/>
      <c r="K14" s="88"/>
      <c r="L14" s="88"/>
      <c r="M14" s="88"/>
      <c r="N14" s="88"/>
      <c r="O14" s="88"/>
      <c r="P14" s="88"/>
      <c r="Q14" s="88"/>
      <c r="R14" s="88"/>
      <c r="S14" s="88"/>
      <c r="T14" s="88"/>
      <c r="U14" s="88"/>
      <c r="V14" s="88"/>
      <c r="W14" s="88"/>
      <c r="X14" s="661"/>
      <c r="Y14" s="16"/>
      <c r="Z14" s="16"/>
      <c r="AA14" s="16"/>
      <c r="AB14" s="16"/>
      <c r="AC14" s="16"/>
      <c r="AD14" s="16"/>
      <c r="AE14" s="16"/>
      <c r="AF14" s="16"/>
      <c r="AG14" s="16"/>
      <c r="AH14" s="16"/>
      <c r="AI14" s="16"/>
      <c r="AJ14" s="16"/>
      <c r="AK14" s="16"/>
    </row>
    <row r="15" spans="1:46" ht="15.75" customHeight="1" x14ac:dyDescent="0.2">
      <c r="A15" s="622"/>
      <c r="B15" s="1159" t="str">
        <f>"&gt; In the table 'Key Assumptions' at row "&amp;ROW(B314)&amp;" please enter the key assumptions relating to the Long Term Financial Plan. "</f>
        <v xml:space="preserve">&gt; In the table 'Key Assumptions' at row 314 please enter the key assumptions relating to the Long Term Financial Plan. </v>
      </c>
      <c r="C15" s="88"/>
      <c r="D15" s="88"/>
      <c r="E15" s="88"/>
      <c r="F15" s="88"/>
      <c r="G15" s="88"/>
      <c r="H15" s="88"/>
      <c r="I15" s="88"/>
      <c r="J15" s="88"/>
      <c r="K15" s="88"/>
      <c r="L15" s="88"/>
      <c r="M15" s="88"/>
      <c r="N15" s="88"/>
      <c r="O15" s="88"/>
      <c r="P15" s="88"/>
      <c r="Q15" s="88"/>
      <c r="R15" s="88"/>
      <c r="S15" s="88"/>
      <c r="T15" s="88"/>
      <c r="U15" s="88"/>
      <c r="V15" s="88"/>
      <c r="W15" s="88"/>
      <c r="X15" s="661"/>
      <c r="Y15" s="16"/>
      <c r="Z15" s="16"/>
      <c r="AA15" s="16"/>
      <c r="AB15" s="16"/>
      <c r="AC15" s="16"/>
      <c r="AD15" s="16"/>
      <c r="AE15" s="16"/>
      <c r="AF15" s="16"/>
      <c r="AG15" s="16"/>
      <c r="AH15" s="16"/>
      <c r="AI15" s="16"/>
      <c r="AJ15" s="16"/>
      <c r="AK15" s="16"/>
    </row>
    <row r="16" spans="1:46" ht="15.75" customHeight="1" x14ac:dyDescent="0.2">
      <c r="A16" s="622"/>
      <c r="B16" s="1158" t="s">
        <v>499</v>
      </c>
      <c r="C16" s="88"/>
      <c r="D16" s="88"/>
      <c r="E16" s="88"/>
      <c r="F16" s="88"/>
      <c r="G16" s="88"/>
      <c r="H16" s="88"/>
      <c r="I16" s="88"/>
      <c r="J16" s="88"/>
      <c r="K16" s="88"/>
      <c r="L16" s="88"/>
      <c r="M16" s="88"/>
      <c r="N16" s="88"/>
      <c r="O16" s="88"/>
      <c r="P16" s="88"/>
      <c r="Q16" s="88"/>
      <c r="R16" s="88"/>
      <c r="S16" s="88"/>
      <c r="T16" s="88"/>
      <c r="U16" s="88"/>
      <c r="V16" s="88"/>
      <c r="W16" s="88"/>
      <c r="X16" s="661"/>
      <c r="Y16" s="16"/>
      <c r="Z16" s="16"/>
      <c r="AA16" s="16"/>
      <c r="AB16" s="16"/>
      <c r="AC16" s="16"/>
      <c r="AD16" s="16"/>
      <c r="AE16" s="16"/>
      <c r="AF16" s="16"/>
      <c r="AG16" s="16"/>
      <c r="AH16" s="16"/>
      <c r="AI16" s="16"/>
      <c r="AJ16" s="16"/>
      <c r="AK16" s="16"/>
    </row>
    <row r="17" spans="1:37" x14ac:dyDescent="0.2">
      <c r="A17" s="622"/>
      <c r="B17" s="1159" t="s">
        <v>793</v>
      </c>
      <c r="C17" s="88"/>
      <c r="J17" s="88"/>
      <c r="K17" s="88"/>
      <c r="L17" s="88"/>
      <c r="M17" s="88"/>
      <c r="N17" s="88"/>
      <c r="O17" s="88"/>
      <c r="P17" s="88"/>
      <c r="Q17" s="88"/>
      <c r="R17" s="88"/>
      <c r="S17" s="88"/>
      <c r="T17" s="88"/>
      <c r="U17" s="88"/>
      <c r="V17" s="88"/>
      <c r="W17" s="88"/>
      <c r="X17" s="661"/>
      <c r="Y17" s="16"/>
      <c r="Z17" s="16"/>
      <c r="AA17" s="16"/>
      <c r="AB17" s="16"/>
      <c r="AC17" s="16"/>
      <c r="AD17" s="16"/>
      <c r="AE17" s="16"/>
      <c r="AF17" s="16"/>
      <c r="AG17" s="16"/>
      <c r="AH17" s="16"/>
      <c r="AI17" s="16"/>
      <c r="AJ17" s="16"/>
      <c r="AK17" s="16"/>
    </row>
    <row r="18" spans="1:37" x14ac:dyDescent="0.2">
      <c r="A18" s="622"/>
      <c r="B18" s="1251"/>
      <c r="C18" s="1252"/>
      <c r="D18" s="1252"/>
      <c r="E18" s="1252"/>
      <c r="F18" s="1252"/>
      <c r="G18" s="1252"/>
      <c r="H18" s="1252"/>
      <c r="I18" s="1252"/>
      <c r="J18" s="1252"/>
      <c r="K18" s="1252"/>
      <c r="L18" s="1252"/>
      <c r="M18" s="1252"/>
      <c r="N18" s="1252"/>
      <c r="O18" s="1252"/>
      <c r="P18" s="1252"/>
      <c r="Q18" s="1252"/>
      <c r="R18" s="1252"/>
      <c r="S18" s="1252"/>
      <c r="T18" s="1252"/>
      <c r="U18" s="1252"/>
      <c r="V18" s="1252"/>
      <c r="W18" s="1252"/>
      <c r="X18" s="1253"/>
      <c r="Y18" s="16"/>
      <c r="Z18" s="16"/>
      <c r="AA18" s="16"/>
      <c r="AB18" s="16"/>
      <c r="AC18" s="16"/>
      <c r="AD18" s="16"/>
      <c r="AE18" s="16"/>
      <c r="AF18" s="16"/>
      <c r="AG18" s="16"/>
      <c r="AH18" s="16"/>
      <c r="AI18" s="16"/>
      <c r="AJ18" s="16"/>
      <c r="AK18" s="16"/>
    </row>
    <row r="19" spans="1:37" ht="12" customHeight="1" x14ac:dyDescent="0.2">
      <c r="A19" s="622"/>
      <c r="B19" s="88"/>
      <c r="C19" s="88"/>
      <c r="D19" s="88"/>
      <c r="E19" s="88"/>
      <c r="F19" s="88"/>
      <c r="G19" s="88"/>
      <c r="H19" s="88"/>
      <c r="I19" s="88"/>
      <c r="J19" s="88"/>
      <c r="K19" s="88"/>
      <c r="L19" s="88"/>
      <c r="M19" s="88"/>
      <c r="N19" s="88"/>
      <c r="O19" s="88"/>
      <c r="P19" s="88"/>
      <c r="Q19" s="88"/>
      <c r="R19" s="88"/>
      <c r="S19" s="88"/>
      <c r="T19" s="88"/>
      <c r="U19" s="88"/>
      <c r="V19" s="88"/>
      <c r="W19" s="88"/>
      <c r="X19" s="88"/>
      <c r="Y19" s="16"/>
      <c r="Z19" s="16"/>
      <c r="AA19" s="16"/>
      <c r="AB19" s="16"/>
      <c r="AC19" s="16"/>
      <c r="AD19" s="16"/>
      <c r="AE19" s="16"/>
      <c r="AF19" s="16"/>
      <c r="AG19" s="16"/>
      <c r="AH19" s="16"/>
      <c r="AI19" s="16"/>
      <c r="AJ19" s="16"/>
      <c r="AK19" s="16"/>
    </row>
    <row r="20" spans="1:37" ht="12" customHeight="1" x14ac:dyDescent="0.2">
      <c r="A20" s="622"/>
      <c r="B20" s="88"/>
      <c r="C20" s="88"/>
      <c r="D20" s="88"/>
      <c r="E20" s="88"/>
      <c r="F20" s="88"/>
      <c r="G20" s="88"/>
      <c r="H20" s="88"/>
      <c r="I20" s="88"/>
      <c r="J20" s="88"/>
      <c r="K20" s="88"/>
      <c r="L20" s="88"/>
      <c r="M20" s="88"/>
      <c r="N20" s="88"/>
      <c r="O20" s="88"/>
      <c r="P20" s="88"/>
      <c r="Q20" s="88"/>
      <c r="R20" s="88"/>
      <c r="S20" s="88"/>
      <c r="T20" s="88"/>
      <c r="U20" s="88"/>
      <c r="V20" s="88"/>
      <c r="W20" s="88"/>
      <c r="X20" s="88"/>
      <c r="Y20" s="16"/>
      <c r="Z20" s="16"/>
      <c r="AA20" s="16"/>
      <c r="AB20" s="16"/>
      <c r="AC20" s="16"/>
      <c r="AD20" s="16"/>
      <c r="AE20" s="16"/>
      <c r="AF20" s="16"/>
      <c r="AG20" s="16"/>
      <c r="AH20" s="16"/>
      <c r="AI20" s="16"/>
      <c r="AJ20" s="16"/>
      <c r="AK20" s="16"/>
    </row>
    <row r="21" spans="1:37" customFormat="1" ht="19.899999999999999" customHeight="1" x14ac:dyDescent="0.2">
      <c r="A21" s="620" t="s">
        <v>794</v>
      </c>
      <c r="B21" s="461" t="str">
        <f>"Table "&amp;A1&amp;"."&amp;A21&amp;": Income Statement- General fund - PROPOSED "&amp;'WS1-Application'!D33&amp;" Scenario ($ nominal)"</f>
        <v>Table 10.1(a): Income Statement- General fund - PROPOSED Special Variation Scenario ($ nominal)</v>
      </c>
      <c r="C21" s="2"/>
      <c r="D21" s="2"/>
      <c r="E21" s="2"/>
      <c r="F21" s="2"/>
      <c r="G21" s="2"/>
      <c r="H21" s="2"/>
      <c r="I21" s="2"/>
      <c r="J21" s="637"/>
      <c r="K21" s="38" t="str">
        <f>IF('WS1-Application'!$D$33="Minimum rate increase","[N/A - No need to complete, leave blue input cells blank]",".")</f>
        <v>.</v>
      </c>
      <c r="L21" s="633"/>
      <c r="M21" s="633"/>
      <c r="N21" s="633"/>
      <c r="O21" s="633"/>
      <c r="P21" s="633"/>
      <c r="Q21" s="633"/>
      <c r="R21" s="633"/>
      <c r="S21" s="633"/>
      <c r="T21" s="633"/>
      <c r="U21" s="633"/>
      <c r="V21" s="633"/>
      <c r="W21" s="633"/>
      <c r="X21" s="633"/>
      <c r="Y21" s="3"/>
      <c r="Z21" s="3"/>
      <c r="AA21" s="3"/>
      <c r="AB21" s="3"/>
      <c r="AC21" s="3"/>
      <c r="AD21" s="3"/>
      <c r="AE21" s="3"/>
      <c r="AF21" s="3"/>
      <c r="AG21" s="3"/>
      <c r="AH21" s="3"/>
      <c r="AI21" s="3"/>
      <c r="AJ21" s="3"/>
      <c r="AK21" s="3"/>
    </row>
    <row r="22" spans="1:37" x14ac:dyDescent="0.2">
      <c r="A22" s="622"/>
      <c r="B22" s="674"/>
      <c r="C22" s="666"/>
      <c r="D22" s="666"/>
      <c r="E22" s="666"/>
      <c r="F22" s="666"/>
      <c r="G22" s="666"/>
      <c r="H22" s="666"/>
      <c r="I22" s="666"/>
      <c r="J22" s="1167" t="str">
        <f>'WS0 - Input data'!J55</f>
        <v>Year 0</v>
      </c>
      <c r="K22" s="1167" t="str">
        <f>'WS0 - Input data'!K55</f>
        <v>Year 1</v>
      </c>
      <c r="L22" s="1167" t="str">
        <f>'WS0 - Input data'!L55</f>
        <v>Year 2</v>
      </c>
      <c r="M22" s="1167" t="str">
        <f>'WS0 - Input data'!M55</f>
        <v>Year 3</v>
      </c>
      <c r="N22" s="1167" t="str">
        <f>'WS0 - Input data'!N55</f>
        <v>Year 4</v>
      </c>
      <c r="O22" s="1167" t="str">
        <f>'WS0 - Input data'!O55</f>
        <v>Year 5</v>
      </c>
      <c r="P22" s="1167" t="str">
        <f>'WS0 - Input data'!P55</f>
        <v>Year 6</v>
      </c>
      <c r="Q22" s="1167" t="str">
        <f>'WS0 - Input data'!Q55</f>
        <v>Year 7</v>
      </c>
      <c r="R22" s="1167" t="str">
        <f>'WS0 - Input data'!R55</f>
        <v>Year 8</v>
      </c>
      <c r="S22" s="1167" t="str">
        <f>'WS0 - Input data'!S55</f>
        <v>Year 9</v>
      </c>
      <c r="T22" s="1167" t="str">
        <f>'WS0 - Input data'!T55</f>
        <v>Year 10</v>
      </c>
      <c r="U22" s="1277" t="s">
        <v>795</v>
      </c>
      <c r="V22" s="1279"/>
      <c r="W22" s="1280" t="s">
        <v>796</v>
      </c>
      <c r="X22" s="1255"/>
      <c r="Y22" s="16"/>
      <c r="Z22" s="16"/>
      <c r="AA22" s="16"/>
      <c r="AB22" s="16"/>
      <c r="AC22" s="16"/>
      <c r="AD22" s="16"/>
      <c r="AE22" s="16"/>
      <c r="AF22" s="16"/>
      <c r="AG22" s="16"/>
      <c r="AH22" s="16"/>
      <c r="AI22" s="16"/>
      <c r="AJ22" s="16"/>
      <c r="AK22" s="16"/>
    </row>
    <row r="23" spans="1:37" x14ac:dyDescent="0.2">
      <c r="A23" s="622"/>
      <c r="B23" s="1274"/>
      <c r="C23" s="606"/>
      <c r="D23" s="580" t="s">
        <v>641</v>
      </c>
      <c r="E23" s="606"/>
      <c r="F23" s="606"/>
      <c r="G23" s="606"/>
      <c r="H23" s="606"/>
      <c r="I23" s="606"/>
      <c r="J23" s="1278" t="str">
        <f>'WS0 - Input data'!J58</f>
        <v>2023-24</v>
      </c>
      <c r="K23" s="1278" t="str">
        <f>'WS0 - Input data'!K58</f>
        <v>2024-25</v>
      </c>
      <c r="L23" s="1278" t="str">
        <f>'WS0 - Input data'!L58</f>
        <v>2025-26</v>
      </c>
      <c r="M23" s="1278" t="str">
        <f>'WS0 - Input data'!M58</f>
        <v>2026-27</v>
      </c>
      <c r="N23" s="1278" t="str">
        <f>'WS0 - Input data'!N58</f>
        <v>2027-28</v>
      </c>
      <c r="O23" s="1278" t="str">
        <f>'WS0 - Input data'!O58</f>
        <v>2028-29</v>
      </c>
      <c r="P23" s="1278" t="str">
        <f>'WS0 - Input data'!P58</f>
        <v>2029-30</v>
      </c>
      <c r="Q23" s="1278" t="str">
        <f>'WS0 - Input data'!Q58</f>
        <v>2030-31</v>
      </c>
      <c r="R23" s="1278" t="str">
        <f>'WS0 - Input data'!R58</f>
        <v>2031-32</v>
      </c>
      <c r="S23" s="1278" t="str">
        <f>'WS0 - Input data'!S58</f>
        <v>2032-33</v>
      </c>
      <c r="T23" s="1278" t="str">
        <f>'WS0 - Input data'!T58</f>
        <v>2033-34</v>
      </c>
      <c r="U23" s="775"/>
      <c r="V23" s="295"/>
      <c r="W23" s="1281" t="s">
        <v>625</v>
      </c>
      <c r="X23" s="1276" t="s">
        <v>108</v>
      </c>
      <c r="Y23" s="16"/>
      <c r="Z23" s="16"/>
      <c r="AA23" s="16"/>
      <c r="AB23" s="16"/>
      <c r="AC23" s="16"/>
      <c r="AD23" s="16"/>
      <c r="AE23" s="16"/>
      <c r="AF23" s="16"/>
      <c r="AG23" s="16"/>
      <c r="AH23" s="16"/>
      <c r="AI23" s="16"/>
      <c r="AJ23" s="16"/>
      <c r="AK23" s="16"/>
    </row>
    <row r="24" spans="1:37" customFormat="1" ht="15.75" customHeight="1" x14ac:dyDescent="0.2">
      <c r="A24" s="620"/>
      <c r="B24" s="1266" t="s">
        <v>797</v>
      </c>
      <c r="C24" s="265"/>
      <c r="D24" s="265"/>
      <c r="E24" s="265"/>
      <c r="F24" s="265"/>
      <c r="G24" s="265"/>
      <c r="H24" s="265"/>
      <c r="I24" s="265"/>
      <c r="J24" s="1256"/>
      <c r="K24" s="1257"/>
      <c r="L24" s="1258"/>
      <c r="M24" s="1259"/>
      <c r="N24" s="1258"/>
      <c r="O24" s="1258"/>
      <c r="P24" s="1258"/>
      <c r="Q24" s="1258"/>
      <c r="R24" s="1258"/>
      <c r="S24" s="1258"/>
      <c r="T24" s="1258"/>
      <c r="U24" s="1258"/>
      <c r="V24" s="1258"/>
      <c r="W24" s="1258"/>
      <c r="X24" s="1260"/>
      <c r="Y24" s="3"/>
      <c r="Z24" s="3"/>
      <c r="AA24" s="16"/>
      <c r="AB24" s="3"/>
      <c r="AC24" s="3"/>
      <c r="AD24" s="3"/>
      <c r="AE24" s="3"/>
      <c r="AF24" s="3"/>
      <c r="AG24" s="3"/>
      <c r="AH24" s="3"/>
      <c r="AI24" s="3"/>
      <c r="AJ24" s="3"/>
      <c r="AK24" s="3"/>
    </row>
    <row r="25" spans="1:37" x14ac:dyDescent="0.2">
      <c r="A25" s="622"/>
      <c r="B25" s="668" t="s">
        <v>798</v>
      </c>
      <c r="C25" s="1"/>
      <c r="D25" s="1"/>
      <c r="E25" s="1"/>
      <c r="F25" s="1"/>
      <c r="G25" s="1"/>
      <c r="H25" s="1"/>
      <c r="I25" s="1"/>
      <c r="J25" s="290"/>
      <c r="K25" s="1282"/>
      <c r="L25" s="1282"/>
      <c r="M25" s="1282"/>
      <c r="N25" s="1282"/>
      <c r="O25" s="1282"/>
      <c r="P25" s="1282"/>
      <c r="Q25" s="1282"/>
      <c r="R25" s="1282"/>
      <c r="S25" s="1282"/>
      <c r="T25" s="1282"/>
      <c r="U25" s="1283"/>
      <c r="V25" s="151"/>
      <c r="W25" s="1298"/>
      <c r="X25" s="1261"/>
      <c r="Y25" s="16"/>
      <c r="Z25" s="16"/>
      <c r="AA25" s="16"/>
      <c r="AB25" s="16"/>
      <c r="AC25" s="16"/>
      <c r="AD25" s="16"/>
      <c r="AE25" s="16"/>
      <c r="AF25" s="16"/>
      <c r="AG25" s="16"/>
      <c r="AH25" s="16"/>
      <c r="AI25" s="16"/>
      <c r="AJ25" s="16"/>
      <c r="AK25" s="16"/>
    </row>
    <row r="26" spans="1:37" x14ac:dyDescent="0.2">
      <c r="A26" s="622"/>
      <c r="B26" s="1262" t="s">
        <v>799</v>
      </c>
      <c r="C26" s="1"/>
      <c r="D26" s="491" t="s">
        <v>116</v>
      </c>
      <c r="E26" s="1"/>
      <c r="F26" s="1"/>
      <c r="G26" s="1"/>
      <c r="H26" s="1"/>
      <c r="I26" s="1"/>
      <c r="J26" s="1232">
        <v>54352004</v>
      </c>
      <c r="K26" s="1232">
        <v>62504804.599999994</v>
      </c>
      <c r="L26" s="1232">
        <v>64379948.737999998</v>
      </c>
      <c r="M26" s="1232">
        <v>66311347.200139999</v>
      </c>
      <c r="N26" s="1232">
        <v>68300687.608878985</v>
      </c>
      <c r="O26" s="1232">
        <v>70349708.241484284</v>
      </c>
      <c r="P26" s="1232">
        <v>72460199.483078077</v>
      </c>
      <c r="Q26" s="1232">
        <v>74634005.47140485</v>
      </c>
      <c r="R26" s="1232">
        <v>76873025.630602598</v>
      </c>
      <c r="S26" s="1232">
        <v>79179216.396695316</v>
      </c>
      <c r="T26" s="1232">
        <v>81554592.888596177</v>
      </c>
      <c r="U26" s="1199">
        <f t="shared" ref="U26:U33" si="0">SUM(K26:T26)</f>
        <v>716547536.25888026</v>
      </c>
      <c r="V26" s="151"/>
      <c r="W26" s="1299">
        <f t="shared" ref="W26:W33" si="1">T26-J26</f>
        <v>27202588.888596177</v>
      </c>
      <c r="X26" s="1147">
        <f t="shared" ref="X26:X33" si="2">IF(J26=0,0,(W26/J26))</f>
        <v>0.50048916114659137</v>
      </c>
      <c r="Y26" s="16"/>
      <c r="Z26" s="16"/>
      <c r="AA26" s="16"/>
      <c r="AB26" s="16"/>
      <c r="AC26" s="16"/>
      <c r="AD26" s="16"/>
      <c r="AE26" s="16"/>
      <c r="AF26" s="16"/>
      <c r="AG26" s="16"/>
      <c r="AH26" s="16"/>
      <c r="AI26" s="16"/>
      <c r="AJ26" s="16"/>
      <c r="AK26" s="16"/>
    </row>
    <row r="27" spans="1:37" ht="11.65" customHeight="1" x14ac:dyDescent="0.2">
      <c r="A27" s="622"/>
      <c r="B27" s="1262" t="s">
        <v>800</v>
      </c>
      <c r="C27" s="109"/>
      <c r="D27" s="491" t="s">
        <v>116</v>
      </c>
      <c r="E27" s="109"/>
      <c r="F27" s="109"/>
      <c r="G27" s="109"/>
      <c r="H27" s="109"/>
      <c r="I27" s="109"/>
      <c r="J27" s="1284">
        <v>18948996</v>
      </c>
      <c r="K27" s="1284">
        <v>19531590.400000006</v>
      </c>
      <c r="L27" s="1284">
        <v>20096538.111999996</v>
      </c>
      <c r="M27" s="1284">
        <v>20678434.249860004</v>
      </c>
      <c r="N27" s="1284">
        <v>21277787.28112103</v>
      </c>
      <c r="O27" s="1284">
        <v>23378493.048515707</v>
      </c>
      <c r="P27" s="1284">
        <v>24058847.836921915</v>
      </c>
      <c r="Q27" s="1284">
        <v>24759613.268595144</v>
      </c>
      <c r="R27" s="1284">
        <v>25481401.669397384</v>
      </c>
      <c r="S27" s="1284">
        <v>26224843.723304674</v>
      </c>
      <c r="T27" s="1633">
        <v>27011589.035003811</v>
      </c>
      <c r="U27" s="1199">
        <f t="shared" si="0"/>
        <v>232499138.62471965</v>
      </c>
      <c r="V27" s="112"/>
      <c r="W27" s="1299">
        <f t="shared" si="1"/>
        <v>8062593.0350038111</v>
      </c>
      <c r="X27" s="1147">
        <f t="shared" si="2"/>
        <v>0.4254891939923261</v>
      </c>
      <c r="Y27" s="16"/>
      <c r="Z27" s="16"/>
      <c r="AA27" s="16"/>
      <c r="AB27" s="16"/>
      <c r="AC27" s="16"/>
      <c r="AD27" s="16"/>
      <c r="AE27" s="16"/>
      <c r="AF27" s="16"/>
      <c r="AG27" s="16"/>
      <c r="AH27" s="16"/>
      <c r="AI27" s="16"/>
      <c r="AJ27" s="16"/>
      <c r="AK27" s="16"/>
    </row>
    <row r="28" spans="1:37" ht="11.65" customHeight="1" x14ac:dyDescent="0.2">
      <c r="A28" s="622"/>
      <c r="B28" s="1262" t="s">
        <v>734</v>
      </c>
      <c r="C28" s="109"/>
      <c r="D28" s="491" t="s">
        <v>116</v>
      </c>
      <c r="E28" s="109"/>
      <c r="F28" s="109"/>
      <c r="G28" s="109"/>
      <c r="H28" s="109"/>
      <c r="I28" s="109"/>
      <c r="J28" s="1284">
        <v>15498732.93</v>
      </c>
      <c r="K28" s="1284">
        <v>20780739.66</v>
      </c>
      <c r="L28" s="1284">
        <v>21528446.369999997</v>
      </c>
      <c r="M28" s="1284">
        <v>22193958.25</v>
      </c>
      <c r="N28" s="1284">
        <v>22871337.419999998</v>
      </c>
      <c r="O28" s="1284">
        <v>23569451.429999996</v>
      </c>
      <c r="P28" s="1284">
        <v>24288934.350000001</v>
      </c>
      <c r="Q28" s="1284">
        <v>25030446.030000005</v>
      </c>
      <c r="R28" s="1284">
        <v>25794659.620000005</v>
      </c>
      <c r="S28" s="1284">
        <v>26582273.98</v>
      </c>
      <c r="T28" s="1633">
        <f>S28*1.03</f>
        <v>27379742.1994</v>
      </c>
      <c r="U28" s="1199">
        <f t="shared" si="0"/>
        <v>240019989.30939999</v>
      </c>
      <c r="V28" s="112"/>
      <c r="W28" s="1299">
        <f t="shared" si="1"/>
        <v>11881009.269400001</v>
      </c>
      <c r="X28" s="1147">
        <f t="shared" si="2"/>
        <v>0.76657939220325677</v>
      </c>
      <c r="Y28" s="16"/>
      <c r="Z28" s="16"/>
      <c r="AA28" s="16"/>
      <c r="AB28" s="16"/>
      <c r="AC28" s="16"/>
      <c r="AD28" s="16"/>
      <c r="AE28" s="16"/>
      <c r="AF28" s="16"/>
      <c r="AG28" s="16"/>
      <c r="AH28" s="16"/>
      <c r="AI28" s="16"/>
      <c r="AJ28" s="16"/>
      <c r="AK28" s="16"/>
    </row>
    <row r="29" spans="1:37" ht="11.65" customHeight="1" x14ac:dyDescent="0.2">
      <c r="A29" s="622"/>
      <c r="B29" s="1262" t="s">
        <v>801</v>
      </c>
      <c r="C29" s="109"/>
      <c r="D29" s="491" t="s">
        <v>116</v>
      </c>
      <c r="E29" s="109"/>
      <c r="F29" s="109"/>
      <c r="G29" s="109"/>
      <c r="H29" s="109"/>
      <c r="I29" s="109"/>
      <c r="J29" s="1284">
        <v>7320629</v>
      </c>
      <c r="K29" s="1284">
        <v>6479614.0100000016</v>
      </c>
      <c r="L29" s="1284">
        <v>6423272.7700000005</v>
      </c>
      <c r="M29" s="1284">
        <v>6439006.1599999983</v>
      </c>
      <c r="N29" s="1284">
        <v>5967415.6299999999</v>
      </c>
      <c r="O29" s="1284">
        <v>6096791.1999999993</v>
      </c>
      <c r="P29" s="1284">
        <v>6373950.5399999991</v>
      </c>
      <c r="Q29" s="1284">
        <v>7027222.5399999991</v>
      </c>
      <c r="R29" s="1284">
        <v>7624590.0500000017</v>
      </c>
      <c r="S29" s="1284">
        <v>8275077.8299999991</v>
      </c>
      <c r="T29" s="1284">
        <f>S29*1.09</f>
        <v>9019834.8346999995</v>
      </c>
      <c r="U29" s="1199">
        <f t="shared" si="0"/>
        <v>69726775.564699993</v>
      </c>
      <c r="V29" s="112"/>
      <c r="W29" s="1299">
        <f t="shared" si="1"/>
        <v>1699205.8346999995</v>
      </c>
      <c r="X29" s="1147">
        <f t="shared" si="2"/>
        <v>0.23211199948802208</v>
      </c>
      <c r="Y29" s="16"/>
      <c r="Z29" s="16"/>
      <c r="AA29" s="16"/>
      <c r="AB29" s="16"/>
      <c r="AC29" s="16"/>
      <c r="AD29" s="16"/>
      <c r="AE29" s="16"/>
      <c r="AF29" s="16"/>
      <c r="AG29" s="16"/>
      <c r="AH29" s="16"/>
      <c r="AI29" s="16"/>
      <c r="AJ29" s="16"/>
      <c r="AK29" s="16"/>
    </row>
    <row r="30" spans="1:37" ht="11.65" customHeight="1" x14ac:dyDescent="0.2">
      <c r="A30" s="622"/>
      <c r="B30" s="1262" t="s">
        <v>736</v>
      </c>
      <c r="C30" s="109"/>
      <c r="D30" s="491" t="s">
        <v>116</v>
      </c>
      <c r="E30" s="109"/>
      <c r="F30" s="109"/>
      <c r="G30" s="109"/>
      <c r="H30" s="109"/>
      <c r="I30" s="109"/>
      <c r="J30" s="1284">
        <v>8508108.0600000005</v>
      </c>
      <c r="K30" s="1284">
        <v>8657820.5999999996</v>
      </c>
      <c r="L30" s="1284">
        <v>8891902.9299999997</v>
      </c>
      <c r="M30" s="1284">
        <v>9132916.7100000009</v>
      </c>
      <c r="N30" s="1284">
        <v>9381066.3699999992</v>
      </c>
      <c r="O30" s="1284">
        <v>9636565.370000001</v>
      </c>
      <c r="P30" s="1284">
        <v>9899631.4399999995</v>
      </c>
      <c r="Q30" s="1284">
        <v>10170490.699999999</v>
      </c>
      <c r="R30" s="1284">
        <v>10449372.93</v>
      </c>
      <c r="S30" s="1284">
        <v>10741802.810000001</v>
      </c>
      <c r="T30" s="1633">
        <f>S30*1.03</f>
        <v>11064056.894300001</v>
      </c>
      <c r="U30" s="1285">
        <f t="shared" si="0"/>
        <v>98025626.754300013</v>
      </c>
      <c r="V30" s="112"/>
      <c r="W30" s="1299">
        <f t="shared" si="1"/>
        <v>2555948.8343000002</v>
      </c>
      <c r="X30" s="1147">
        <f t="shared" si="2"/>
        <v>0.30041330179109171</v>
      </c>
      <c r="Y30" s="16"/>
      <c r="Z30" s="16"/>
      <c r="AA30" s="16"/>
      <c r="AB30" s="16"/>
      <c r="AC30" s="16"/>
      <c r="AD30" s="16"/>
      <c r="AE30" s="16"/>
      <c r="AF30" s="16"/>
      <c r="AG30" s="16"/>
      <c r="AH30" s="16"/>
      <c r="AI30" s="16"/>
      <c r="AJ30" s="16"/>
      <c r="AK30" s="16"/>
    </row>
    <row r="31" spans="1:37" ht="11.65" customHeight="1" x14ac:dyDescent="0.2">
      <c r="A31" s="622"/>
      <c r="B31" s="1262" t="s">
        <v>802</v>
      </c>
      <c r="C31" s="109"/>
      <c r="D31" s="491" t="s">
        <v>116</v>
      </c>
      <c r="E31" s="109"/>
      <c r="F31" s="109"/>
      <c r="G31" s="109"/>
      <c r="H31" s="109"/>
      <c r="I31" s="109"/>
      <c r="J31" s="1195">
        <v>9741793.5899999999</v>
      </c>
      <c r="K31" s="1195">
        <v>5383007.9199999999</v>
      </c>
      <c r="L31" s="1195">
        <v>5535587.8500000006</v>
      </c>
      <c r="M31" s="1284">
        <v>5692567.5699999994</v>
      </c>
      <c r="N31" s="1195">
        <v>5855432.3700000001</v>
      </c>
      <c r="O31" s="1195">
        <v>6023025.2000000002</v>
      </c>
      <c r="P31" s="1195">
        <v>6194042.7200000007</v>
      </c>
      <c r="Q31" s="1195">
        <v>6369998.4400000013</v>
      </c>
      <c r="R31" s="1195">
        <v>6551034.8399999999</v>
      </c>
      <c r="S31" s="1195">
        <v>6716772.5700000003</v>
      </c>
      <c r="T31" s="1633">
        <f>S31*1.03</f>
        <v>6918275.7471000003</v>
      </c>
      <c r="U31" s="1285">
        <f t="shared" si="0"/>
        <v>61239745.227100015</v>
      </c>
      <c r="V31" s="112"/>
      <c r="W31" s="1299">
        <f t="shared" si="1"/>
        <v>-2823517.8428999996</v>
      </c>
      <c r="X31" s="1147">
        <f t="shared" si="2"/>
        <v>-0.28983552328581003</v>
      </c>
      <c r="Y31" s="16"/>
      <c r="Z31" s="16"/>
      <c r="AA31" s="16"/>
      <c r="AB31" s="16"/>
      <c r="AC31" s="16"/>
      <c r="AD31" s="16"/>
      <c r="AE31" s="16"/>
      <c r="AF31" s="16"/>
      <c r="AG31" s="16"/>
      <c r="AH31" s="16"/>
      <c r="AI31" s="16"/>
      <c r="AJ31" s="16"/>
      <c r="AK31" s="16"/>
    </row>
    <row r="32" spans="1:37" ht="11.65" customHeight="1" x14ac:dyDescent="0.2">
      <c r="A32" s="622"/>
      <c r="B32" s="1262" t="s">
        <v>803</v>
      </c>
      <c r="C32" s="109"/>
      <c r="D32" s="491" t="s">
        <v>116</v>
      </c>
      <c r="E32" s="109"/>
      <c r="F32" s="109"/>
      <c r="G32" s="109"/>
      <c r="H32" s="109"/>
      <c r="I32" s="109"/>
      <c r="J32" s="1195">
        <v>10994914</v>
      </c>
      <c r="K32" s="1195">
        <v>8292412.5</v>
      </c>
      <c r="L32" s="1195">
        <v>10811777.73</v>
      </c>
      <c r="M32" s="1284">
        <v>10934687.030000001</v>
      </c>
      <c r="N32" s="1195">
        <v>11061242.280000001</v>
      </c>
      <c r="O32" s="1195">
        <v>11191556.950000001</v>
      </c>
      <c r="P32" s="1195">
        <v>11375739.17</v>
      </c>
      <c r="Q32" s="1195">
        <v>9013904.8599999994</v>
      </c>
      <c r="R32" s="1195">
        <v>9156174.8300000001</v>
      </c>
      <c r="S32" s="1195">
        <v>9298289.9000000004</v>
      </c>
      <c r="T32" s="1195">
        <f>S32*1.02</f>
        <v>9484255.6980000008</v>
      </c>
      <c r="U32" s="1285">
        <f t="shared" si="0"/>
        <v>100620040.94800001</v>
      </c>
      <c r="V32" s="112"/>
      <c r="W32" s="1299">
        <f t="shared" si="1"/>
        <v>-1510658.3019999992</v>
      </c>
      <c r="X32" s="1147">
        <f t="shared" si="2"/>
        <v>-0.13739609986944865</v>
      </c>
      <c r="Y32" s="16"/>
      <c r="Z32" s="16"/>
      <c r="AA32" s="16"/>
      <c r="AB32" s="16"/>
      <c r="AC32" s="16"/>
      <c r="AD32" s="16"/>
      <c r="AE32" s="16"/>
      <c r="AF32" s="16"/>
      <c r="AG32" s="16"/>
      <c r="AH32" s="16"/>
      <c r="AI32" s="16"/>
      <c r="AJ32" s="16"/>
      <c r="AK32" s="16"/>
    </row>
    <row r="33" spans="1:37" ht="11.65" customHeight="1" x14ac:dyDescent="0.2">
      <c r="A33" s="622"/>
      <c r="B33" s="1186" t="s">
        <v>983</v>
      </c>
      <c r="C33" s="109"/>
      <c r="D33" s="491" t="s">
        <v>116</v>
      </c>
      <c r="E33" s="109"/>
      <c r="F33" s="109"/>
      <c r="G33" s="109"/>
      <c r="H33" s="109"/>
      <c r="I33" s="109"/>
      <c r="J33" s="1195">
        <v>14076409.660000004</v>
      </c>
      <c r="K33" s="1195">
        <v>14569084.109999999</v>
      </c>
      <c r="L33" s="1195">
        <v>15006156.670000002</v>
      </c>
      <c r="M33" s="1284">
        <v>15456341.380000005</v>
      </c>
      <c r="N33" s="1195">
        <v>15920031.629999999</v>
      </c>
      <c r="O33" s="1195">
        <v>16397632.61999999</v>
      </c>
      <c r="P33" s="1195">
        <v>16889561.630000003</v>
      </c>
      <c r="Q33" s="1195">
        <v>17396248.510000005</v>
      </c>
      <c r="R33" s="1195">
        <v>17918135.93</v>
      </c>
      <c r="S33" s="1195">
        <v>18455680.010000002</v>
      </c>
      <c r="T33" s="1633">
        <f>S33*1.03</f>
        <v>19009350.410300002</v>
      </c>
      <c r="U33" s="1285">
        <f t="shared" si="0"/>
        <v>167018222.90029997</v>
      </c>
      <c r="V33" s="112"/>
      <c r="W33" s="1299">
        <f t="shared" si="1"/>
        <v>4932940.7502999976</v>
      </c>
      <c r="X33" s="1147">
        <f t="shared" si="2"/>
        <v>0.35044026633564146</v>
      </c>
      <c r="Y33" s="16"/>
      <c r="Z33" s="16"/>
      <c r="AA33" s="16"/>
      <c r="AB33" s="16"/>
      <c r="AC33" s="16"/>
      <c r="AD33" s="16"/>
      <c r="AE33" s="16"/>
      <c r="AF33" s="16"/>
      <c r="AG33" s="16"/>
      <c r="AH33" s="16"/>
      <c r="AI33" s="16"/>
      <c r="AJ33" s="16"/>
      <c r="AK33" s="16"/>
    </row>
    <row r="34" spans="1:37" ht="11.65" customHeight="1" x14ac:dyDescent="0.2">
      <c r="A34" s="622"/>
      <c r="B34" s="1223" t="s">
        <v>805</v>
      </c>
      <c r="C34" s="1"/>
      <c r="D34" s="1"/>
      <c r="E34" s="1"/>
      <c r="F34" s="1"/>
      <c r="G34" s="1"/>
      <c r="H34" s="1"/>
      <c r="I34" s="1"/>
      <c r="J34" s="1197"/>
      <c r="K34" s="1197"/>
      <c r="L34" s="1197"/>
      <c r="M34" s="1283"/>
      <c r="N34" s="1197"/>
      <c r="O34" s="1197"/>
      <c r="P34" s="1197"/>
      <c r="Q34" s="1197"/>
      <c r="R34" s="1197"/>
      <c r="S34" s="1197"/>
      <c r="T34" s="1197"/>
      <c r="U34" s="1197"/>
      <c r="V34" s="151"/>
      <c r="W34" s="1298"/>
      <c r="X34" s="1261"/>
      <c r="Y34" s="16"/>
      <c r="Z34" s="16"/>
      <c r="AA34" s="16"/>
      <c r="AB34" s="16"/>
      <c r="AC34" s="16"/>
      <c r="AD34" s="16"/>
      <c r="AE34" s="16"/>
      <c r="AF34" s="16"/>
      <c r="AG34" s="16"/>
      <c r="AH34" s="16"/>
      <c r="AI34" s="16"/>
      <c r="AJ34" s="16"/>
      <c r="AK34" s="16"/>
    </row>
    <row r="35" spans="1:37" ht="11.65" customHeight="1" x14ac:dyDescent="0.2">
      <c r="A35" s="622"/>
      <c r="B35" s="1262" t="s">
        <v>806</v>
      </c>
      <c r="C35" s="109"/>
      <c r="D35" s="491" t="s">
        <v>116</v>
      </c>
      <c r="E35" s="109"/>
      <c r="F35" s="109"/>
      <c r="G35" s="109"/>
      <c r="H35" s="109"/>
      <c r="I35" s="109"/>
      <c r="J35" s="1195"/>
      <c r="K35" s="1195"/>
      <c r="L35" s="1195"/>
      <c r="M35" s="1284"/>
      <c r="N35" s="1195"/>
      <c r="O35" s="1195"/>
      <c r="P35" s="1195"/>
      <c r="Q35" s="1195"/>
      <c r="R35" s="1195"/>
      <c r="S35" s="1195"/>
      <c r="T35" s="1195"/>
      <c r="U35" s="1285">
        <f>SUM(K35:T35)</f>
        <v>0</v>
      </c>
      <c r="V35" s="112"/>
      <c r="W35" s="1299">
        <f>T35-J35</f>
        <v>0</v>
      </c>
      <c r="X35" s="1147">
        <f>IF(J35=0,0,(W35/J35))</f>
        <v>0</v>
      </c>
      <c r="Y35" s="16"/>
      <c r="Z35" s="16"/>
      <c r="AA35" s="16"/>
      <c r="AB35" s="16"/>
      <c r="AC35" s="16"/>
      <c r="AD35" s="16"/>
      <c r="AE35" s="16"/>
      <c r="AF35" s="16"/>
      <c r="AG35" s="16"/>
      <c r="AH35" s="16"/>
      <c r="AI35" s="16"/>
      <c r="AJ35" s="16"/>
      <c r="AK35" s="16"/>
    </row>
    <row r="36" spans="1:37" ht="11.65" customHeight="1" x14ac:dyDescent="0.2">
      <c r="A36" s="622"/>
      <c r="B36" s="1262" t="s">
        <v>740</v>
      </c>
      <c r="C36" s="109"/>
      <c r="D36" s="491" t="s">
        <v>116</v>
      </c>
      <c r="E36" s="109"/>
      <c r="F36" s="109"/>
      <c r="G36" s="109"/>
      <c r="H36" s="109"/>
      <c r="I36" s="109"/>
      <c r="J36" s="1195">
        <v>1070000</v>
      </c>
      <c r="K36" s="1195">
        <v>1070000</v>
      </c>
      <c r="L36" s="1195">
        <v>1070000</v>
      </c>
      <c r="M36" s="1284">
        <v>1070000</v>
      </c>
      <c r="N36" s="1195">
        <v>1070000</v>
      </c>
      <c r="O36" s="1195">
        <v>1070000</v>
      </c>
      <c r="P36" s="1195">
        <v>1070000</v>
      </c>
      <c r="Q36" s="1195">
        <v>1070000</v>
      </c>
      <c r="R36" s="1195">
        <v>1070000</v>
      </c>
      <c r="S36" s="1195">
        <v>1070000</v>
      </c>
      <c r="T36" s="1638">
        <v>1070000</v>
      </c>
      <c r="U36" s="1285">
        <f>SUM(K36:T36)</f>
        <v>10700000</v>
      </c>
      <c r="V36" s="112"/>
      <c r="W36" s="1299">
        <f>T36-J36</f>
        <v>0</v>
      </c>
      <c r="X36" s="1147">
        <f>IF(J36=0,0,(W36/J36))</f>
        <v>0</v>
      </c>
      <c r="Y36" s="16"/>
      <c r="Z36" s="16"/>
      <c r="AA36" s="16"/>
      <c r="AB36" s="16"/>
      <c r="AC36" s="16"/>
      <c r="AD36" s="16"/>
      <c r="AE36" s="16"/>
      <c r="AF36" s="16"/>
      <c r="AG36" s="16"/>
      <c r="AH36" s="16"/>
      <c r="AI36" s="16"/>
      <c r="AJ36" s="16"/>
      <c r="AK36" s="16"/>
    </row>
    <row r="37" spans="1:37" ht="11.65" customHeight="1" x14ac:dyDescent="0.2">
      <c r="A37" s="622"/>
      <c r="B37" s="1262" t="s">
        <v>807</v>
      </c>
      <c r="C37" s="109"/>
      <c r="D37" s="491" t="s">
        <v>116</v>
      </c>
      <c r="E37" s="109"/>
      <c r="F37" s="109"/>
      <c r="G37" s="109"/>
      <c r="H37" s="109"/>
      <c r="I37" s="109"/>
      <c r="J37" s="1195">
        <v>100000</v>
      </c>
      <c r="K37" s="1195">
        <v>100000</v>
      </c>
      <c r="L37" s="1195">
        <v>100000</v>
      </c>
      <c r="M37" s="1195">
        <v>100000</v>
      </c>
      <c r="N37" s="1195">
        <v>100000</v>
      </c>
      <c r="O37" s="1195">
        <v>100000</v>
      </c>
      <c r="P37" s="1195">
        <v>100000</v>
      </c>
      <c r="Q37" s="1195">
        <v>100000</v>
      </c>
      <c r="R37" s="1195">
        <v>100000</v>
      </c>
      <c r="S37" s="1195">
        <v>100000</v>
      </c>
      <c r="T37" s="1638">
        <v>100000</v>
      </c>
      <c r="U37" s="1285">
        <f>SUM(K37:T37)</f>
        <v>1000000</v>
      </c>
      <c r="V37" s="112"/>
      <c r="W37" s="1299">
        <f>T37-J37</f>
        <v>0</v>
      </c>
      <c r="X37" s="1147">
        <f>IF(J37=0,0,(W37/J37))</f>
        <v>0</v>
      </c>
      <c r="Y37" s="16"/>
      <c r="Z37" s="16"/>
      <c r="AA37" s="16"/>
      <c r="AB37" s="16"/>
      <c r="AC37" s="16"/>
      <c r="AD37" s="16"/>
      <c r="AE37" s="16"/>
      <c r="AF37" s="16"/>
      <c r="AG37" s="16"/>
      <c r="AH37" s="16"/>
      <c r="AI37" s="16"/>
      <c r="AJ37" s="16"/>
      <c r="AK37" s="16"/>
    </row>
    <row r="38" spans="1:37" ht="11.65" customHeight="1" x14ac:dyDescent="0.2">
      <c r="A38" s="622"/>
      <c r="B38" s="1263"/>
      <c r="C38" s="1"/>
      <c r="D38" s="1"/>
      <c r="E38" s="1"/>
      <c r="F38" s="1"/>
      <c r="G38" s="1"/>
      <c r="H38" s="1"/>
      <c r="I38" s="1"/>
      <c r="J38" s="1197"/>
      <c r="K38" s="1197"/>
      <c r="L38" s="1197"/>
      <c r="M38" s="1283"/>
      <c r="N38" s="1197"/>
      <c r="O38" s="1197"/>
      <c r="P38" s="1197"/>
      <c r="Q38" s="1197"/>
      <c r="R38" s="1197"/>
      <c r="S38" s="1197"/>
      <c r="T38" s="1197"/>
      <c r="U38" s="1197"/>
      <c r="V38" s="151"/>
      <c r="W38" s="1298"/>
      <c r="X38" s="1261"/>
      <c r="Y38" s="16"/>
      <c r="Z38" s="16"/>
      <c r="AA38" s="16"/>
      <c r="AB38" s="16"/>
      <c r="AC38" s="16"/>
      <c r="AD38" s="16"/>
      <c r="AE38" s="16"/>
      <c r="AF38" s="16"/>
      <c r="AG38" s="16"/>
      <c r="AH38" s="16"/>
      <c r="AI38" s="16"/>
      <c r="AJ38" s="16"/>
      <c r="AK38" s="16"/>
    </row>
    <row r="39" spans="1:37" ht="11.65" customHeight="1" x14ac:dyDescent="0.2">
      <c r="A39" s="622"/>
      <c r="B39" s="668" t="s">
        <v>808</v>
      </c>
      <c r="C39" s="109"/>
      <c r="D39" s="491" t="s">
        <v>116</v>
      </c>
      <c r="E39" s="109"/>
      <c r="F39" s="109"/>
      <c r="G39" s="109"/>
      <c r="H39" s="109"/>
      <c r="I39" s="109"/>
      <c r="J39" s="1286">
        <f>SUM(J26:J33,J35:J37)</f>
        <v>140611587.24000001</v>
      </c>
      <c r="K39" s="1286">
        <f t="shared" ref="K39:W39" si="3">SUM(K26:K33,K35:K37)</f>
        <v>147369073.80000001</v>
      </c>
      <c r="L39" s="1286">
        <f t="shared" si="3"/>
        <v>153843631.16999996</v>
      </c>
      <c r="M39" s="1286">
        <f t="shared" si="3"/>
        <v>158009258.54999998</v>
      </c>
      <c r="N39" s="1286">
        <f t="shared" si="3"/>
        <v>161805000.59000003</v>
      </c>
      <c r="O39" s="1286">
        <f t="shared" si="3"/>
        <v>167813224.05999994</v>
      </c>
      <c r="P39" s="1286">
        <f t="shared" si="3"/>
        <v>172710907.16999996</v>
      </c>
      <c r="Q39" s="1286">
        <f t="shared" si="3"/>
        <v>175571929.81999999</v>
      </c>
      <c r="R39" s="1286">
        <f t="shared" si="3"/>
        <v>181018395.50000003</v>
      </c>
      <c r="S39" s="1286">
        <f t="shared" si="3"/>
        <v>186643957.22</v>
      </c>
      <c r="T39" s="1286">
        <f t="shared" si="3"/>
        <v>192611697.70740002</v>
      </c>
      <c r="U39" s="1286">
        <f t="shared" si="3"/>
        <v>1697397075.5874</v>
      </c>
      <c r="V39" s="118">
        <f t="shared" si="3"/>
        <v>0</v>
      </c>
      <c r="W39" s="1300">
        <f t="shared" si="3"/>
        <v>52000110.467399985</v>
      </c>
      <c r="X39" s="1264">
        <f>IF(J39=0,0,(W39/J39))</f>
        <v>0.36981383602934986</v>
      </c>
      <c r="Y39" s="16"/>
      <c r="Z39" s="16"/>
      <c r="AA39" s="16"/>
      <c r="AB39" s="16"/>
      <c r="AC39" s="16"/>
      <c r="AD39" s="16"/>
      <c r="AE39" s="16"/>
      <c r="AF39" s="16"/>
      <c r="AG39" s="16"/>
      <c r="AH39" s="16"/>
      <c r="AI39" s="16"/>
      <c r="AJ39" s="16"/>
      <c r="AK39" s="16"/>
    </row>
    <row r="40" spans="1:37" ht="11.65" customHeight="1" x14ac:dyDescent="0.2">
      <c r="A40" s="622"/>
      <c r="B40" s="668"/>
      <c r="C40" s="109"/>
      <c r="D40" s="109"/>
      <c r="E40" s="109"/>
      <c r="F40" s="109"/>
      <c r="G40" s="109"/>
      <c r="H40" s="109"/>
      <c r="I40" s="109"/>
      <c r="J40" s="1285"/>
      <c r="K40" s="1285"/>
      <c r="L40" s="1285"/>
      <c r="M40" s="1199"/>
      <c r="N40" s="1285"/>
      <c r="O40" s="1285"/>
      <c r="P40" s="1285"/>
      <c r="Q40" s="1285"/>
      <c r="R40" s="1285"/>
      <c r="S40" s="1285"/>
      <c r="T40" s="1285"/>
      <c r="U40" s="1285"/>
      <c r="V40" s="112"/>
      <c r="W40" s="1299"/>
      <c r="X40" s="1147"/>
      <c r="Y40" s="16"/>
      <c r="Z40" s="16"/>
      <c r="AA40" s="16"/>
      <c r="AB40" s="16"/>
      <c r="AC40" s="16"/>
      <c r="AD40" s="16"/>
      <c r="AE40" s="16"/>
      <c r="AF40" s="16"/>
      <c r="AG40" s="16"/>
      <c r="AH40" s="16"/>
      <c r="AI40" s="16"/>
      <c r="AJ40" s="16"/>
      <c r="AK40" s="16"/>
    </row>
    <row r="41" spans="1:37" ht="11.65" customHeight="1" x14ac:dyDescent="0.2">
      <c r="A41" s="622"/>
      <c r="B41" s="668" t="s">
        <v>809</v>
      </c>
      <c r="C41" s="109"/>
      <c r="D41" s="491" t="s">
        <v>116</v>
      </c>
      <c r="E41" s="109"/>
      <c r="F41" s="109"/>
      <c r="G41" s="109"/>
      <c r="H41" s="109"/>
      <c r="I41" s="109"/>
      <c r="J41" s="1285">
        <f t="shared" ref="J41:T41" si="4">J39-J32</f>
        <v>129616673.24000001</v>
      </c>
      <c r="K41" s="1285">
        <f t="shared" si="4"/>
        <v>139076661.30000001</v>
      </c>
      <c r="L41" s="1285">
        <f t="shared" si="4"/>
        <v>143031853.43999997</v>
      </c>
      <c r="M41" s="1285">
        <f t="shared" si="4"/>
        <v>147074571.51999998</v>
      </c>
      <c r="N41" s="1285">
        <f t="shared" si="4"/>
        <v>150743758.31000003</v>
      </c>
      <c r="O41" s="1285">
        <f t="shared" si="4"/>
        <v>156621667.10999995</v>
      </c>
      <c r="P41" s="1285">
        <f t="shared" si="4"/>
        <v>161335167.99999997</v>
      </c>
      <c r="Q41" s="1285">
        <f t="shared" si="4"/>
        <v>166558024.95999998</v>
      </c>
      <c r="R41" s="1285">
        <f t="shared" si="4"/>
        <v>171862220.67000002</v>
      </c>
      <c r="S41" s="1285">
        <f t="shared" si="4"/>
        <v>177345667.31999999</v>
      </c>
      <c r="T41" s="1285">
        <f t="shared" si="4"/>
        <v>183127442.00940001</v>
      </c>
      <c r="U41" s="1285">
        <f>SUM(K41:T41)</f>
        <v>1596777034.6394</v>
      </c>
      <c r="V41" s="112"/>
      <c r="W41" s="1299">
        <f>T41-J41</f>
        <v>53510768.769400001</v>
      </c>
      <c r="X41" s="1147">
        <f>IF(J41=0,0,(W41/J41))</f>
        <v>0.41283862200597238</v>
      </c>
      <c r="Y41" s="16"/>
      <c r="Z41" s="16"/>
      <c r="AA41" s="16"/>
      <c r="AB41" s="16"/>
      <c r="AC41" s="16"/>
      <c r="AD41" s="16"/>
      <c r="AE41" s="16"/>
      <c r="AF41" s="16"/>
      <c r="AG41" s="16"/>
      <c r="AH41" s="16"/>
      <c r="AI41" s="16"/>
      <c r="AJ41" s="16"/>
      <c r="AK41" s="16"/>
    </row>
    <row r="42" spans="1:37" ht="11.65" customHeight="1" x14ac:dyDescent="0.2">
      <c r="A42" s="622"/>
      <c r="B42" s="668"/>
      <c r="C42" s="109"/>
      <c r="D42" s="109"/>
      <c r="E42" s="109"/>
      <c r="F42" s="109"/>
      <c r="G42" s="109"/>
      <c r="H42" s="109"/>
      <c r="I42" s="109"/>
      <c r="J42" s="1285"/>
      <c r="K42" s="1285"/>
      <c r="L42" s="1285"/>
      <c r="M42" s="1199"/>
      <c r="N42" s="1285"/>
      <c r="O42" s="1285"/>
      <c r="P42" s="1285"/>
      <c r="Q42" s="1285"/>
      <c r="R42" s="1285"/>
      <c r="S42" s="1285"/>
      <c r="T42" s="1285"/>
      <c r="U42" s="1285"/>
      <c r="V42" s="112"/>
      <c r="W42" s="1299"/>
      <c r="X42" s="1147"/>
      <c r="Y42" s="16"/>
      <c r="Z42" s="16"/>
      <c r="AA42" s="16"/>
      <c r="AB42" s="16"/>
      <c r="AC42" s="16"/>
      <c r="AD42" s="16"/>
      <c r="AE42" s="16"/>
      <c r="AF42" s="16"/>
      <c r="AG42" s="16"/>
      <c r="AH42" s="16"/>
      <c r="AI42" s="16"/>
      <c r="AJ42" s="16"/>
      <c r="AK42" s="16"/>
    </row>
    <row r="43" spans="1:37" ht="24" x14ac:dyDescent="0.2">
      <c r="A43" s="622"/>
      <c r="B43" s="1265" t="s">
        <v>810</v>
      </c>
      <c r="C43" s="109"/>
      <c r="D43" s="491" t="s">
        <v>116</v>
      </c>
      <c r="E43" s="109"/>
      <c r="F43" s="109"/>
      <c r="G43" s="109"/>
      <c r="H43" s="109"/>
      <c r="I43" s="109"/>
      <c r="J43" s="1285">
        <f t="shared" ref="J43:T43" si="5">J39-J32-SUM(J35:J37)</f>
        <v>128446673.24000001</v>
      </c>
      <c r="K43" s="1285">
        <f t="shared" si="5"/>
        <v>137906661.30000001</v>
      </c>
      <c r="L43" s="1285">
        <f t="shared" si="5"/>
        <v>141861853.43999997</v>
      </c>
      <c r="M43" s="1285">
        <f t="shared" si="5"/>
        <v>145904571.51999998</v>
      </c>
      <c r="N43" s="1285">
        <f t="shared" si="5"/>
        <v>149573758.31000003</v>
      </c>
      <c r="O43" s="1285">
        <f t="shared" si="5"/>
        <v>155451667.10999995</v>
      </c>
      <c r="P43" s="1285">
        <f t="shared" si="5"/>
        <v>160165167.99999997</v>
      </c>
      <c r="Q43" s="1285">
        <f t="shared" si="5"/>
        <v>165388024.95999998</v>
      </c>
      <c r="R43" s="1285">
        <f t="shared" si="5"/>
        <v>170692220.67000002</v>
      </c>
      <c r="S43" s="1285">
        <f t="shared" si="5"/>
        <v>176175667.31999999</v>
      </c>
      <c r="T43" s="1285">
        <f t="shared" si="5"/>
        <v>181957442.00940001</v>
      </c>
      <c r="U43" s="1285">
        <f>SUM(K43:T43)</f>
        <v>1585077034.6394</v>
      </c>
      <c r="V43" s="112"/>
      <c r="W43" s="1299">
        <f>T43-J43</f>
        <v>53510768.769400001</v>
      </c>
      <c r="X43" s="1147">
        <f>IF(J43=0,0,(W43/J43))</f>
        <v>0.41659910233265607</v>
      </c>
      <c r="Y43" s="16"/>
      <c r="Z43" s="16"/>
      <c r="AA43" s="16"/>
      <c r="AB43" s="16"/>
      <c r="AC43" s="16"/>
      <c r="AD43" s="16"/>
      <c r="AE43" s="16"/>
      <c r="AF43" s="16"/>
      <c r="AG43" s="16"/>
      <c r="AH43" s="16"/>
      <c r="AI43" s="16"/>
      <c r="AJ43" s="16"/>
      <c r="AK43" s="16"/>
    </row>
    <row r="44" spans="1:37" ht="11.65" customHeight="1" x14ac:dyDescent="0.2">
      <c r="A44" s="622"/>
      <c r="B44" s="581"/>
      <c r="C44" s="1"/>
      <c r="D44" s="1"/>
      <c r="E44" s="1"/>
      <c r="F44" s="1"/>
      <c r="G44" s="1"/>
      <c r="H44" s="1"/>
      <c r="I44" s="1"/>
      <c r="J44" s="1197"/>
      <c r="K44" s="1197"/>
      <c r="L44" s="1197"/>
      <c r="M44" s="1283"/>
      <c r="N44" s="1197"/>
      <c r="O44" s="1197"/>
      <c r="P44" s="1197"/>
      <c r="Q44" s="1197"/>
      <c r="R44" s="1197"/>
      <c r="S44" s="1197"/>
      <c r="T44" s="1197"/>
      <c r="U44" s="1197"/>
      <c r="V44" s="151"/>
      <c r="W44" s="1298"/>
      <c r="X44" s="1261"/>
      <c r="Y44" s="16"/>
      <c r="Z44" s="16"/>
      <c r="AA44" s="16"/>
      <c r="AB44" s="16"/>
      <c r="AC44" s="16"/>
      <c r="AD44" s="16"/>
      <c r="AE44" s="16"/>
      <c r="AF44" s="16"/>
      <c r="AG44" s="16"/>
      <c r="AH44" s="16"/>
      <c r="AI44" s="16"/>
      <c r="AJ44" s="16"/>
      <c r="AK44" s="16"/>
    </row>
    <row r="45" spans="1:37" customFormat="1" ht="11.65" customHeight="1" x14ac:dyDescent="0.2">
      <c r="A45" s="620"/>
      <c r="B45" s="1266" t="s">
        <v>811</v>
      </c>
      <c r="C45" s="265"/>
      <c r="D45" s="265"/>
      <c r="E45" s="265"/>
      <c r="F45" s="265"/>
      <c r="G45" s="265"/>
      <c r="H45" s="265"/>
      <c r="I45" s="265"/>
      <c r="J45" s="1287"/>
      <c r="K45" s="1288"/>
      <c r="L45" s="1289"/>
      <c r="M45" s="1290"/>
      <c r="N45" s="1289"/>
      <c r="O45" s="1289"/>
      <c r="P45" s="1289"/>
      <c r="Q45" s="1289"/>
      <c r="R45" s="1289"/>
      <c r="S45" s="1289"/>
      <c r="T45" s="1289"/>
      <c r="U45" s="1289"/>
      <c r="V45" s="18"/>
      <c r="W45" s="1301"/>
      <c r="X45" s="1166"/>
      <c r="Y45" s="3"/>
      <c r="Z45" s="16"/>
      <c r="AA45" s="16"/>
      <c r="AB45" s="3"/>
      <c r="AC45" s="3"/>
      <c r="AD45" s="3"/>
      <c r="AE45" s="3"/>
      <c r="AF45" s="3"/>
      <c r="AG45" s="3"/>
      <c r="AH45" s="3"/>
      <c r="AI45" s="3"/>
      <c r="AJ45" s="3"/>
      <c r="AK45" s="3"/>
    </row>
    <row r="46" spans="1:37" ht="11.65" customHeight="1" x14ac:dyDescent="0.2">
      <c r="A46" s="622"/>
      <c r="B46" s="668"/>
      <c r="C46" s="1"/>
      <c r="D46" s="1"/>
      <c r="E46" s="1"/>
      <c r="F46" s="1"/>
      <c r="G46" s="1"/>
      <c r="H46" s="1"/>
      <c r="I46" s="1"/>
      <c r="J46" s="290"/>
      <c r="K46" s="1291"/>
      <c r="L46" s="1291"/>
      <c r="M46" s="1291"/>
      <c r="N46" s="1291"/>
      <c r="O46" s="1291"/>
      <c r="P46" s="1291"/>
      <c r="Q46" s="1291"/>
      <c r="R46" s="1291"/>
      <c r="S46" s="1291"/>
      <c r="T46" s="1291"/>
      <c r="U46" s="1283"/>
      <c r="V46" s="151"/>
      <c r="W46" s="1298"/>
      <c r="X46" s="1261"/>
      <c r="Y46" s="16"/>
      <c r="Z46" s="16"/>
      <c r="AA46" s="16"/>
      <c r="AB46" s="16"/>
      <c r="AC46" s="16"/>
      <c r="AD46" s="16"/>
      <c r="AE46" s="16"/>
      <c r="AF46" s="16"/>
      <c r="AG46" s="16"/>
      <c r="AH46" s="16"/>
      <c r="AI46" s="16"/>
      <c r="AJ46" s="16"/>
      <c r="AK46" s="16"/>
    </row>
    <row r="47" spans="1:37" ht="11.65" customHeight="1" x14ac:dyDescent="0.2">
      <c r="A47" s="622"/>
      <c r="B47" s="1262" t="s">
        <v>746</v>
      </c>
      <c r="C47" s="109"/>
      <c r="D47" s="491" t="s">
        <v>116</v>
      </c>
      <c r="E47" s="109"/>
      <c r="F47" s="109"/>
      <c r="G47" s="109"/>
      <c r="H47" s="109"/>
      <c r="I47" s="109"/>
      <c r="J47" s="1195">
        <v>50452992.289999984</v>
      </c>
      <c r="K47" s="1195">
        <v>51625608.040000007</v>
      </c>
      <c r="L47" s="1195">
        <v>53432504.310000025</v>
      </c>
      <c r="M47" s="1284">
        <v>54841369.94000005</v>
      </c>
      <c r="N47" s="1195">
        <v>56486611.039999992</v>
      </c>
      <c r="O47" s="1195">
        <v>58181209.519999973</v>
      </c>
      <c r="P47" s="1195">
        <v>59926645.860000007</v>
      </c>
      <c r="Q47" s="1195">
        <v>61724445.149999999</v>
      </c>
      <c r="R47" s="1195">
        <v>63576178.640000038</v>
      </c>
      <c r="S47" s="1195">
        <v>65483463.930000022</v>
      </c>
      <c r="T47" s="1195">
        <f>S47*1.03</f>
        <v>67447967.847900018</v>
      </c>
      <c r="U47" s="1285">
        <f t="shared" ref="U47:U52" si="6">SUM(K47:T47)</f>
        <v>592726004.2779001</v>
      </c>
      <c r="V47" s="112"/>
      <c r="W47" s="1299">
        <f t="shared" ref="W47:W52" si="7">T47-J47</f>
        <v>16994975.557900034</v>
      </c>
      <c r="X47" s="1147">
        <f t="shared" ref="X47:X52" si="8">IF(J47=0,0,(W47/J47))</f>
        <v>0.336847722731968</v>
      </c>
      <c r="Y47" s="16"/>
      <c r="Z47" s="16"/>
      <c r="AA47" s="16"/>
      <c r="AB47" s="16"/>
      <c r="AC47" s="16"/>
      <c r="AD47" s="16"/>
      <c r="AE47" s="16"/>
      <c r="AF47" s="16"/>
      <c r="AG47" s="16"/>
      <c r="AH47" s="16"/>
      <c r="AI47" s="16"/>
      <c r="AJ47" s="16"/>
      <c r="AK47" s="16"/>
    </row>
    <row r="48" spans="1:37" ht="11.65" customHeight="1" x14ac:dyDescent="0.2">
      <c r="A48" s="622"/>
      <c r="B48" s="1262" t="s">
        <v>747</v>
      </c>
      <c r="C48" s="109"/>
      <c r="D48" s="491" t="s">
        <v>116</v>
      </c>
      <c r="E48" s="109"/>
      <c r="F48" s="109"/>
      <c r="G48" s="109"/>
      <c r="H48" s="109"/>
      <c r="I48" s="109"/>
      <c r="J48" s="1195">
        <v>2307990</v>
      </c>
      <c r="K48" s="1195">
        <v>2305910</v>
      </c>
      <c r="L48" s="1195">
        <v>2295255</v>
      </c>
      <c r="M48" s="1284">
        <v>2292312</v>
      </c>
      <c r="N48" s="1195">
        <v>2294536</v>
      </c>
      <c r="O48" s="1195">
        <v>2295270</v>
      </c>
      <c r="P48" s="1195">
        <v>2295427</v>
      </c>
      <c r="Q48" s="1195">
        <v>2301188</v>
      </c>
      <c r="R48" s="1195">
        <v>2333522</v>
      </c>
      <c r="S48" s="1195">
        <v>2368718</v>
      </c>
      <c r="T48" s="1195">
        <f>S48*1.01</f>
        <v>2392405.1800000002</v>
      </c>
      <c r="U48" s="1285">
        <f t="shared" si="6"/>
        <v>23174543.18</v>
      </c>
      <c r="V48" s="112"/>
      <c r="W48" s="1299">
        <f t="shared" si="7"/>
        <v>84415.180000000168</v>
      </c>
      <c r="X48" s="1147">
        <f t="shared" si="8"/>
        <v>3.6575193133419198E-2</v>
      </c>
      <c r="Y48" s="16"/>
      <c r="Z48" s="16"/>
      <c r="AA48" s="16"/>
      <c r="AB48" s="16"/>
      <c r="AC48" s="16"/>
      <c r="AD48" s="16"/>
      <c r="AE48" s="16"/>
      <c r="AF48" s="16"/>
      <c r="AG48" s="16"/>
      <c r="AH48" s="16"/>
      <c r="AI48" s="16"/>
      <c r="AJ48" s="16"/>
      <c r="AK48" s="16"/>
    </row>
    <row r="49" spans="1:37" ht="11.65" customHeight="1" x14ac:dyDescent="0.2">
      <c r="A49" s="622"/>
      <c r="B49" s="1262" t="s">
        <v>748</v>
      </c>
      <c r="C49" s="109"/>
      <c r="D49" s="491" t="s">
        <v>116</v>
      </c>
      <c r="E49" s="109"/>
      <c r="F49" s="109"/>
      <c r="G49" s="109"/>
      <c r="H49" s="109"/>
      <c r="I49" s="109"/>
      <c r="J49" s="1195">
        <v>54857896.200000003</v>
      </c>
      <c r="K49" s="1195">
        <v>55685418.458965674</v>
      </c>
      <c r="L49" s="1195">
        <v>56648300.262635514</v>
      </c>
      <c r="M49" s="1284">
        <v>58197203.091219537</v>
      </c>
      <c r="N49" s="1195">
        <v>59963622.884667665</v>
      </c>
      <c r="O49" s="1195">
        <v>63554870.537297957</v>
      </c>
      <c r="P49" s="1195">
        <v>64898684.943017617</v>
      </c>
      <c r="Q49" s="1195">
        <v>66563554.46704711</v>
      </c>
      <c r="R49" s="1195">
        <v>68499619.402632013</v>
      </c>
      <c r="S49" s="1195">
        <v>71077479.487944201</v>
      </c>
      <c r="T49" s="1638">
        <f>S49*1.03</f>
        <v>73209803.872582525</v>
      </c>
      <c r="U49" s="1285">
        <f t="shared" si="6"/>
        <v>638298557.40800977</v>
      </c>
      <c r="V49" s="112"/>
      <c r="W49" s="1299">
        <f t="shared" si="7"/>
        <v>18351907.672582522</v>
      </c>
      <c r="X49" s="1147">
        <f t="shared" si="8"/>
        <v>0.33453538950300687</v>
      </c>
      <c r="Y49" s="16"/>
      <c r="Z49" s="16"/>
      <c r="AA49" s="16"/>
      <c r="AB49" s="16"/>
      <c r="AC49" s="16"/>
      <c r="AD49" s="16"/>
      <c r="AE49" s="16"/>
      <c r="AF49" s="16"/>
      <c r="AG49" s="16"/>
      <c r="AH49" s="16"/>
      <c r="AI49" s="16"/>
      <c r="AJ49" s="16"/>
      <c r="AK49" s="16"/>
    </row>
    <row r="50" spans="1:37" ht="11.65" customHeight="1" x14ac:dyDescent="0.2">
      <c r="A50" s="622"/>
      <c r="B50" s="1262" t="s">
        <v>749</v>
      </c>
      <c r="C50" s="109"/>
      <c r="D50" s="491" t="s">
        <v>116</v>
      </c>
      <c r="E50" s="109"/>
      <c r="F50" s="109"/>
      <c r="G50" s="109"/>
      <c r="H50" s="109"/>
      <c r="I50" s="109"/>
      <c r="J50" s="1195">
        <v>21565110</v>
      </c>
      <c r="K50" s="1195">
        <v>22386676.200000003</v>
      </c>
      <c r="L50" s="1195">
        <v>22948417.105006032</v>
      </c>
      <c r="M50" s="1284">
        <v>23496790.533408824</v>
      </c>
      <c r="N50" s="1195">
        <v>24461901.801088896</v>
      </c>
      <c r="O50" s="1195">
        <v>24956795.200431067</v>
      </c>
      <c r="P50" s="1195">
        <v>25461361.104531229</v>
      </c>
      <c r="Q50" s="1195">
        <v>25975801.503253952</v>
      </c>
      <c r="R50" s="1195">
        <v>26500314.199418083</v>
      </c>
      <c r="S50" s="1195">
        <v>27035100.81562205</v>
      </c>
      <c r="T50" s="1195">
        <f>S50*1.02</f>
        <v>27575802.831934493</v>
      </c>
      <c r="U50" s="1285">
        <f t="shared" si="6"/>
        <v>250798961.2946946</v>
      </c>
      <c r="V50" s="112"/>
      <c r="W50" s="1299">
        <f t="shared" si="7"/>
        <v>6010692.831934493</v>
      </c>
      <c r="X50" s="1147">
        <f t="shared" si="8"/>
        <v>0.27872303141205834</v>
      </c>
      <c r="Y50" s="16"/>
      <c r="Z50" s="16"/>
      <c r="AA50" s="16"/>
      <c r="AB50" s="16"/>
      <c r="AC50" s="16"/>
      <c r="AD50" s="16"/>
      <c r="AE50" s="16"/>
      <c r="AF50" s="16"/>
      <c r="AG50" s="16"/>
      <c r="AH50" s="16"/>
      <c r="AI50" s="16"/>
      <c r="AJ50" s="16"/>
      <c r="AK50" s="16"/>
    </row>
    <row r="51" spans="1:37" ht="11.65" customHeight="1" x14ac:dyDescent="0.2">
      <c r="A51" s="622"/>
      <c r="B51" s="1262" t="s">
        <v>751</v>
      </c>
      <c r="C51" s="109"/>
      <c r="D51" s="491" t="s">
        <v>116</v>
      </c>
      <c r="E51" s="109"/>
      <c r="F51" s="109"/>
      <c r="G51" s="109"/>
      <c r="H51" s="109"/>
      <c r="I51" s="109"/>
      <c r="J51" s="1195">
        <v>3538986</v>
      </c>
      <c r="K51" s="1195">
        <v>3533475.5100000002</v>
      </c>
      <c r="L51" s="1195">
        <v>3639479.79</v>
      </c>
      <c r="M51" s="1284">
        <v>3748664.18</v>
      </c>
      <c r="N51" s="1195">
        <v>3861124.1</v>
      </c>
      <c r="O51" s="1195">
        <v>3976957.8200000003</v>
      </c>
      <c r="P51" s="1195">
        <v>4096266.55</v>
      </c>
      <c r="Q51" s="1195">
        <v>4219154.5600000005</v>
      </c>
      <c r="R51" s="1195">
        <v>4345729.21</v>
      </c>
      <c r="S51" s="1195">
        <v>4476101.08</v>
      </c>
      <c r="T51" s="1638">
        <f>S51*1.03</f>
        <v>4610384.1124</v>
      </c>
      <c r="U51" s="1285">
        <f t="shared" si="6"/>
        <v>40507336.9124</v>
      </c>
      <c r="V51" s="112"/>
      <c r="W51" s="1299">
        <f t="shared" si="7"/>
        <v>1071398.1124</v>
      </c>
      <c r="X51" s="1147">
        <f t="shared" si="8"/>
        <v>0.30274155150656146</v>
      </c>
      <c r="Y51" s="16"/>
      <c r="Z51" s="16"/>
      <c r="AA51" s="16"/>
      <c r="AB51" s="16"/>
      <c r="AC51" s="16"/>
      <c r="AD51" s="16"/>
      <c r="AE51" s="16"/>
      <c r="AF51" s="16"/>
      <c r="AG51" s="16"/>
      <c r="AH51" s="16"/>
      <c r="AI51" s="16"/>
      <c r="AJ51" s="16"/>
      <c r="AK51" s="16"/>
    </row>
    <row r="52" spans="1:37" ht="11.65" customHeight="1" x14ac:dyDescent="0.2">
      <c r="A52" s="622"/>
      <c r="B52" s="1472" t="s">
        <v>804</v>
      </c>
      <c r="C52" s="109"/>
      <c r="D52" s="109"/>
      <c r="E52" s="109"/>
      <c r="F52" s="109"/>
      <c r="G52" s="109"/>
      <c r="H52" s="109"/>
      <c r="I52" s="109"/>
      <c r="J52" s="1195"/>
      <c r="K52" s="1195"/>
      <c r="L52" s="1195"/>
      <c r="M52" s="1284"/>
      <c r="N52" s="1195"/>
      <c r="O52" s="1195"/>
      <c r="P52" s="1195"/>
      <c r="Q52" s="1195"/>
      <c r="R52" s="1195"/>
      <c r="S52" s="1195"/>
      <c r="T52" s="1195"/>
      <c r="U52" s="1285">
        <f t="shared" si="6"/>
        <v>0</v>
      </c>
      <c r="V52" s="112"/>
      <c r="W52" s="1299">
        <f t="shared" si="7"/>
        <v>0</v>
      </c>
      <c r="X52" s="1147">
        <f t="shared" si="8"/>
        <v>0</v>
      </c>
      <c r="Y52" s="16"/>
      <c r="Z52" s="16"/>
      <c r="AA52" s="16"/>
      <c r="AB52" s="16"/>
      <c r="AC52" s="16"/>
      <c r="AD52" s="16"/>
      <c r="AE52" s="16"/>
      <c r="AF52" s="16"/>
      <c r="AG52" s="16"/>
      <c r="AH52" s="16"/>
      <c r="AI52" s="16"/>
      <c r="AJ52" s="16"/>
      <c r="AK52" s="16"/>
    </row>
    <row r="53" spans="1:37" ht="11.65" customHeight="1" x14ac:dyDescent="0.2">
      <c r="A53" s="622"/>
      <c r="B53" s="1223" t="s">
        <v>812</v>
      </c>
      <c r="C53" s="109"/>
      <c r="D53" s="109"/>
      <c r="E53" s="109"/>
      <c r="F53" s="109"/>
      <c r="G53" s="109"/>
      <c r="H53" s="109"/>
      <c r="I53" s="109"/>
      <c r="J53" s="1197"/>
      <c r="K53" s="1197"/>
      <c r="L53" s="1197"/>
      <c r="M53" s="1283"/>
      <c r="N53" s="1197"/>
      <c r="O53" s="1197"/>
      <c r="P53" s="1197"/>
      <c r="Q53" s="1197"/>
      <c r="R53" s="1197"/>
      <c r="S53" s="1197"/>
      <c r="T53" s="1197"/>
      <c r="U53" s="1197"/>
      <c r="V53" s="151"/>
      <c r="W53" s="1298"/>
      <c r="X53" s="1261"/>
      <c r="Y53" s="16"/>
      <c r="Z53" s="16"/>
      <c r="AA53" s="16"/>
      <c r="AB53" s="16"/>
      <c r="AC53" s="16"/>
      <c r="AD53" s="16"/>
      <c r="AE53" s="16"/>
      <c r="AF53" s="16"/>
      <c r="AG53" s="16"/>
      <c r="AH53" s="16"/>
      <c r="AI53" s="16"/>
      <c r="AJ53" s="16"/>
      <c r="AK53" s="16"/>
    </row>
    <row r="54" spans="1:37" ht="11.65" customHeight="1" x14ac:dyDescent="0.2">
      <c r="A54" s="622"/>
      <c r="B54" s="1262" t="s">
        <v>813</v>
      </c>
      <c r="C54" s="109"/>
      <c r="D54" s="491" t="s">
        <v>116</v>
      </c>
      <c r="E54" s="109"/>
      <c r="F54" s="109"/>
      <c r="G54" s="109"/>
      <c r="H54" s="109"/>
      <c r="I54" s="109"/>
      <c r="J54" s="1195"/>
      <c r="K54" s="1195"/>
      <c r="L54" s="1195"/>
      <c r="M54" s="1195"/>
      <c r="N54" s="1195"/>
      <c r="O54" s="1195"/>
      <c r="P54" s="1195"/>
      <c r="Q54" s="1195"/>
      <c r="R54" s="1195"/>
      <c r="S54" s="1195"/>
      <c r="T54" s="1195"/>
      <c r="U54" s="1285">
        <f>SUM(K54:T54)</f>
        <v>0</v>
      </c>
      <c r="V54" s="112"/>
      <c r="W54" s="1299">
        <f>T54-J54</f>
        <v>0</v>
      </c>
      <c r="X54" s="1147">
        <f>IF(J54=0,0,(W54/J54))</f>
        <v>0</v>
      </c>
      <c r="Y54" s="16"/>
      <c r="Z54" s="16"/>
      <c r="AA54" s="16"/>
      <c r="AB54" s="16"/>
      <c r="AC54" s="16"/>
      <c r="AD54" s="16"/>
      <c r="AE54" s="16"/>
      <c r="AF54" s="16"/>
      <c r="AG54" s="16"/>
      <c r="AH54" s="16"/>
      <c r="AI54" s="16"/>
      <c r="AJ54" s="16"/>
      <c r="AK54" s="16"/>
    </row>
    <row r="55" spans="1:37" ht="11.65" customHeight="1" x14ac:dyDescent="0.2">
      <c r="A55" s="622"/>
      <c r="B55" s="1262" t="s">
        <v>754</v>
      </c>
      <c r="C55" s="109"/>
      <c r="D55" s="491" t="s">
        <v>116</v>
      </c>
      <c r="E55" s="109"/>
      <c r="F55" s="109"/>
      <c r="G55" s="109"/>
      <c r="H55" s="109"/>
      <c r="I55" s="109"/>
      <c r="J55" s="1195">
        <v>50000</v>
      </c>
      <c r="K55" s="1195">
        <v>50000</v>
      </c>
      <c r="L55" s="1195">
        <v>50000</v>
      </c>
      <c r="M55" s="1195">
        <v>50000</v>
      </c>
      <c r="N55" s="1195">
        <v>50000</v>
      </c>
      <c r="O55" s="1195">
        <v>50000</v>
      </c>
      <c r="P55" s="1195">
        <v>50000</v>
      </c>
      <c r="Q55" s="1195">
        <v>50000</v>
      </c>
      <c r="R55" s="1195">
        <v>50000</v>
      </c>
      <c r="S55" s="1195">
        <v>50000</v>
      </c>
      <c r="T55" s="1638">
        <v>50000</v>
      </c>
      <c r="U55" s="1285">
        <f>SUM(K55:T55)</f>
        <v>500000</v>
      </c>
      <c r="V55" s="112"/>
      <c r="W55" s="1299">
        <f>T55-J55</f>
        <v>0</v>
      </c>
      <c r="X55" s="1147">
        <f>IF(J55=0,0,(W55/J55))</f>
        <v>0</v>
      </c>
      <c r="Y55" s="16"/>
      <c r="Z55" s="16"/>
      <c r="AA55" s="16"/>
      <c r="AB55" s="16"/>
      <c r="AC55" s="16"/>
      <c r="AD55" s="16"/>
      <c r="AE55" s="16"/>
      <c r="AF55" s="16"/>
      <c r="AG55" s="16"/>
      <c r="AH55" s="16"/>
      <c r="AI55" s="16"/>
      <c r="AJ55" s="16"/>
      <c r="AK55" s="16"/>
    </row>
    <row r="56" spans="1:37" ht="11.65" customHeight="1" x14ac:dyDescent="0.2">
      <c r="A56" s="622"/>
      <c r="B56" s="1262" t="s">
        <v>753</v>
      </c>
      <c r="C56" s="109"/>
      <c r="D56" s="491" t="s">
        <v>116</v>
      </c>
      <c r="E56" s="109"/>
      <c r="F56" s="109"/>
      <c r="G56" s="109"/>
      <c r="H56" s="109"/>
      <c r="I56" s="109"/>
      <c r="J56" s="1196"/>
      <c r="K56" s="1196"/>
      <c r="L56" s="1196"/>
      <c r="M56" s="1196"/>
      <c r="N56" s="1196"/>
      <c r="O56" s="1196"/>
      <c r="P56" s="1196"/>
      <c r="Q56" s="1196"/>
      <c r="R56" s="1196"/>
      <c r="S56" s="1196"/>
      <c r="T56" s="1196"/>
      <c r="U56" s="1285">
        <f>SUM(K56:T56)</f>
        <v>0</v>
      </c>
      <c r="V56" s="112"/>
      <c r="W56" s="1299">
        <f>T56-J56</f>
        <v>0</v>
      </c>
      <c r="X56" s="1147">
        <f>IF(J56=0,0,(W56/J56))</f>
        <v>0</v>
      </c>
      <c r="Y56" s="16"/>
      <c r="Z56" s="16"/>
      <c r="AA56" s="16"/>
      <c r="AB56" s="16"/>
      <c r="AC56" s="16"/>
      <c r="AD56" s="16"/>
      <c r="AE56" s="16"/>
      <c r="AF56" s="16"/>
      <c r="AG56" s="16"/>
      <c r="AH56" s="16"/>
      <c r="AI56" s="16"/>
      <c r="AJ56" s="16"/>
      <c r="AK56" s="16"/>
    </row>
    <row r="57" spans="1:37" ht="11.65" customHeight="1" x14ac:dyDescent="0.2">
      <c r="A57" s="622"/>
      <c r="B57" s="1263"/>
      <c r="C57" s="1"/>
      <c r="D57" s="1"/>
      <c r="E57" s="1"/>
      <c r="F57" s="1"/>
      <c r="G57" s="1"/>
      <c r="H57" s="1"/>
      <c r="I57" s="1"/>
      <c r="J57" s="1197"/>
      <c r="K57" s="1197"/>
      <c r="L57" s="1197"/>
      <c r="M57" s="1283"/>
      <c r="N57" s="1197"/>
      <c r="O57" s="1197"/>
      <c r="P57" s="1197"/>
      <c r="Q57" s="1197"/>
      <c r="R57" s="1197"/>
      <c r="S57" s="1197"/>
      <c r="T57" s="1197"/>
      <c r="U57" s="1197"/>
      <c r="V57" s="151"/>
      <c r="W57" s="1298"/>
      <c r="X57" s="1261"/>
      <c r="Y57" s="16"/>
      <c r="Z57" s="16"/>
      <c r="AA57" s="16"/>
      <c r="AB57" s="16"/>
      <c r="AC57" s="16"/>
      <c r="AD57" s="16"/>
      <c r="AE57" s="16"/>
      <c r="AF57" s="16"/>
      <c r="AG57" s="16"/>
      <c r="AH57" s="16"/>
      <c r="AI57" s="16"/>
      <c r="AJ57" s="16"/>
      <c r="AK57" s="16"/>
    </row>
    <row r="58" spans="1:37" ht="11.65" customHeight="1" x14ac:dyDescent="0.2">
      <c r="A58" s="622"/>
      <c r="B58" s="668" t="s">
        <v>814</v>
      </c>
      <c r="C58" s="109"/>
      <c r="D58" s="491" t="s">
        <v>116</v>
      </c>
      <c r="E58" s="109"/>
      <c r="F58" s="109"/>
      <c r="G58" s="109"/>
      <c r="H58" s="109"/>
      <c r="I58" s="109"/>
      <c r="J58" s="1286">
        <f>SUM(J47:J52,J54:J56)</f>
        <v>132772974.48999998</v>
      </c>
      <c r="K58" s="1286">
        <f t="shared" ref="K58:W58" si="9">SUM(K47:K52,K54:K56)</f>
        <v>135587088.20896569</v>
      </c>
      <c r="L58" s="1286">
        <f t="shared" si="9"/>
        <v>139013956.46764156</v>
      </c>
      <c r="M58" s="1292">
        <f t="shared" si="9"/>
        <v>142626339.74462843</v>
      </c>
      <c r="N58" s="1286">
        <f t="shared" si="9"/>
        <v>147117795.82575655</v>
      </c>
      <c r="O58" s="1286">
        <f t="shared" si="9"/>
        <v>153015103.07772899</v>
      </c>
      <c r="P58" s="1286">
        <f t="shared" si="9"/>
        <v>156728385.45754886</v>
      </c>
      <c r="Q58" s="1286">
        <f t="shared" si="9"/>
        <v>160834143.68030107</v>
      </c>
      <c r="R58" s="1286">
        <f t="shared" si="9"/>
        <v>165305363.45205012</v>
      </c>
      <c r="S58" s="1286">
        <f t="shared" si="9"/>
        <v>170490863.3135663</v>
      </c>
      <c r="T58" s="1286">
        <f t="shared" si="9"/>
        <v>175286363.84481701</v>
      </c>
      <c r="U58" s="1286">
        <f t="shared" si="9"/>
        <v>1546005403.0730045</v>
      </c>
      <c r="V58" s="118">
        <f t="shared" si="9"/>
        <v>0</v>
      </c>
      <c r="W58" s="1300">
        <f t="shared" si="9"/>
        <v>42513389.354817055</v>
      </c>
      <c r="X58" s="1264">
        <f>IF(J58=0,0,(W58/J58))</f>
        <v>0.320196105556248</v>
      </c>
      <c r="Y58" s="16"/>
      <c r="Z58" s="16"/>
      <c r="AA58" s="16"/>
      <c r="AB58" s="16"/>
      <c r="AC58" s="16"/>
      <c r="AD58" s="16"/>
      <c r="AE58" s="16"/>
      <c r="AF58" s="16"/>
      <c r="AG58" s="16"/>
      <c r="AH58" s="16"/>
      <c r="AI58" s="16"/>
      <c r="AJ58" s="16"/>
      <c r="AK58" s="16"/>
    </row>
    <row r="59" spans="1:37" ht="11.65" customHeight="1" x14ac:dyDescent="0.2">
      <c r="A59" s="622"/>
      <c r="B59" s="668"/>
      <c r="C59" s="109"/>
      <c r="D59" s="109"/>
      <c r="E59" s="109"/>
      <c r="F59" s="109"/>
      <c r="G59" s="109"/>
      <c r="H59" s="109"/>
      <c r="I59" s="109"/>
      <c r="J59" s="1286"/>
      <c r="K59" s="1286"/>
      <c r="L59" s="1286"/>
      <c r="M59" s="1292"/>
      <c r="N59" s="1286"/>
      <c r="O59" s="1286"/>
      <c r="P59" s="1286"/>
      <c r="Q59" s="1286"/>
      <c r="R59" s="1286"/>
      <c r="S59" s="1286"/>
      <c r="T59" s="1286"/>
      <c r="U59" s="1286"/>
      <c r="V59" s="118"/>
      <c r="W59" s="1300"/>
      <c r="X59" s="1264"/>
      <c r="Y59" s="16"/>
      <c r="Z59" s="16"/>
      <c r="AA59" s="16"/>
      <c r="AB59" s="16"/>
      <c r="AC59" s="16"/>
      <c r="AD59" s="16"/>
      <c r="AE59" s="16"/>
      <c r="AF59" s="16"/>
      <c r="AG59" s="16"/>
      <c r="AH59" s="16"/>
      <c r="AI59" s="16"/>
      <c r="AJ59" s="16"/>
      <c r="AK59" s="16"/>
    </row>
    <row r="60" spans="1:37" ht="24" x14ac:dyDescent="0.2">
      <c r="A60" s="622"/>
      <c r="B60" s="1265" t="s">
        <v>815</v>
      </c>
      <c r="C60" s="109"/>
      <c r="D60" s="491" t="s">
        <v>116</v>
      </c>
      <c r="E60" s="109"/>
      <c r="F60" s="109"/>
      <c r="G60" s="109"/>
      <c r="H60" s="109"/>
      <c r="I60" s="109"/>
      <c r="J60" s="1285">
        <f t="shared" ref="J60:T60" si="10">J58-SUM(J54:J56)</f>
        <v>132722974.48999998</v>
      </c>
      <c r="K60" s="1285">
        <f t="shared" si="10"/>
        <v>135537088.20896569</v>
      </c>
      <c r="L60" s="1285">
        <f t="shared" si="10"/>
        <v>138963956.46764156</v>
      </c>
      <c r="M60" s="1285">
        <f t="shared" si="10"/>
        <v>142576339.74462843</v>
      </c>
      <c r="N60" s="1285">
        <f t="shared" si="10"/>
        <v>147067795.82575655</v>
      </c>
      <c r="O60" s="1285">
        <f t="shared" si="10"/>
        <v>152965103.07772899</v>
      </c>
      <c r="P60" s="1285">
        <f t="shared" si="10"/>
        <v>156678385.45754886</v>
      </c>
      <c r="Q60" s="1285">
        <f t="shared" si="10"/>
        <v>160784143.68030107</v>
      </c>
      <c r="R60" s="1285">
        <f t="shared" si="10"/>
        <v>165255363.45205012</v>
      </c>
      <c r="S60" s="1285">
        <f t="shared" si="10"/>
        <v>170440863.3135663</v>
      </c>
      <c r="T60" s="1285">
        <f t="shared" si="10"/>
        <v>175236363.84481701</v>
      </c>
      <c r="U60" s="1285">
        <f>U58-U56</f>
        <v>1546005403.0730045</v>
      </c>
      <c r="V60" s="112"/>
      <c r="W60" s="1299">
        <f>T60-J60</f>
        <v>42513389.354817033</v>
      </c>
      <c r="X60" s="1147">
        <f>IF(J60=0,0,(W60/J60))</f>
        <v>0.32031673128317512</v>
      </c>
      <c r="Y60" s="16"/>
      <c r="Z60" s="16"/>
      <c r="AA60" s="16"/>
      <c r="AB60" s="16"/>
      <c r="AC60" s="16"/>
      <c r="AD60" s="16"/>
      <c r="AE60" s="16"/>
      <c r="AF60" s="16"/>
      <c r="AG60" s="16"/>
      <c r="AH60" s="16"/>
      <c r="AI60" s="16"/>
      <c r="AJ60" s="16"/>
      <c r="AK60" s="16"/>
    </row>
    <row r="61" spans="1:37" ht="11.65" customHeight="1" x14ac:dyDescent="0.2">
      <c r="A61" s="622"/>
      <c r="B61" s="1263"/>
      <c r="C61" s="109"/>
      <c r="D61" s="109"/>
      <c r="E61" s="109"/>
      <c r="F61" s="109"/>
      <c r="G61" s="109"/>
      <c r="H61" s="109"/>
      <c r="I61" s="109"/>
      <c r="J61" s="1285"/>
      <c r="K61" s="1285"/>
      <c r="L61" s="1285"/>
      <c r="M61" s="1199"/>
      <c r="N61" s="1285"/>
      <c r="O61" s="1285"/>
      <c r="P61" s="1285"/>
      <c r="Q61" s="1285"/>
      <c r="R61" s="1285"/>
      <c r="S61" s="1285"/>
      <c r="T61" s="1285"/>
      <c r="U61" s="1285"/>
      <c r="V61" s="112"/>
      <c r="W61" s="1299"/>
      <c r="X61" s="1147"/>
      <c r="Y61" s="16"/>
      <c r="Z61" s="16"/>
      <c r="AA61" s="16"/>
      <c r="AB61" s="16"/>
      <c r="AC61" s="16"/>
      <c r="AD61" s="16"/>
      <c r="AE61" s="16"/>
      <c r="AF61" s="16"/>
      <c r="AG61" s="16"/>
      <c r="AH61" s="16"/>
      <c r="AI61" s="16"/>
      <c r="AJ61" s="16"/>
      <c r="AK61" s="16"/>
    </row>
    <row r="62" spans="1:37" customFormat="1" ht="11.65" customHeight="1" x14ac:dyDescent="0.2">
      <c r="A62" s="620"/>
      <c r="B62" s="1266" t="s">
        <v>816</v>
      </c>
      <c r="C62" s="265"/>
      <c r="D62" s="265"/>
      <c r="E62" s="265"/>
      <c r="F62" s="265"/>
      <c r="G62" s="265"/>
      <c r="H62" s="265"/>
      <c r="I62" s="265"/>
      <c r="J62" s="1287"/>
      <c r="K62" s="1293"/>
      <c r="L62" s="1288"/>
      <c r="M62" s="1294"/>
      <c r="N62" s="1289"/>
      <c r="O62" s="1289"/>
      <c r="P62" s="1289"/>
      <c r="Q62" s="1289"/>
      <c r="R62" s="1289"/>
      <c r="S62" s="1289"/>
      <c r="T62" s="1289"/>
      <c r="U62" s="1289"/>
      <c r="V62" s="18"/>
      <c r="W62" s="1301"/>
      <c r="X62" s="1166"/>
      <c r="Y62" s="3"/>
      <c r="Z62" s="16"/>
      <c r="AA62" s="16"/>
      <c r="AB62" s="3"/>
      <c r="AC62" s="3"/>
      <c r="AD62" s="3"/>
      <c r="AE62" s="3"/>
      <c r="AF62" s="3"/>
      <c r="AG62" s="3"/>
      <c r="AH62" s="3"/>
      <c r="AI62" s="3"/>
      <c r="AJ62" s="3"/>
      <c r="AK62" s="3"/>
    </row>
    <row r="63" spans="1:37" ht="11.65" customHeight="1" x14ac:dyDescent="0.2">
      <c r="A63" s="622"/>
      <c r="B63" s="668"/>
      <c r="C63" s="1"/>
      <c r="D63" s="1"/>
      <c r="E63" s="1"/>
      <c r="F63" s="1"/>
      <c r="G63" s="1"/>
      <c r="H63" s="1"/>
      <c r="I63" s="1"/>
      <c r="J63" s="290"/>
      <c r="K63" s="290"/>
      <c r="L63" s="290"/>
      <c r="M63" s="1295"/>
      <c r="N63" s="290"/>
      <c r="O63" s="290"/>
      <c r="P63" s="290"/>
      <c r="Q63" s="290"/>
      <c r="R63" s="290"/>
      <c r="S63" s="290"/>
      <c r="T63" s="290"/>
      <c r="U63" s="1283"/>
      <c r="V63" s="151"/>
      <c r="W63" s="1298"/>
      <c r="X63" s="1261"/>
      <c r="Y63" s="16"/>
      <c r="Z63" s="16"/>
      <c r="AA63" s="16"/>
      <c r="AB63" s="16"/>
      <c r="AC63" s="16"/>
      <c r="AD63" s="16"/>
      <c r="AE63" s="16"/>
      <c r="AF63" s="16"/>
      <c r="AG63" s="16"/>
      <c r="AH63" s="16"/>
      <c r="AI63" s="16"/>
      <c r="AJ63" s="16"/>
      <c r="AK63" s="16"/>
    </row>
    <row r="64" spans="1:37" ht="11.65" customHeight="1" x14ac:dyDescent="0.2">
      <c r="A64" s="622"/>
      <c r="B64" s="1263" t="s">
        <v>758</v>
      </c>
      <c r="C64" s="109"/>
      <c r="D64" s="491" t="s">
        <v>116</v>
      </c>
      <c r="E64" s="109"/>
      <c r="F64" s="109"/>
      <c r="G64" s="109"/>
      <c r="H64" s="109"/>
      <c r="I64" s="109"/>
      <c r="J64" s="1199">
        <f t="shared" ref="J64:T64" si="11">J39-J58</f>
        <v>7838612.7500000298</v>
      </c>
      <c r="K64" s="1199">
        <f t="shared" si="11"/>
        <v>11781985.591034323</v>
      </c>
      <c r="L64" s="1199">
        <f t="shared" si="11"/>
        <v>14829674.702358395</v>
      </c>
      <c r="M64" s="1199">
        <f t="shared" si="11"/>
        <v>15382918.805371553</v>
      </c>
      <c r="N64" s="1199">
        <f t="shared" si="11"/>
        <v>14687204.764243484</v>
      </c>
      <c r="O64" s="1199">
        <f t="shared" si="11"/>
        <v>14798120.982270956</v>
      </c>
      <c r="P64" s="1199">
        <f t="shared" si="11"/>
        <v>15982521.7124511</v>
      </c>
      <c r="Q64" s="1199">
        <f t="shared" si="11"/>
        <v>14737786.139698923</v>
      </c>
      <c r="R64" s="1199">
        <f t="shared" si="11"/>
        <v>15713032.04794991</v>
      </c>
      <c r="S64" s="1199">
        <f t="shared" si="11"/>
        <v>16153093.906433702</v>
      </c>
      <c r="T64" s="1199">
        <f t="shared" si="11"/>
        <v>17325333.862583011</v>
      </c>
      <c r="U64" s="1199">
        <f>SUM(K64:T64)</f>
        <v>151391672.51439536</v>
      </c>
      <c r="V64" s="112"/>
      <c r="W64" s="1299">
        <f>T64-J64</f>
        <v>9486721.1125829816</v>
      </c>
      <c r="X64" s="1147">
        <f>IF(J64=0,0,(W64/J64))</f>
        <v>1.2102551070127741</v>
      </c>
      <c r="Y64" s="16"/>
      <c r="Z64" s="16"/>
      <c r="AA64" s="16"/>
      <c r="AB64" s="16"/>
      <c r="AC64" s="16"/>
      <c r="AD64" s="16"/>
      <c r="AE64" s="16"/>
      <c r="AF64" s="16"/>
      <c r="AG64" s="16"/>
      <c r="AH64" s="16"/>
      <c r="AI64" s="16"/>
      <c r="AJ64" s="16"/>
      <c r="AK64" s="16"/>
    </row>
    <row r="65" spans="1:43" x14ac:dyDescent="0.2">
      <c r="A65" s="622"/>
      <c r="B65" s="1267" t="s">
        <v>817</v>
      </c>
      <c r="C65" s="109"/>
      <c r="D65" s="491" t="s">
        <v>116</v>
      </c>
      <c r="E65" s="109"/>
      <c r="F65" s="109"/>
      <c r="G65" s="109"/>
      <c r="H65" s="109"/>
      <c r="I65" s="109"/>
      <c r="J65" s="1292">
        <f t="shared" ref="J65:T65" si="12">J41-J58</f>
        <v>-3156301.2499999702</v>
      </c>
      <c r="K65" s="1292">
        <f t="shared" si="12"/>
        <v>3489573.091034323</v>
      </c>
      <c r="L65" s="1292">
        <f t="shared" si="12"/>
        <v>4017896.9723584056</v>
      </c>
      <c r="M65" s="1292">
        <f t="shared" si="12"/>
        <v>4448231.7753715515</v>
      </c>
      <c r="N65" s="1292">
        <f t="shared" si="12"/>
        <v>3625962.4842434824</v>
      </c>
      <c r="O65" s="1292">
        <f t="shared" si="12"/>
        <v>3606564.032270968</v>
      </c>
      <c r="P65" s="1292">
        <f t="shared" si="12"/>
        <v>4606782.5424511135</v>
      </c>
      <c r="Q65" s="1292">
        <f t="shared" si="12"/>
        <v>5723881.2796989083</v>
      </c>
      <c r="R65" s="1292">
        <f t="shared" si="12"/>
        <v>6556857.2179498971</v>
      </c>
      <c r="S65" s="1292">
        <f t="shared" si="12"/>
        <v>6854804.0064336956</v>
      </c>
      <c r="T65" s="1292">
        <f t="shared" si="12"/>
        <v>7841078.1645829976</v>
      </c>
      <c r="U65" s="1292">
        <f>SUM(K65:T65)</f>
        <v>50771631.566395342</v>
      </c>
      <c r="V65" s="112"/>
      <c r="W65" s="1300">
        <f>T65-J65</f>
        <v>10997379.414582968</v>
      </c>
      <c r="X65" s="1264">
        <f>IF(J65=0,0,(W65/J65))</f>
        <v>-3.4842616542331224</v>
      </c>
      <c r="Y65" s="16"/>
      <c r="Z65" s="16"/>
      <c r="AA65" s="16"/>
      <c r="AB65" s="16"/>
      <c r="AC65" s="16"/>
      <c r="AD65" s="16"/>
      <c r="AE65" s="16"/>
      <c r="AF65" s="16"/>
      <c r="AG65" s="16"/>
      <c r="AH65" s="16"/>
      <c r="AI65" s="16"/>
      <c r="AJ65" s="16"/>
      <c r="AK65" s="16"/>
    </row>
    <row r="66" spans="1:43" ht="38.65" customHeight="1" x14ac:dyDescent="0.2">
      <c r="A66" s="622"/>
      <c r="B66" s="1268" t="s">
        <v>818</v>
      </c>
      <c r="C66" s="109"/>
      <c r="D66" s="491" t="s">
        <v>116</v>
      </c>
      <c r="E66" s="109"/>
      <c r="F66" s="109"/>
      <c r="G66" s="109"/>
      <c r="H66" s="109"/>
      <c r="I66" s="109"/>
      <c r="J66" s="1199">
        <f t="shared" ref="J66:T66" si="13">J43-J60</f>
        <v>-4276301.2499999702</v>
      </c>
      <c r="K66" s="1199">
        <f t="shared" si="13"/>
        <v>2369573.091034323</v>
      </c>
      <c r="L66" s="1199">
        <f t="shared" si="13"/>
        <v>2897896.9723584056</v>
      </c>
      <c r="M66" s="1199">
        <f t="shared" si="13"/>
        <v>3328231.7753715515</v>
      </c>
      <c r="N66" s="1199">
        <f t="shared" si="13"/>
        <v>2505962.4842434824</v>
      </c>
      <c r="O66" s="1199">
        <f t="shared" si="13"/>
        <v>2486564.032270968</v>
      </c>
      <c r="P66" s="1199">
        <f t="shared" si="13"/>
        <v>3486782.5424511135</v>
      </c>
      <c r="Q66" s="1199">
        <f t="shared" si="13"/>
        <v>4603881.2796989083</v>
      </c>
      <c r="R66" s="1199">
        <f t="shared" si="13"/>
        <v>5436857.2179498971</v>
      </c>
      <c r="S66" s="1199">
        <f t="shared" si="13"/>
        <v>5734804.0064336956</v>
      </c>
      <c r="T66" s="1199">
        <f t="shared" si="13"/>
        <v>6721078.1645829976</v>
      </c>
      <c r="U66" s="1199">
        <f>SUM(K66:T66)</f>
        <v>39571631.566395342</v>
      </c>
      <c r="V66" s="118"/>
      <c r="W66" s="1299">
        <f>T66-J66</f>
        <v>10997379.414582968</v>
      </c>
      <c r="X66" s="1147">
        <f>IF(J66=0,0,(W66/J66))</f>
        <v>-2.5717036222794278</v>
      </c>
      <c r="Y66" s="16"/>
      <c r="Z66" s="16"/>
      <c r="AA66" s="16"/>
      <c r="AB66" s="16"/>
      <c r="AC66" s="16"/>
      <c r="AD66" s="16"/>
      <c r="AE66" s="16"/>
      <c r="AF66" s="16"/>
      <c r="AG66" s="16"/>
      <c r="AH66" s="16"/>
      <c r="AI66" s="16"/>
      <c r="AJ66" s="16"/>
      <c r="AK66" s="16"/>
    </row>
    <row r="67" spans="1:43" ht="11.65" customHeight="1" x14ac:dyDescent="0.2">
      <c r="A67" s="622"/>
      <c r="B67" s="668"/>
      <c r="C67" s="1"/>
      <c r="D67" s="1"/>
      <c r="E67" s="1"/>
      <c r="F67" s="1"/>
      <c r="G67" s="1"/>
      <c r="H67" s="1"/>
      <c r="I67" s="1"/>
      <c r="J67" s="290"/>
      <c r="K67" s="290"/>
      <c r="L67" s="290"/>
      <c r="M67" s="1295"/>
      <c r="N67" s="290"/>
      <c r="O67" s="290"/>
      <c r="P67" s="290"/>
      <c r="Q67" s="290"/>
      <c r="R67" s="290"/>
      <c r="S67" s="290"/>
      <c r="T67" s="290"/>
      <c r="U67" s="1283"/>
      <c r="V67" s="151"/>
      <c r="W67" s="1298"/>
      <c r="X67" s="1261"/>
      <c r="Y67" s="16"/>
      <c r="Z67" s="16"/>
      <c r="AA67" s="16"/>
      <c r="AB67" s="16"/>
      <c r="AC67" s="16"/>
      <c r="AD67" s="16"/>
      <c r="AE67" s="16"/>
      <c r="AF67" s="16"/>
      <c r="AG67" s="16"/>
      <c r="AH67" s="16"/>
      <c r="AI67" s="16"/>
      <c r="AJ67" s="16"/>
      <c r="AK67" s="16"/>
    </row>
    <row r="68" spans="1:43" customFormat="1" ht="11.65" customHeight="1" x14ac:dyDescent="0.2">
      <c r="A68" s="620"/>
      <c r="B68" s="1266" t="s">
        <v>819</v>
      </c>
      <c r="C68" s="265"/>
      <c r="D68" s="265"/>
      <c r="E68" s="265"/>
      <c r="F68" s="265"/>
      <c r="G68" s="265"/>
      <c r="H68" s="265"/>
      <c r="I68" s="265"/>
      <c r="J68" s="1288"/>
      <c r="K68" s="1293"/>
      <c r="L68" s="1288"/>
      <c r="M68" s="1294"/>
      <c r="N68" s="1289"/>
      <c r="O68" s="1289"/>
      <c r="P68" s="1289"/>
      <c r="Q68" s="1289"/>
      <c r="R68" s="1289"/>
      <c r="S68" s="1289"/>
      <c r="T68" s="1289"/>
      <c r="U68" s="1289"/>
      <c r="V68" s="18"/>
      <c r="W68" s="1301"/>
      <c r="X68" s="1166"/>
      <c r="Y68" s="3"/>
      <c r="Z68" s="16"/>
      <c r="AA68" s="16"/>
      <c r="AB68" s="16"/>
      <c r="AC68" s="16"/>
      <c r="AD68" s="16"/>
      <c r="AE68" s="16"/>
      <c r="AF68" s="16"/>
      <c r="AG68" s="16"/>
      <c r="AH68" s="16"/>
      <c r="AI68" s="16"/>
      <c r="AJ68" s="16"/>
      <c r="AK68" s="16"/>
      <c r="AL68" s="14"/>
      <c r="AM68" s="14"/>
      <c r="AN68" s="14"/>
      <c r="AO68" s="14"/>
      <c r="AP68" s="14"/>
      <c r="AQ68" s="14"/>
    </row>
    <row r="69" spans="1:43" ht="11.65" customHeight="1" x14ac:dyDescent="0.2">
      <c r="A69" s="622"/>
      <c r="B69" s="668"/>
      <c r="C69" s="1"/>
      <c r="D69" s="1"/>
      <c r="E69" s="1"/>
      <c r="F69" s="1"/>
      <c r="G69" s="1"/>
      <c r="H69" s="1"/>
      <c r="I69" s="1"/>
      <c r="J69" s="290"/>
      <c r="K69" s="290"/>
      <c r="L69" s="290"/>
      <c r="M69" s="1295"/>
      <c r="N69" s="290"/>
      <c r="O69" s="290"/>
      <c r="P69" s="290"/>
      <c r="Q69" s="290"/>
      <c r="R69" s="290"/>
      <c r="S69" s="290"/>
      <c r="T69" s="290"/>
      <c r="U69" s="1283"/>
      <c r="V69" s="151"/>
      <c r="W69" s="1298"/>
      <c r="X69" s="1261"/>
      <c r="Y69" s="16"/>
      <c r="Z69" s="16"/>
      <c r="AA69" s="16"/>
      <c r="AB69" s="16"/>
      <c r="AC69" s="16"/>
      <c r="AD69" s="16"/>
      <c r="AE69" s="16"/>
      <c r="AF69" s="16"/>
      <c r="AG69" s="16"/>
      <c r="AH69" s="16"/>
      <c r="AI69" s="16"/>
      <c r="AJ69" s="16"/>
      <c r="AK69" s="16"/>
    </row>
    <row r="70" spans="1:43" ht="11.65" customHeight="1" x14ac:dyDescent="0.2">
      <c r="A70" s="622"/>
      <c r="B70" s="1263" t="s">
        <v>820</v>
      </c>
      <c r="C70" s="109"/>
      <c r="D70" s="491" t="s">
        <v>116</v>
      </c>
      <c r="E70" s="109"/>
      <c r="F70" s="109"/>
      <c r="G70" s="109"/>
      <c r="H70" s="109"/>
      <c r="I70" s="109"/>
      <c r="J70" s="1199"/>
      <c r="K70" s="1199">
        <f>SUM(K26:K27)-SUM(J26:J27)</f>
        <v>8735395</v>
      </c>
      <c r="L70" s="1199">
        <f t="shared" ref="L70:T70" si="14">SUM(L26:L27)-SUM(K26:K27)</f>
        <v>2440091.849999994</v>
      </c>
      <c r="M70" s="1199">
        <f t="shared" si="14"/>
        <v>2513294.6000000089</v>
      </c>
      <c r="N70" s="1199">
        <f t="shared" si="14"/>
        <v>2588693.4400000125</v>
      </c>
      <c r="O70" s="1199">
        <f t="shared" si="14"/>
        <v>4149726.3999999762</v>
      </c>
      <c r="P70" s="1199">
        <f t="shared" si="14"/>
        <v>2790846.0300000012</v>
      </c>
      <c r="Q70" s="1199">
        <f t="shared" si="14"/>
        <v>2874571.4200000018</v>
      </c>
      <c r="R70" s="1199">
        <f t="shared" si="14"/>
        <v>2960808.5599999875</v>
      </c>
      <c r="S70" s="1199">
        <f t="shared" si="14"/>
        <v>3049632.8200000077</v>
      </c>
      <c r="T70" s="1199">
        <f t="shared" si="14"/>
        <v>3162121.8035999984</v>
      </c>
      <c r="U70" s="1199">
        <f t="shared" ref="U70" si="15">SUM(U26:U27)-SUM(T26:T27)</f>
        <v>840480492.95999992</v>
      </c>
      <c r="V70" s="112"/>
      <c r="W70" s="1302"/>
      <c r="X70" s="1269"/>
      <c r="Y70" s="16"/>
      <c r="Z70" s="16"/>
      <c r="AA70" s="16"/>
      <c r="AB70" s="16"/>
      <c r="AC70" s="16"/>
      <c r="AD70" s="16"/>
      <c r="AE70" s="16"/>
      <c r="AF70" s="16"/>
      <c r="AG70" s="16"/>
      <c r="AH70" s="16"/>
      <c r="AI70" s="16"/>
      <c r="AJ70" s="16"/>
      <c r="AK70" s="16"/>
    </row>
    <row r="71" spans="1:43" ht="11.65" customHeight="1" x14ac:dyDescent="0.2">
      <c r="A71" s="622"/>
      <c r="B71" s="1270" t="s">
        <v>821</v>
      </c>
      <c r="C71" s="1271"/>
      <c r="D71" s="1272" t="s">
        <v>108</v>
      </c>
      <c r="E71" s="1271"/>
      <c r="F71" s="1271"/>
      <c r="G71" s="1271"/>
      <c r="H71" s="1271"/>
      <c r="I71" s="1271"/>
      <c r="J71" s="1296"/>
      <c r="K71" s="1297">
        <f>IF(J27+J26=0,0,SUM(K26:K27)/SUM(J26:J27)-1)</f>
        <v>0.11917156655434447</v>
      </c>
      <c r="L71" s="1297">
        <f t="shared" ref="L71:T71" si="16">IF(K27+K26=0,0,SUM(L26:L27)/SUM(K26:K27)-1)</f>
        <v>2.974401605531285E-2</v>
      </c>
      <c r="M71" s="1297">
        <f t="shared" si="16"/>
        <v>2.975141005168358E-2</v>
      </c>
      <c r="N71" s="1297">
        <f t="shared" si="16"/>
        <v>2.9758592294980568E-2</v>
      </c>
      <c r="O71" s="1297">
        <f t="shared" si="16"/>
        <v>4.6325039638102083E-2</v>
      </c>
      <c r="P71" s="1297">
        <f t="shared" si="16"/>
        <v>2.9775947810680492E-2</v>
      </c>
      <c r="Q71" s="1297">
        <f t="shared" si="16"/>
        <v>2.9782426368855752E-2</v>
      </c>
      <c r="R71" s="1297">
        <f t="shared" si="16"/>
        <v>2.9788718808448467E-2</v>
      </c>
      <c r="S71" s="1297">
        <f t="shared" si="16"/>
        <v>2.9794830574954689E-2</v>
      </c>
      <c r="T71" s="1297">
        <f t="shared" si="16"/>
        <v>3.0000000000000027E-2</v>
      </c>
      <c r="U71" s="1297">
        <f t="shared" ref="U71" si="17">IF(T27+T26=0,0,SUM(U26:U27)/SUM(T26:T27)-1)</f>
        <v>7.7416418084174818</v>
      </c>
      <c r="V71" s="1152"/>
      <c r="W71" s="1303"/>
      <c r="X71" s="1273"/>
      <c r="Y71" s="16"/>
      <c r="Z71" s="16"/>
      <c r="AA71" s="16"/>
      <c r="AB71" s="16"/>
      <c r="AC71" s="16"/>
      <c r="AD71" s="16"/>
      <c r="AE71" s="16"/>
      <c r="AF71" s="16"/>
      <c r="AG71" s="16"/>
      <c r="AH71" s="16"/>
      <c r="AI71" s="16"/>
      <c r="AJ71" s="16"/>
      <c r="AK71" s="16"/>
    </row>
    <row r="72" spans="1:43" x14ac:dyDescent="0.2">
      <c r="A72" s="622"/>
      <c r="B72" s="347" t="s">
        <v>77</v>
      </c>
      <c r="C72" s="1"/>
      <c r="D72" s="1"/>
      <c r="E72" s="1"/>
      <c r="F72" s="1"/>
      <c r="G72" s="1"/>
      <c r="H72" s="1"/>
      <c r="I72" s="1"/>
      <c r="J72" s="16"/>
      <c r="K72" s="222">
        <f t="shared" ref="K72:T72" si="18">K65-K66-K37+K56</f>
        <v>1020000</v>
      </c>
      <c r="L72" s="222">
        <f t="shared" si="18"/>
        <v>1020000</v>
      </c>
      <c r="M72" s="222">
        <f t="shared" si="18"/>
        <v>1020000</v>
      </c>
      <c r="N72" s="222">
        <f t="shared" si="18"/>
        <v>1020000</v>
      </c>
      <c r="O72" s="222">
        <f t="shared" si="18"/>
        <v>1020000</v>
      </c>
      <c r="P72" s="222">
        <f t="shared" si="18"/>
        <v>1020000</v>
      </c>
      <c r="Q72" s="222">
        <f t="shared" si="18"/>
        <v>1020000</v>
      </c>
      <c r="R72" s="222">
        <f t="shared" si="18"/>
        <v>1020000</v>
      </c>
      <c r="S72" s="222">
        <f t="shared" si="18"/>
        <v>1020000</v>
      </c>
      <c r="T72" s="222">
        <f t="shared" si="18"/>
        <v>1020000</v>
      </c>
      <c r="U72" s="16"/>
      <c r="V72" s="16"/>
      <c r="W72" s="16"/>
      <c r="X72" s="16"/>
      <c r="Y72" s="16"/>
      <c r="Z72" s="16"/>
      <c r="AA72" s="16"/>
      <c r="AB72" s="16"/>
      <c r="AC72" s="16"/>
      <c r="AD72" s="16"/>
      <c r="AE72" s="16"/>
      <c r="AF72" s="16"/>
      <c r="AG72" s="16"/>
      <c r="AH72" s="16"/>
      <c r="AI72" s="16"/>
      <c r="AJ72" s="16"/>
      <c r="AK72" s="16"/>
    </row>
    <row r="73" spans="1:43" ht="12" customHeight="1" x14ac:dyDescent="0.2">
      <c r="A73" s="622"/>
      <c r="B73" s="347"/>
      <c r="C73" s="1"/>
      <c r="D73" s="1"/>
      <c r="E73" s="1"/>
      <c r="F73" s="1"/>
      <c r="G73" s="1"/>
      <c r="H73" s="1"/>
      <c r="I73" s="1"/>
      <c r="J73" s="16"/>
      <c r="K73"/>
      <c r="L73"/>
      <c r="M73"/>
      <c r="N73"/>
      <c r="O73"/>
      <c r="P73" s="222"/>
      <c r="Q73" s="222"/>
      <c r="R73" s="222"/>
      <c r="S73" s="222"/>
      <c r="T73" s="222"/>
      <c r="U73" s="16"/>
      <c r="V73" s="16"/>
      <c r="W73" s="16"/>
      <c r="X73" s="16"/>
      <c r="Y73" s="16"/>
      <c r="Z73" s="16"/>
      <c r="AA73" s="16"/>
      <c r="AB73" s="16"/>
      <c r="AC73" s="16"/>
      <c r="AD73" s="16"/>
      <c r="AE73" s="16"/>
      <c r="AF73" s="16"/>
      <c r="AG73" s="16"/>
      <c r="AH73" s="16"/>
      <c r="AI73" s="16"/>
      <c r="AJ73" s="16"/>
      <c r="AK73" s="16"/>
    </row>
    <row r="74" spans="1:43" ht="12" customHeight="1" x14ac:dyDescent="0.2">
      <c r="A74" s="622"/>
      <c r="B74" s="347"/>
      <c r="C74" s="1"/>
      <c r="D74" s="1"/>
      <c r="E74" s="1"/>
      <c r="F74" s="1"/>
      <c r="G74" s="1"/>
      <c r="H74" s="1"/>
      <c r="I74" s="1"/>
      <c r="J74" s="16"/>
      <c r="K74"/>
      <c r="L74"/>
      <c r="M74"/>
      <c r="N74"/>
      <c r="O74"/>
      <c r="P74" s="222"/>
      <c r="Q74" s="222"/>
      <c r="R74" s="222"/>
      <c r="S74" s="222"/>
      <c r="T74" s="222"/>
      <c r="U74" s="16"/>
      <c r="V74" s="16"/>
      <c r="W74" s="16"/>
      <c r="X74" s="16"/>
      <c r="Y74" s="16"/>
      <c r="Z74" s="16"/>
      <c r="AA74" s="16"/>
      <c r="AB74" s="16"/>
      <c r="AC74" s="16"/>
      <c r="AD74" s="16"/>
      <c r="AE74" s="16"/>
      <c r="AF74" s="16"/>
      <c r="AG74" s="16"/>
      <c r="AH74" s="16"/>
      <c r="AI74" s="16"/>
      <c r="AJ74" s="16"/>
      <c r="AK74" s="16"/>
    </row>
    <row r="75" spans="1:43" ht="15" customHeight="1" x14ac:dyDescent="0.2">
      <c r="A75" s="622" t="s">
        <v>822</v>
      </c>
      <c r="B75" s="461" t="str">
        <f>"Table "&amp;A1&amp;"."&amp;A75&amp;": Cashflow Statement - General fund- PROPOSED " &amp;'WS1-Application'!D33&amp;" Scenario ($ nominal)"</f>
        <v>Table 10.1(b): Cashflow Statement - General fund- PROPOSED Special Variation Scenario ($ nominal)</v>
      </c>
      <c r="C75" s="2"/>
      <c r="D75" s="2"/>
      <c r="E75" s="2"/>
      <c r="F75" s="2"/>
      <c r="G75" s="2"/>
      <c r="H75" s="2"/>
      <c r="I75" s="2"/>
      <c r="J75" s="637"/>
      <c r="K75" s="38" t="str">
        <f>IF('WS1-Application'!$D$33="Minimum rate increase","[N/A - No need to complete, leave blue input cells blank]",".")</f>
        <v>.</v>
      </c>
      <c r="L75" s="633"/>
      <c r="M75" s="633"/>
      <c r="N75" s="633"/>
      <c r="O75" s="633"/>
      <c r="P75" s="633"/>
      <c r="Q75" s="633"/>
      <c r="R75" s="633"/>
      <c r="S75" s="633"/>
      <c r="T75" s="633"/>
      <c r="U75" s="633"/>
      <c r="V75" s="633"/>
      <c r="W75" s="633"/>
      <c r="X75" s="633"/>
      <c r="Y75" s="16"/>
      <c r="Z75" s="16"/>
      <c r="AA75" s="16"/>
      <c r="AB75" s="16"/>
      <c r="AC75" s="16"/>
      <c r="AD75" s="16"/>
      <c r="AE75" s="16"/>
      <c r="AF75" s="16"/>
      <c r="AG75" s="16"/>
      <c r="AH75" s="16"/>
      <c r="AI75" s="16"/>
      <c r="AJ75" s="16"/>
      <c r="AK75" s="16"/>
    </row>
    <row r="76" spans="1:43" x14ac:dyDescent="0.2">
      <c r="A76" s="622"/>
      <c r="B76" s="674"/>
      <c r="C76" s="666"/>
      <c r="D76" s="666"/>
      <c r="E76" s="666"/>
      <c r="F76" s="666"/>
      <c r="G76" s="666"/>
      <c r="H76" s="666"/>
      <c r="I76" s="666"/>
      <c r="J76" s="1167" t="str">
        <f t="shared" ref="J76:T76" si="19">J22</f>
        <v>Year 0</v>
      </c>
      <c r="K76" s="1167" t="str">
        <f t="shared" si="19"/>
        <v>Year 1</v>
      </c>
      <c r="L76" s="1167" t="str">
        <f t="shared" si="19"/>
        <v>Year 2</v>
      </c>
      <c r="M76" s="1167" t="str">
        <f t="shared" si="19"/>
        <v>Year 3</v>
      </c>
      <c r="N76" s="1167" t="str">
        <f t="shared" si="19"/>
        <v>Year 4</v>
      </c>
      <c r="O76" s="1167" t="str">
        <f t="shared" si="19"/>
        <v>Year 5</v>
      </c>
      <c r="P76" s="1167" t="str">
        <f t="shared" si="19"/>
        <v>Year 6</v>
      </c>
      <c r="Q76" s="1167" t="str">
        <f t="shared" si="19"/>
        <v>Year 7</v>
      </c>
      <c r="R76" s="1167" t="str">
        <f t="shared" si="19"/>
        <v>Year 8</v>
      </c>
      <c r="S76" s="1167" t="str">
        <f t="shared" si="19"/>
        <v>Year 9</v>
      </c>
      <c r="T76" s="1167" t="str">
        <f t="shared" si="19"/>
        <v>Year 10</v>
      </c>
      <c r="U76" s="1279"/>
      <c r="V76" s="1279"/>
      <c r="W76" s="1254"/>
      <c r="X76" s="1255"/>
      <c r="Y76" s="16"/>
      <c r="Z76" s="16"/>
      <c r="AA76" s="16"/>
      <c r="AB76" s="16"/>
      <c r="AC76" s="16"/>
      <c r="AD76" s="16"/>
      <c r="AE76" s="16"/>
      <c r="AF76" s="16"/>
      <c r="AG76" s="16"/>
      <c r="AH76" s="16"/>
      <c r="AI76" s="16"/>
      <c r="AJ76" s="16"/>
      <c r="AK76" s="16"/>
    </row>
    <row r="77" spans="1:43" x14ac:dyDescent="0.2">
      <c r="A77" s="622"/>
      <c r="B77" s="1274"/>
      <c r="C77" s="606"/>
      <c r="D77" s="606"/>
      <c r="E77" s="606"/>
      <c r="F77" s="606"/>
      <c r="G77" s="606"/>
      <c r="H77" s="606"/>
      <c r="I77" s="606"/>
      <c r="J77" s="1278" t="str">
        <f t="shared" ref="J77:T77" si="20">J23</f>
        <v>2023-24</v>
      </c>
      <c r="K77" s="1278" t="str">
        <f t="shared" si="20"/>
        <v>2024-25</v>
      </c>
      <c r="L77" s="1278" t="str">
        <f t="shared" si="20"/>
        <v>2025-26</v>
      </c>
      <c r="M77" s="1278" t="str">
        <f t="shared" si="20"/>
        <v>2026-27</v>
      </c>
      <c r="N77" s="1278" t="str">
        <f t="shared" si="20"/>
        <v>2027-28</v>
      </c>
      <c r="O77" s="1278" t="str">
        <f t="shared" si="20"/>
        <v>2028-29</v>
      </c>
      <c r="P77" s="1278" t="str">
        <f t="shared" si="20"/>
        <v>2029-30</v>
      </c>
      <c r="Q77" s="1278" t="str">
        <f t="shared" si="20"/>
        <v>2030-31</v>
      </c>
      <c r="R77" s="1278" t="str">
        <f t="shared" si="20"/>
        <v>2031-32</v>
      </c>
      <c r="S77" s="1278" t="str">
        <f t="shared" si="20"/>
        <v>2032-33</v>
      </c>
      <c r="T77" s="1278" t="str">
        <f t="shared" si="20"/>
        <v>2033-34</v>
      </c>
      <c r="U77" s="295"/>
      <c r="V77" s="295"/>
      <c r="W77" s="1275"/>
      <c r="X77" s="1276"/>
      <c r="Y77" s="16"/>
      <c r="Z77" s="16"/>
      <c r="AA77" s="16"/>
      <c r="AB77" s="16"/>
      <c r="AC77" s="16"/>
      <c r="AD77" s="16"/>
      <c r="AE77" s="16"/>
      <c r="AF77" s="16"/>
      <c r="AG77" s="16"/>
      <c r="AH77" s="16"/>
      <c r="AI77" s="16"/>
      <c r="AJ77" s="16"/>
      <c r="AK77" s="16"/>
    </row>
    <row r="78" spans="1:43" x14ac:dyDescent="0.2">
      <c r="A78" s="622"/>
      <c r="B78" s="1266" t="s">
        <v>823</v>
      </c>
      <c r="C78" s="265"/>
      <c r="D78" s="265" t="s">
        <v>641</v>
      </c>
      <c r="E78" s="265"/>
      <c r="F78" s="265"/>
      <c r="G78" s="265"/>
      <c r="H78" s="265"/>
      <c r="I78" s="265"/>
      <c r="J78" s="1256"/>
      <c r="K78" s="1257"/>
      <c r="L78" s="1258"/>
      <c r="M78" s="1259"/>
      <c r="N78" s="1258"/>
      <c r="O78" s="1258"/>
      <c r="P78" s="1258"/>
      <c r="Q78" s="1258"/>
      <c r="R78" s="1258"/>
      <c r="S78" s="1258"/>
      <c r="T78" s="1258"/>
      <c r="U78" s="1258"/>
      <c r="V78" s="1258"/>
      <c r="W78" s="1258"/>
      <c r="X78" s="1260"/>
      <c r="Y78" s="16"/>
      <c r="Z78" s="16"/>
      <c r="AA78" s="16"/>
      <c r="AB78" s="16"/>
      <c r="AC78" s="16"/>
      <c r="AD78" s="16"/>
      <c r="AE78" s="16"/>
      <c r="AF78" s="16"/>
      <c r="AG78" s="16"/>
      <c r="AH78" s="16"/>
      <c r="AI78" s="16"/>
      <c r="AJ78" s="16"/>
      <c r="AK78" s="16"/>
    </row>
    <row r="79" spans="1:43" x14ac:dyDescent="0.2">
      <c r="A79" s="622"/>
      <c r="B79" s="668" t="s">
        <v>824</v>
      </c>
      <c r="C79" s="1"/>
      <c r="D79" s="1"/>
      <c r="E79" s="1"/>
      <c r="F79" s="1"/>
      <c r="G79" s="1"/>
      <c r="H79" s="1"/>
      <c r="I79" s="1"/>
      <c r="J79" s="1295"/>
      <c r="K79" s="1295"/>
      <c r="L79" s="1295"/>
      <c r="M79" s="1295"/>
      <c r="N79" s="1295"/>
      <c r="O79" s="1295"/>
      <c r="P79" s="1295"/>
      <c r="Q79" s="1295"/>
      <c r="R79" s="1295"/>
      <c r="S79" s="1295"/>
      <c r="T79" s="1295"/>
      <c r="U79" s="16"/>
      <c r="V79" s="16"/>
      <c r="W79" s="16"/>
      <c r="X79" s="687"/>
      <c r="Y79" s="16"/>
      <c r="Z79" s="16"/>
      <c r="AA79" s="16"/>
      <c r="AB79" s="16"/>
      <c r="AC79" s="16"/>
      <c r="AD79" s="16"/>
      <c r="AE79" s="16"/>
      <c r="AF79" s="16"/>
      <c r="AG79" s="16"/>
      <c r="AH79" s="16"/>
      <c r="AI79" s="16"/>
      <c r="AJ79" s="16"/>
      <c r="AK79" s="16"/>
    </row>
    <row r="80" spans="1:43" x14ac:dyDescent="0.2">
      <c r="A80" s="622"/>
      <c r="B80" s="1262" t="s">
        <v>825</v>
      </c>
      <c r="C80" s="1"/>
      <c r="D80" s="491" t="s">
        <v>116</v>
      </c>
      <c r="E80" s="1"/>
      <c r="F80" s="1"/>
      <c r="G80" s="1"/>
      <c r="H80" s="1"/>
      <c r="I80" s="1"/>
      <c r="J80" s="1232">
        <v>73248802.275280729</v>
      </c>
      <c r="K80" s="1232">
        <v>81912493.93434979</v>
      </c>
      <c r="L80" s="1232">
        <v>84441877.083306879</v>
      </c>
      <c r="M80" s="1232">
        <v>86954133.390384108</v>
      </c>
      <c r="N80" s="1232">
        <v>89541757.388567299</v>
      </c>
      <c r="O80" s="1232">
        <v>93669342.414444044</v>
      </c>
      <c r="P80" s="1232">
        <v>96479462.527331367</v>
      </c>
      <c r="Q80" s="1232">
        <v>99352846.403422222</v>
      </c>
      <c r="R80" s="1232">
        <v>102312431.79336175</v>
      </c>
      <c r="S80" s="1232">
        <v>105360804.74811724</v>
      </c>
      <c r="T80" s="1232"/>
      <c r="U80" s="151"/>
      <c r="V80" s="151"/>
      <c r="W80" s="151"/>
      <c r="X80" s="1261"/>
      <c r="Y80" s="16"/>
      <c r="Z80" s="16"/>
      <c r="AA80" s="16"/>
      <c r="AB80" s="16"/>
      <c r="AC80" s="16"/>
      <c r="AD80" s="16"/>
      <c r="AE80" s="16"/>
      <c r="AF80" s="16"/>
      <c r="AG80" s="16"/>
      <c r="AH80" s="16"/>
      <c r="AI80" s="16"/>
      <c r="AJ80" s="16"/>
      <c r="AK80" s="16"/>
    </row>
    <row r="81" spans="1:37" x14ac:dyDescent="0.2">
      <c r="A81" s="622"/>
      <c r="B81" s="1262" t="s">
        <v>734</v>
      </c>
      <c r="C81" s="1"/>
      <c r="D81" s="491" t="s">
        <v>116</v>
      </c>
      <c r="E81" s="1"/>
      <c r="F81" s="1"/>
      <c r="G81" s="1"/>
      <c r="H81" s="1"/>
      <c r="I81" s="1"/>
      <c r="J81" s="1284">
        <v>15464692.053784739</v>
      </c>
      <c r="K81" s="1284">
        <v>20998565.632203348</v>
      </c>
      <c r="L81" s="1284">
        <v>21559281.230566088</v>
      </c>
      <c r="M81" s="1284">
        <v>22221403.457793947</v>
      </c>
      <c r="N81" s="1284">
        <v>22899272.025879525</v>
      </c>
      <c r="O81" s="1284">
        <v>23598241.125036415</v>
      </c>
      <c r="P81" s="1284">
        <v>24318605.282761708</v>
      </c>
      <c r="Q81" s="1284">
        <v>25061025.412203126</v>
      </c>
      <c r="R81" s="1284">
        <v>25826175.211842641</v>
      </c>
      <c r="S81" s="1284">
        <v>26614754.601941261</v>
      </c>
      <c r="T81" s="1284"/>
      <c r="U81" s="112"/>
      <c r="V81" s="112"/>
      <c r="W81" s="112"/>
      <c r="X81" s="1147"/>
      <c r="Y81" s="16"/>
      <c r="Z81" s="16"/>
      <c r="AA81" s="16"/>
      <c r="AB81" s="16"/>
      <c r="AC81" s="16"/>
      <c r="AD81" s="16"/>
      <c r="AE81" s="16"/>
      <c r="AF81" s="16"/>
      <c r="AG81" s="16"/>
      <c r="AH81" s="16"/>
      <c r="AI81" s="16"/>
      <c r="AJ81" s="16"/>
      <c r="AK81" s="16"/>
    </row>
    <row r="82" spans="1:37" x14ac:dyDescent="0.2">
      <c r="A82" s="622"/>
      <c r="B82" s="1262" t="s">
        <v>826</v>
      </c>
      <c r="C82" s="1"/>
      <c r="D82" s="491" t="s">
        <v>116</v>
      </c>
      <c r="E82" s="1"/>
      <c r="F82" s="1"/>
      <c r="G82" s="1"/>
      <c r="H82" s="1"/>
      <c r="I82" s="1"/>
      <c r="J82" s="1284">
        <v>7537138.7676324742</v>
      </c>
      <c r="K82" s="1284">
        <v>6505341.7768889116</v>
      </c>
      <c r="L82" s="1284">
        <v>6382493.9806704437</v>
      </c>
      <c r="M82" s="1284">
        <v>6580332.4231914217</v>
      </c>
      <c r="N82" s="1284">
        <v>5925628.4533294421</v>
      </c>
      <c r="O82" s="1284">
        <v>6048606.6128299218</v>
      </c>
      <c r="P82" s="1284">
        <v>6249567.2931593712</v>
      </c>
      <c r="Q82" s="1284">
        <v>6915073.8074333034</v>
      </c>
      <c r="R82" s="1284">
        <v>7501662.7483087499</v>
      </c>
      <c r="S82" s="1284">
        <v>8141569.1656045914</v>
      </c>
      <c r="T82" s="1284"/>
      <c r="U82" s="112"/>
      <c r="V82" s="112"/>
      <c r="W82" s="112"/>
      <c r="X82" s="1147"/>
      <c r="Y82" s="16"/>
      <c r="Z82" s="16"/>
      <c r="AA82" s="16"/>
      <c r="AB82" s="16"/>
      <c r="AC82" s="16"/>
      <c r="AD82" s="16"/>
      <c r="AE82" s="16"/>
      <c r="AF82" s="16"/>
      <c r="AG82" s="16"/>
      <c r="AH82" s="16"/>
      <c r="AI82" s="16"/>
      <c r="AJ82" s="16"/>
      <c r="AK82" s="16"/>
    </row>
    <row r="83" spans="1:37" x14ac:dyDescent="0.2">
      <c r="A83" s="622"/>
      <c r="B83" s="1262" t="s">
        <v>827</v>
      </c>
      <c r="C83" s="1"/>
      <c r="D83" s="491" t="s">
        <v>116</v>
      </c>
      <c r="E83" s="1"/>
      <c r="F83" s="1"/>
      <c r="G83" s="1"/>
      <c r="H83" s="1"/>
      <c r="I83" s="1"/>
      <c r="J83" s="1284">
        <v>21145385.898723941</v>
      </c>
      <c r="K83" s="1284">
        <v>11183216.281397045</v>
      </c>
      <c r="L83" s="1284">
        <v>17283769.609373122</v>
      </c>
      <c r="M83" s="1284">
        <v>16720859.712937813</v>
      </c>
      <c r="N83" s="1284">
        <v>17013487.526140399</v>
      </c>
      <c r="O83" s="1284">
        <v>17314230.666395165</v>
      </c>
      <c r="P83" s="1284">
        <v>17689453.963880263</v>
      </c>
      <c r="Q83" s="1284">
        <v>14608261.920656521</v>
      </c>
      <c r="R83" s="1284">
        <v>15815314.41961623</v>
      </c>
      <c r="S83" s="1284">
        <v>16117549.763933018</v>
      </c>
      <c r="T83" s="1284"/>
      <c r="U83" s="112"/>
      <c r="V83" s="112"/>
      <c r="W83" s="112"/>
      <c r="X83" s="1147"/>
      <c r="Y83" s="16"/>
      <c r="Z83" s="16"/>
      <c r="AA83" s="16"/>
      <c r="AB83" s="16"/>
      <c r="AC83" s="16"/>
      <c r="AD83" s="16"/>
      <c r="AE83" s="16"/>
      <c r="AF83" s="16"/>
      <c r="AG83" s="16"/>
      <c r="AH83" s="16"/>
      <c r="AI83" s="16"/>
      <c r="AJ83" s="16"/>
      <c r="AK83" s="16"/>
    </row>
    <row r="84" spans="1:37" x14ac:dyDescent="0.2">
      <c r="A84" s="622"/>
      <c r="B84" s="1262" t="s">
        <v>828</v>
      </c>
      <c r="C84" s="1"/>
      <c r="D84" s="491" t="s">
        <v>116</v>
      </c>
      <c r="E84" s="1"/>
      <c r="F84" s="1"/>
      <c r="G84" s="1"/>
      <c r="H84" s="1"/>
      <c r="I84" s="1"/>
      <c r="J84" s="1195"/>
      <c r="K84" s="1195"/>
      <c r="L84" s="1195"/>
      <c r="M84" s="1195"/>
      <c r="N84" s="1195"/>
      <c r="O84" s="1195"/>
      <c r="P84" s="1195"/>
      <c r="Q84" s="1195"/>
      <c r="R84" s="1195"/>
      <c r="S84" s="1195"/>
      <c r="T84" s="1195"/>
      <c r="U84" s="240"/>
      <c r="V84" s="112"/>
      <c r="W84" s="112"/>
      <c r="X84" s="1147"/>
      <c r="Y84" s="16"/>
      <c r="Z84" s="16"/>
      <c r="AA84" s="16"/>
      <c r="AB84" s="16"/>
      <c r="AC84" s="16"/>
      <c r="AD84" s="16"/>
      <c r="AE84" s="16"/>
      <c r="AF84" s="16"/>
      <c r="AG84" s="16"/>
      <c r="AH84" s="16"/>
      <c r="AI84" s="16"/>
      <c r="AJ84" s="16"/>
      <c r="AK84" s="16"/>
    </row>
    <row r="85" spans="1:37" x14ac:dyDescent="0.2">
      <c r="A85" s="622"/>
      <c r="B85" s="1262" t="s">
        <v>829</v>
      </c>
      <c r="C85" s="1"/>
      <c r="D85" s="491" t="s">
        <v>116</v>
      </c>
      <c r="E85" s="1"/>
      <c r="F85" s="1"/>
      <c r="G85" s="1"/>
      <c r="H85" s="1"/>
      <c r="I85" s="1"/>
      <c r="J85" s="1195">
        <v>22519005.386021074</v>
      </c>
      <c r="K85" s="1195">
        <v>22747050.52902317</v>
      </c>
      <c r="L85" s="1195">
        <v>23792919.021683112</v>
      </c>
      <c r="M85" s="1195">
        <v>24502374.479711354</v>
      </c>
      <c r="N85" s="1195">
        <v>25212376.005223695</v>
      </c>
      <c r="O85" s="1195">
        <v>25942785.195050571</v>
      </c>
      <c r="P85" s="1195">
        <v>26694781.533683501</v>
      </c>
      <c r="Q85" s="1195">
        <v>27481358.937218506</v>
      </c>
      <c r="R85" s="1195">
        <v>28267530.207077976</v>
      </c>
      <c r="S85" s="1195">
        <v>29094088.165248569</v>
      </c>
      <c r="T85" s="1195"/>
      <c r="U85" s="240"/>
      <c r="V85" s="112"/>
      <c r="W85" s="112"/>
      <c r="X85" s="1147"/>
      <c r="Y85" s="16"/>
      <c r="Z85" s="16"/>
      <c r="AA85" s="16"/>
      <c r="AB85" s="16"/>
      <c r="AC85" s="16"/>
      <c r="AD85" s="16"/>
      <c r="AE85" s="16"/>
      <c r="AF85" s="16"/>
      <c r="AG85" s="16"/>
      <c r="AH85" s="16"/>
      <c r="AI85" s="16"/>
      <c r="AJ85" s="16"/>
      <c r="AK85" s="16"/>
    </row>
    <row r="86" spans="1:37" x14ac:dyDescent="0.2">
      <c r="A86" s="622"/>
      <c r="B86" s="668" t="s">
        <v>830</v>
      </c>
      <c r="C86" s="1"/>
      <c r="D86" s="1"/>
      <c r="E86" s="1"/>
      <c r="F86" s="1"/>
      <c r="G86" s="1"/>
      <c r="H86" s="1"/>
      <c r="I86" s="1"/>
      <c r="J86" s="1197"/>
      <c r="K86" s="1197"/>
      <c r="L86" s="1197"/>
      <c r="M86" s="1283"/>
      <c r="N86" s="1197"/>
      <c r="O86" s="1197"/>
      <c r="P86" s="1197"/>
      <c r="Q86" s="1197"/>
      <c r="R86" s="1197"/>
      <c r="S86" s="1197"/>
      <c r="T86" s="1197"/>
      <c r="U86" s="240"/>
      <c r="V86" s="112"/>
      <c r="W86" s="112"/>
      <c r="X86" s="1147"/>
      <c r="Y86" s="16"/>
      <c r="Z86" s="16"/>
      <c r="AA86" s="16"/>
      <c r="AB86" s="16"/>
      <c r="AC86" s="16"/>
      <c r="AD86" s="16"/>
      <c r="AE86" s="16"/>
      <c r="AF86" s="16"/>
      <c r="AG86" s="16"/>
      <c r="AH86" s="16"/>
      <c r="AI86" s="16"/>
      <c r="AJ86" s="16"/>
      <c r="AK86" s="16"/>
    </row>
    <row r="87" spans="1:37" x14ac:dyDescent="0.2">
      <c r="A87" s="622"/>
      <c r="B87" s="1262" t="s">
        <v>831</v>
      </c>
      <c r="C87" s="1"/>
      <c r="D87" s="491" t="s">
        <v>116</v>
      </c>
      <c r="E87" s="1"/>
      <c r="F87" s="1"/>
      <c r="G87" s="1"/>
      <c r="H87" s="1"/>
      <c r="I87" s="1"/>
      <c r="J87" s="1195">
        <v>48510041.370737545</v>
      </c>
      <c r="K87" s="1195">
        <v>49655172.160845809</v>
      </c>
      <c r="L87" s="1195">
        <v>51389759.800915271</v>
      </c>
      <c r="M87" s="1195">
        <v>52740376.445424743</v>
      </c>
      <c r="N87" s="1195">
        <v>54321065.526564941</v>
      </c>
      <c r="O87" s="1195">
        <v>55950697.653769709</v>
      </c>
      <c r="P87" s="1195">
        <v>57629218.582854606</v>
      </c>
      <c r="Q87" s="1195">
        <v>59358095.044569969</v>
      </c>
      <c r="R87" s="1195">
        <v>61138838.040256165</v>
      </c>
      <c r="S87" s="1195">
        <v>62973003.125372052</v>
      </c>
      <c r="T87" s="1195"/>
      <c r="U87" s="240"/>
      <c r="V87" s="112"/>
      <c r="W87" s="112"/>
      <c r="X87" s="1147"/>
      <c r="Y87" s="16"/>
      <c r="Z87" s="16"/>
      <c r="AA87" s="16"/>
      <c r="AB87" s="16"/>
      <c r="AC87" s="16"/>
      <c r="AD87" s="16"/>
      <c r="AE87" s="16"/>
      <c r="AF87" s="16"/>
      <c r="AG87" s="16"/>
      <c r="AH87" s="16"/>
      <c r="AI87" s="16"/>
      <c r="AJ87" s="16"/>
      <c r="AK87" s="16"/>
    </row>
    <row r="88" spans="1:37" x14ac:dyDescent="0.2">
      <c r="A88" s="622"/>
      <c r="B88" s="1262" t="s">
        <v>748</v>
      </c>
      <c r="C88" s="1"/>
      <c r="D88" s="491" t="s">
        <v>116</v>
      </c>
      <c r="E88" s="1"/>
      <c r="F88" s="1"/>
      <c r="G88" s="1"/>
      <c r="H88" s="1"/>
      <c r="I88" s="1"/>
      <c r="J88" s="1232">
        <v>54189314.332726285</v>
      </c>
      <c r="K88" s="1232">
        <v>55586405.933704369</v>
      </c>
      <c r="L88" s="1232">
        <v>56519521.215947233</v>
      </c>
      <c r="M88" s="1232">
        <v>57997452.002840877</v>
      </c>
      <c r="N88" s="1232">
        <v>59737275.749034025</v>
      </c>
      <c r="O88" s="1232">
        <v>63108309.662285641</v>
      </c>
      <c r="P88" s="1232">
        <v>64722415.215971448</v>
      </c>
      <c r="Q88" s="1232">
        <v>66348180.516536601</v>
      </c>
      <c r="R88" s="1232">
        <v>68251134.032249808</v>
      </c>
      <c r="S88" s="1232">
        <v>70751229.403679222</v>
      </c>
      <c r="T88" s="1232"/>
      <c r="U88" s="85"/>
      <c r="V88" s="151"/>
      <c r="W88" s="151"/>
      <c r="X88" s="1261"/>
      <c r="Y88" s="16"/>
      <c r="Z88" s="16"/>
      <c r="AA88" s="16"/>
      <c r="AB88" s="16"/>
      <c r="AC88" s="16"/>
      <c r="AD88" s="16"/>
      <c r="AE88" s="16"/>
      <c r="AF88" s="16"/>
      <c r="AG88" s="16"/>
      <c r="AH88" s="16"/>
      <c r="AI88" s="16"/>
      <c r="AJ88" s="16"/>
      <c r="AK88" s="16"/>
    </row>
    <row r="89" spans="1:37" x14ac:dyDescent="0.2">
      <c r="A89" s="622"/>
      <c r="B89" s="1262" t="s">
        <v>832</v>
      </c>
      <c r="C89" s="1"/>
      <c r="D89" s="491" t="s">
        <v>116</v>
      </c>
      <c r="E89" s="1"/>
      <c r="F89" s="1"/>
      <c r="G89" s="1"/>
      <c r="H89" s="1"/>
      <c r="I89" s="1"/>
      <c r="J89" s="1195">
        <v>1610853.1466768109</v>
      </c>
      <c r="K89" s="1195">
        <v>1608875.7763145491</v>
      </c>
      <c r="L89" s="1195">
        <v>1598331.8188773894</v>
      </c>
      <c r="M89" s="1195">
        <v>1595500.5701559503</v>
      </c>
      <c r="N89" s="1195">
        <v>1597839.6682718424</v>
      </c>
      <c r="O89" s="1195">
        <v>1598610.9328574394</v>
      </c>
      <c r="P89" s="1195">
        <v>1598809.5659935675</v>
      </c>
      <c r="Q89" s="1195">
        <v>1603353.8888994537</v>
      </c>
      <c r="R89" s="1195">
        <v>1635303.7694501765</v>
      </c>
      <c r="S89" s="1195">
        <v>1670556.9272612736</v>
      </c>
      <c r="T89" s="1195"/>
      <c r="U89" s="240"/>
      <c r="V89" s="112"/>
      <c r="W89" s="112"/>
      <c r="X89" s="1147"/>
      <c r="Y89" s="16"/>
      <c r="Z89" s="16"/>
      <c r="AA89" s="16"/>
      <c r="AB89" s="16"/>
      <c r="AC89" s="16"/>
      <c r="AD89" s="16"/>
      <c r="AE89" s="16"/>
      <c r="AF89" s="16"/>
      <c r="AG89" s="16"/>
      <c r="AH89" s="16"/>
      <c r="AI89" s="16"/>
      <c r="AJ89" s="16"/>
      <c r="AK89" s="16"/>
    </row>
    <row r="90" spans="1:37" x14ac:dyDescent="0.2">
      <c r="A90" s="622"/>
      <c r="B90" s="1262" t="s">
        <v>833</v>
      </c>
      <c r="C90" s="1"/>
      <c r="D90" s="491" t="s">
        <v>116</v>
      </c>
      <c r="E90" s="1"/>
      <c r="F90" s="1"/>
      <c r="G90" s="1"/>
      <c r="H90" s="1"/>
      <c r="I90" s="1"/>
      <c r="J90" s="1195"/>
      <c r="K90" s="1195"/>
      <c r="L90" s="1195"/>
      <c r="M90" s="1195"/>
      <c r="N90" s="1195"/>
      <c r="O90" s="1195"/>
      <c r="P90" s="1195"/>
      <c r="Q90" s="1195"/>
      <c r="R90" s="1195"/>
      <c r="S90" s="1195"/>
      <c r="T90" s="1195"/>
      <c r="U90" s="240"/>
      <c r="V90" s="112"/>
      <c r="W90" s="112"/>
      <c r="X90" s="1147"/>
      <c r="Y90" s="16"/>
      <c r="Z90" s="16"/>
      <c r="AA90" s="16"/>
      <c r="AB90" s="16"/>
      <c r="AC90" s="16"/>
      <c r="AD90" s="16"/>
      <c r="AE90" s="16"/>
      <c r="AF90" s="16"/>
      <c r="AG90" s="16"/>
      <c r="AH90" s="16"/>
      <c r="AI90" s="16"/>
      <c r="AJ90" s="16"/>
      <c r="AK90" s="16"/>
    </row>
    <row r="91" spans="1:37" x14ac:dyDescent="0.2">
      <c r="A91" s="622"/>
      <c r="B91" s="1262" t="s">
        <v>829</v>
      </c>
      <c r="C91" s="1"/>
      <c r="D91" s="491" t="s">
        <v>116</v>
      </c>
      <c r="E91" s="1"/>
      <c r="F91" s="1"/>
      <c r="G91" s="1"/>
      <c r="H91" s="1"/>
      <c r="I91" s="1"/>
      <c r="J91" s="1195">
        <v>3126725.4040595884</v>
      </c>
      <c r="K91" s="1195">
        <v>3469976.1880501104</v>
      </c>
      <c r="L91" s="1195">
        <v>3533164.0297516533</v>
      </c>
      <c r="M91" s="1195">
        <v>3635373.3840009472</v>
      </c>
      <c r="N91" s="1195">
        <v>3732384.3251001411</v>
      </c>
      <c r="O91" s="1195">
        <v>3785885.2798658554</v>
      </c>
      <c r="P91" s="1195">
        <v>3977182.4654439478</v>
      </c>
      <c r="Q91" s="1195">
        <v>4087233.5032479945</v>
      </c>
      <c r="R91" s="1195">
        <v>4202549.3189000897</v>
      </c>
      <c r="S91" s="1195">
        <v>4309363.2634853423</v>
      </c>
      <c r="T91" s="1195"/>
      <c r="U91" s="240"/>
      <c r="V91" s="112"/>
      <c r="W91" s="112"/>
      <c r="X91" s="1147"/>
      <c r="Y91" s="16"/>
      <c r="Z91" s="16"/>
      <c r="AA91" s="16"/>
      <c r="AB91" s="16"/>
      <c r="AC91" s="16"/>
      <c r="AD91" s="16"/>
      <c r="AE91" s="16"/>
      <c r="AF91" s="16"/>
      <c r="AG91" s="16"/>
      <c r="AH91" s="16"/>
      <c r="AI91" s="16"/>
      <c r="AJ91" s="16"/>
      <c r="AK91" s="16"/>
    </row>
    <row r="92" spans="1:37" x14ac:dyDescent="0.2">
      <c r="A92" s="622"/>
      <c r="B92" s="1304"/>
      <c r="C92" s="1"/>
      <c r="D92" s="1"/>
      <c r="E92" s="1"/>
      <c r="F92" s="1"/>
      <c r="G92" s="1"/>
      <c r="H92" s="1"/>
      <c r="I92" s="1"/>
      <c r="J92" s="1197"/>
      <c r="K92" s="1197"/>
      <c r="L92" s="1197"/>
      <c r="M92" s="1197"/>
      <c r="N92" s="1197"/>
      <c r="O92" s="1197"/>
      <c r="P92" s="1197"/>
      <c r="Q92" s="1197"/>
      <c r="R92" s="1197"/>
      <c r="S92" s="1197"/>
      <c r="T92" s="1197"/>
      <c r="U92" s="85"/>
      <c r="V92" s="151"/>
      <c r="W92" s="151"/>
      <c r="X92" s="1261"/>
      <c r="Y92" s="16"/>
      <c r="Z92" s="16"/>
      <c r="AA92" s="16"/>
      <c r="AB92" s="16"/>
      <c r="AC92" s="16"/>
      <c r="AD92" s="16"/>
      <c r="AE92" s="16"/>
      <c r="AF92" s="16"/>
      <c r="AG92" s="16"/>
      <c r="AH92" s="16"/>
      <c r="AI92" s="16"/>
      <c r="AJ92" s="16"/>
      <c r="AK92" s="16"/>
    </row>
    <row r="93" spans="1:37" x14ac:dyDescent="0.2">
      <c r="A93" s="622"/>
      <c r="B93" s="1305" t="s">
        <v>834</v>
      </c>
      <c r="C93" s="1"/>
      <c r="D93" s="491" t="s">
        <v>116</v>
      </c>
      <c r="E93" s="1"/>
      <c r="F93" s="1"/>
      <c r="G93" s="1"/>
      <c r="H93" s="1"/>
      <c r="I93" s="1"/>
      <c r="J93" s="1292">
        <f>SUM(J80:J85)-SUM(J87:J91)</f>
        <v>32478090.127242744</v>
      </c>
      <c r="K93" s="1292">
        <f t="shared" ref="K93:T93" si="21">SUM(K80:K85)-SUM(K87:K91)</f>
        <v>33026238.094947442</v>
      </c>
      <c r="L93" s="1292">
        <f t="shared" si="21"/>
        <v>40419564.060108081</v>
      </c>
      <c r="M93" s="1292">
        <f t="shared" si="21"/>
        <v>41010401.06159614</v>
      </c>
      <c r="N93" s="1292">
        <f t="shared" si="21"/>
        <v>41203956.130169407</v>
      </c>
      <c r="O93" s="1292">
        <f t="shared" si="21"/>
        <v>42129702.484977469</v>
      </c>
      <c r="P93" s="1292">
        <f t="shared" si="21"/>
        <v>43504244.77055265</v>
      </c>
      <c r="Q93" s="1292">
        <f t="shared" si="21"/>
        <v>42021703.527679682</v>
      </c>
      <c r="R93" s="1292">
        <f t="shared" si="21"/>
        <v>44495289.219351113</v>
      </c>
      <c r="S93" s="1292">
        <f t="shared" si="21"/>
        <v>45624613.725046784</v>
      </c>
      <c r="T93" s="1292">
        <f t="shared" si="21"/>
        <v>0</v>
      </c>
      <c r="U93" s="112"/>
      <c r="V93" s="16"/>
      <c r="W93" s="16"/>
      <c r="X93" s="687"/>
      <c r="Y93" s="16"/>
      <c r="Z93" s="16"/>
      <c r="AA93" s="16"/>
      <c r="AB93" s="16"/>
      <c r="AC93" s="16"/>
      <c r="AD93" s="16"/>
      <c r="AE93" s="16"/>
      <c r="AF93" s="16"/>
      <c r="AG93" s="16"/>
      <c r="AH93" s="16"/>
      <c r="AI93" s="16"/>
      <c r="AJ93" s="16"/>
      <c r="AK93" s="16"/>
    </row>
    <row r="94" spans="1:37" x14ac:dyDescent="0.2">
      <c r="A94" s="622"/>
      <c r="B94" s="1304"/>
      <c r="C94" s="1"/>
      <c r="D94" s="1"/>
      <c r="E94" s="1"/>
      <c r="F94" s="1"/>
      <c r="G94" s="1"/>
      <c r="H94" s="1"/>
      <c r="I94" s="1"/>
      <c r="J94" s="1295"/>
      <c r="K94" s="1295"/>
      <c r="L94" s="1295"/>
      <c r="M94" s="1295"/>
      <c r="N94" s="1295"/>
      <c r="O94" s="1295"/>
      <c r="P94" s="1295"/>
      <c r="Q94" s="1295"/>
      <c r="R94" s="1295"/>
      <c r="S94" s="1295"/>
      <c r="T94" s="1295"/>
      <c r="U94" s="16"/>
      <c r="V94" s="16"/>
      <c r="W94" s="16"/>
      <c r="X94" s="687"/>
      <c r="Y94" s="16"/>
      <c r="Z94" s="16"/>
      <c r="AA94" s="16"/>
      <c r="AB94" s="16"/>
      <c r="AC94" s="16"/>
      <c r="AD94" s="16"/>
      <c r="AE94" s="16"/>
      <c r="AF94" s="16"/>
      <c r="AG94" s="16"/>
      <c r="AH94" s="16"/>
      <c r="AI94" s="16"/>
      <c r="AJ94" s="16"/>
      <c r="AK94" s="16"/>
    </row>
    <row r="95" spans="1:37" x14ac:dyDescent="0.2">
      <c r="A95" s="622"/>
      <c r="B95" s="1266" t="s">
        <v>835</v>
      </c>
      <c r="C95" s="265"/>
      <c r="D95" s="265"/>
      <c r="E95" s="265"/>
      <c r="F95" s="265"/>
      <c r="G95" s="265"/>
      <c r="H95" s="265"/>
      <c r="I95" s="265"/>
      <c r="J95" s="1315"/>
      <c r="K95" s="1293"/>
      <c r="L95" s="1316"/>
      <c r="M95" s="1317"/>
      <c r="N95" s="1316"/>
      <c r="O95" s="1316"/>
      <c r="P95" s="1316"/>
      <c r="Q95" s="1316"/>
      <c r="R95" s="1316"/>
      <c r="S95" s="1316"/>
      <c r="T95" s="1316"/>
      <c r="U95" s="1258"/>
      <c r="V95" s="1258"/>
      <c r="W95" s="1258"/>
      <c r="X95" s="1260"/>
      <c r="Y95" s="16"/>
      <c r="Z95" s="16"/>
      <c r="AA95" s="16"/>
      <c r="AB95" s="16"/>
      <c r="AC95" s="16"/>
      <c r="AD95" s="16"/>
      <c r="AE95" s="16"/>
      <c r="AF95" s="16"/>
      <c r="AG95" s="16"/>
      <c r="AH95" s="16"/>
      <c r="AI95" s="16"/>
      <c r="AJ95" s="16"/>
      <c r="AK95" s="16"/>
    </row>
    <row r="96" spans="1:37" x14ac:dyDescent="0.2">
      <c r="A96" s="622"/>
      <c r="B96" s="668" t="s">
        <v>824</v>
      </c>
      <c r="C96" s="1"/>
      <c r="D96" s="1"/>
      <c r="E96" s="1"/>
      <c r="F96" s="1"/>
      <c r="G96" s="1"/>
      <c r="H96" s="1"/>
      <c r="I96" s="1"/>
      <c r="J96" s="1295"/>
      <c r="K96" s="1318"/>
      <c r="L96" s="1318"/>
      <c r="M96" s="1318"/>
      <c r="N96" s="1318"/>
      <c r="O96" s="1318"/>
      <c r="P96" s="1318"/>
      <c r="Q96" s="1318"/>
      <c r="R96" s="1318"/>
      <c r="S96" s="1318"/>
      <c r="T96" s="1318"/>
      <c r="U96" s="16"/>
      <c r="V96" s="16"/>
      <c r="W96" s="16"/>
      <c r="X96" s="687"/>
      <c r="Y96" s="16"/>
      <c r="Z96" s="16"/>
      <c r="AA96" s="16"/>
      <c r="AB96" s="16"/>
      <c r="AC96" s="16"/>
      <c r="AD96" s="16"/>
      <c r="AE96" s="16"/>
      <c r="AF96" s="16"/>
      <c r="AG96" s="16"/>
      <c r="AH96" s="16"/>
      <c r="AI96" s="16"/>
      <c r="AJ96" s="16"/>
      <c r="AK96" s="16"/>
    </row>
    <row r="97" spans="1:37" x14ac:dyDescent="0.2">
      <c r="A97" s="622"/>
      <c r="B97" s="1262" t="s">
        <v>836</v>
      </c>
      <c r="C97" s="1"/>
      <c r="D97" s="491" t="s">
        <v>116</v>
      </c>
      <c r="E97" s="1"/>
      <c r="F97" s="1"/>
      <c r="G97" s="1"/>
      <c r="H97" s="1"/>
      <c r="I97" s="1"/>
      <c r="J97" s="1625">
        <v>27737488.442757253</v>
      </c>
      <c r="K97" s="1625">
        <v>4620468.483483959</v>
      </c>
      <c r="L97" s="1625">
        <v>0</v>
      </c>
      <c r="M97" s="1625">
        <v>13055587.744221253</v>
      </c>
      <c r="N97" s="1625">
        <v>0</v>
      </c>
      <c r="O97" s="1625">
        <v>0</v>
      </c>
      <c r="P97" s="1625">
        <v>0</v>
      </c>
      <c r="Q97" s="1625">
        <v>0</v>
      </c>
      <c r="R97" s="1625">
        <v>0</v>
      </c>
      <c r="S97" s="1625">
        <v>0</v>
      </c>
      <c r="T97" s="1625"/>
      <c r="U97" s="112"/>
      <c r="V97" s="16"/>
      <c r="W97" s="16"/>
      <c r="X97" s="687"/>
      <c r="Y97" s="16"/>
      <c r="Z97" s="16"/>
      <c r="AA97" s="16"/>
      <c r="AB97" s="16"/>
      <c r="AC97" s="16"/>
      <c r="AD97" s="16"/>
      <c r="AE97" s="16"/>
      <c r="AF97" s="16"/>
      <c r="AG97" s="16"/>
      <c r="AH97" s="16"/>
      <c r="AI97" s="16"/>
      <c r="AJ97" s="16"/>
      <c r="AK97" s="16"/>
    </row>
    <row r="98" spans="1:37" x14ac:dyDescent="0.2">
      <c r="A98" s="622"/>
      <c r="B98" s="1262" t="s">
        <v>837</v>
      </c>
      <c r="C98" s="1"/>
      <c r="D98" s="491" t="s">
        <v>116</v>
      </c>
      <c r="E98" s="1"/>
      <c r="F98" s="1"/>
      <c r="G98" s="1"/>
      <c r="H98" s="1"/>
      <c r="I98" s="1"/>
      <c r="J98" s="1625"/>
      <c r="K98" s="1625"/>
      <c r="L98" s="1625"/>
      <c r="M98" s="1625"/>
      <c r="N98" s="1625"/>
      <c r="O98" s="1625"/>
      <c r="P98" s="1625"/>
      <c r="Q98" s="1625"/>
      <c r="R98" s="1625"/>
      <c r="S98" s="1625"/>
      <c r="T98" s="1625"/>
      <c r="U98" s="112"/>
      <c r="V98" s="16"/>
      <c r="W98" s="16"/>
      <c r="X98" s="687"/>
      <c r="Y98" s="16"/>
      <c r="Z98" s="16"/>
      <c r="AA98" s="16"/>
      <c r="AB98" s="16"/>
      <c r="AC98" s="16"/>
      <c r="AD98" s="16"/>
      <c r="AE98" s="16"/>
      <c r="AF98" s="16"/>
      <c r="AG98" s="16"/>
      <c r="AH98" s="16"/>
      <c r="AI98" s="16"/>
      <c r="AJ98" s="16"/>
      <c r="AK98" s="16"/>
    </row>
    <row r="99" spans="1:37" x14ac:dyDescent="0.2">
      <c r="A99" s="622"/>
      <c r="B99" s="1262" t="s">
        <v>838</v>
      </c>
      <c r="C99" s="1"/>
      <c r="D99" s="491" t="s">
        <v>116</v>
      </c>
      <c r="E99" s="1"/>
      <c r="F99" s="1"/>
      <c r="G99" s="1"/>
      <c r="H99" s="1"/>
      <c r="I99" s="1"/>
      <c r="J99" s="1625"/>
      <c r="K99" s="1625"/>
      <c r="L99" s="1625"/>
      <c r="M99" s="1625"/>
      <c r="N99" s="1625"/>
      <c r="O99" s="1625"/>
      <c r="P99" s="1625"/>
      <c r="Q99" s="1625"/>
      <c r="R99" s="1625"/>
      <c r="S99" s="1625"/>
      <c r="T99" s="1625"/>
      <c r="U99" s="112"/>
      <c r="V99" s="16"/>
      <c r="W99" s="16"/>
      <c r="X99" s="687"/>
      <c r="Y99" s="16"/>
      <c r="Z99" s="16"/>
      <c r="AA99" s="16"/>
      <c r="AB99" s="16"/>
      <c r="AC99" s="16"/>
      <c r="AD99" s="16"/>
      <c r="AE99" s="16"/>
      <c r="AF99" s="16"/>
      <c r="AG99" s="16"/>
      <c r="AH99" s="16"/>
      <c r="AI99" s="16"/>
      <c r="AJ99" s="16"/>
      <c r="AK99" s="16"/>
    </row>
    <row r="100" spans="1:37" x14ac:dyDescent="0.2">
      <c r="A100" s="622"/>
      <c r="B100" s="1262" t="s">
        <v>839</v>
      </c>
      <c r="C100" s="1"/>
      <c r="D100" s="491" t="s">
        <v>116</v>
      </c>
      <c r="E100" s="1"/>
      <c r="F100" s="1"/>
      <c r="G100" s="1"/>
      <c r="H100" s="1"/>
      <c r="I100" s="1"/>
      <c r="J100" s="1625"/>
      <c r="K100" s="1625"/>
      <c r="L100" s="1625"/>
      <c r="M100" s="1625"/>
      <c r="N100" s="1625"/>
      <c r="O100" s="1625"/>
      <c r="P100" s="1625"/>
      <c r="Q100" s="1625"/>
      <c r="R100" s="1625"/>
      <c r="S100" s="1625"/>
      <c r="T100" s="1625"/>
      <c r="U100" s="112"/>
      <c r="V100" s="16"/>
      <c r="W100" s="16"/>
      <c r="X100" s="687"/>
      <c r="Y100" s="16"/>
      <c r="Z100" s="16"/>
      <c r="AA100" s="16"/>
      <c r="AB100" s="16"/>
      <c r="AC100" s="16"/>
      <c r="AD100" s="16"/>
      <c r="AE100" s="16"/>
      <c r="AF100" s="16"/>
      <c r="AG100" s="16"/>
      <c r="AH100" s="16"/>
      <c r="AI100" s="16"/>
      <c r="AJ100" s="16"/>
      <c r="AK100" s="16"/>
    </row>
    <row r="101" spans="1:37" x14ac:dyDescent="0.2">
      <c r="A101" s="622"/>
      <c r="B101" s="1472" t="s">
        <v>804</v>
      </c>
      <c r="C101" s="1"/>
      <c r="D101" s="491" t="s">
        <v>116</v>
      </c>
      <c r="E101" s="1"/>
      <c r="F101" s="1"/>
      <c r="G101" s="1"/>
      <c r="H101" s="1"/>
      <c r="I101" s="1"/>
      <c r="J101" s="1625"/>
      <c r="K101" s="1625"/>
      <c r="L101" s="1625"/>
      <c r="M101" s="1625"/>
      <c r="N101" s="1625"/>
      <c r="O101" s="1625"/>
      <c r="P101" s="1625"/>
      <c r="Q101" s="1625"/>
      <c r="R101" s="1625"/>
      <c r="S101" s="1625"/>
      <c r="T101" s="1625"/>
      <c r="U101" s="112"/>
      <c r="V101" s="16"/>
      <c r="W101" s="16"/>
      <c r="X101" s="687"/>
      <c r="Y101" s="16"/>
      <c r="Z101" s="16"/>
      <c r="AA101" s="16"/>
      <c r="AB101" s="16"/>
      <c r="AC101" s="16"/>
      <c r="AD101" s="16"/>
      <c r="AE101" s="16"/>
      <c r="AF101" s="16"/>
      <c r="AG101" s="16"/>
      <c r="AH101" s="16"/>
      <c r="AI101" s="16"/>
      <c r="AJ101" s="16"/>
      <c r="AK101" s="16"/>
    </row>
    <row r="102" spans="1:37" x14ac:dyDescent="0.2">
      <c r="A102" s="622"/>
      <c r="B102" s="1472" t="s">
        <v>804</v>
      </c>
      <c r="C102" s="1"/>
      <c r="D102" s="491" t="s">
        <v>116</v>
      </c>
      <c r="E102" s="1"/>
      <c r="F102" s="1"/>
      <c r="G102" s="1"/>
      <c r="H102" s="1"/>
      <c r="I102" s="1"/>
      <c r="J102" s="1625"/>
      <c r="K102" s="1625"/>
      <c r="L102" s="1625"/>
      <c r="M102" s="1625"/>
      <c r="N102" s="1625"/>
      <c r="O102" s="1625"/>
      <c r="P102" s="1625"/>
      <c r="Q102" s="1625"/>
      <c r="R102" s="1625"/>
      <c r="S102" s="1625"/>
      <c r="T102" s="1625"/>
      <c r="U102" s="112"/>
      <c r="V102" s="16"/>
      <c r="W102" s="16"/>
      <c r="X102" s="687"/>
      <c r="Y102" s="16"/>
      <c r="Z102" s="16"/>
      <c r="AA102" s="16"/>
      <c r="AB102" s="16"/>
      <c r="AC102" s="16"/>
      <c r="AD102" s="16"/>
      <c r="AE102" s="16"/>
      <c r="AF102" s="16"/>
      <c r="AG102" s="16"/>
      <c r="AH102" s="16"/>
      <c r="AI102" s="16"/>
      <c r="AJ102" s="16"/>
      <c r="AK102" s="16"/>
    </row>
    <row r="103" spans="1:37" x14ac:dyDescent="0.2">
      <c r="A103" s="622"/>
      <c r="B103" s="1472" t="s">
        <v>804</v>
      </c>
      <c r="C103" s="1"/>
      <c r="D103" s="491" t="s">
        <v>116</v>
      </c>
      <c r="E103" s="1"/>
      <c r="F103" s="1"/>
      <c r="G103" s="1"/>
      <c r="H103" s="1"/>
      <c r="I103" s="1"/>
      <c r="J103" s="1625"/>
      <c r="K103" s="1625"/>
      <c r="L103" s="1625"/>
      <c r="M103" s="1625"/>
      <c r="N103" s="1625"/>
      <c r="O103" s="1625"/>
      <c r="P103" s="1625"/>
      <c r="Q103" s="1625"/>
      <c r="R103" s="1625"/>
      <c r="S103" s="1625"/>
      <c r="T103" s="1625"/>
      <c r="U103" s="112"/>
      <c r="V103" s="16"/>
      <c r="W103" s="16"/>
      <c r="X103" s="687"/>
      <c r="Y103" s="16"/>
      <c r="Z103" s="16"/>
      <c r="AA103" s="16"/>
      <c r="AB103" s="16"/>
      <c r="AC103" s="16"/>
      <c r="AD103" s="16"/>
      <c r="AE103" s="16"/>
      <c r="AF103" s="16"/>
      <c r="AG103" s="16"/>
      <c r="AH103" s="16"/>
      <c r="AI103" s="16"/>
      <c r="AJ103" s="16"/>
      <c r="AK103" s="16"/>
    </row>
    <row r="104" spans="1:37" x14ac:dyDescent="0.2">
      <c r="A104" s="622"/>
      <c r="B104" s="1472" t="s">
        <v>804</v>
      </c>
      <c r="C104" s="1"/>
      <c r="D104" s="491" t="s">
        <v>116</v>
      </c>
      <c r="E104" s="1"/>
      <c r="F104" s="1"/>
      <c r="G104" s="1"/>
      <c r="H104" s="1"/>
      <c r="I104" s="1"/>
      <c r="J104" s="1625"/>
      <c r="K104" s="1625"/>
      <c r="L104" s="1625"/>
      <c r="M104" s="1625"/>
      <c r="N104" s="1625"/>
      <c r="O104" s="1625"/>
      <c r="P104" s="1625"/>
      <c r="Q104" s="1625"/>
      <c r="R104" s="1625"/>
      <c r="S104" s="1625"/>
      <c r="T104" s="1625"/>
      <c r="U104" s="112"/>
      <c r="V104" s="16"/>
      <c r="W104" s="16"/>
      <c r="X104" s="687"/>
      <c r="Y104" s="16"/>
      <c r="Z104" s="16"/>
      <c r="AA104" s="16"/>
      <c r="AB104" s="16"/>
      <c r="AC104" s="16"/>
      <c r="AD104" s="16"/>
      <c r="AE104" s="16"/>
      <c r="AF104" s="16"/>
      <c r="AG104" s="16"/>
      <c r="AH104" s="16"/>
      <c r="AI104" s="16"/>
      <c r="AJ104" s="16"/>
      <c r="AK104" s="16"/>
    </row>
    <row r="105" spans="1:37" x14ac:dyDescent="0.2">
      <c r="A105" s="622"/>
      <c r="B105" s="668" t="s">
        <v>830</v>
      </c>
      <c r="C105" s="1"/>
      <c r="D105" s="1"/>
      <c r="E105" s="1"/>
      <c r="F105" s="1"/>
      <c r="G105" s="1"/>
      <c r="H105" s="1"/>
      <c r="I105" s="1"/>
      <c r="J105" s="1295"/>
      <c r="K105" s="1318"/>
      <c r="L105" s="1318"/>
      <c r="M105" s="1318"/>
      <c r="N105" s="1318"/>
      <c r="O105" s="1318"/>
      <c r="P105" s="1318"/>
      <c r="Q105" s="1318"/>
      <c r="R105" s="1318"/>
      <c r="S105" s="1318"/>
      <c r="T105" s="1318"/>
      <c r="U105" s="16"/>
      <c r="V105" s="16"/>
      <c r="W105" s="16"/>
      <c r="X105" s="687"/>
      <c r="Y105" s="16"/>
      <c r="Z105" s="16"/>
      <c r="AA105" s="16"/>
      <c r="AB105" s="16"/>
      <c r="AC105" s="16"/>
      <c r="AD105" s="16"/>
      <c r="AE105" s="16"/>
      <c r="AF105" s="16"/>
      <c r="AG105" s="16"/>
      <c r="AH105" s="16"/>
      <c r="AI105" s="16"/>
      <c r="AJ105" s="16"/>
      <c r="AK105" s="16"/>
    </row>
    <row r="106" spans="1:37" x14ac:dyDescent="0.2">
      <c r="A106" s="622"/>
      <c r="B106" s="1262" t="s">
        <v>840</v>
      </c>
      <c r="C106" s="1"/>
      <c r="D106" s="491" t="s">
        <v>116</v>
      </c>
      <c r="E106" s="1"/>
      <c r="F106" s="1"/>
      <c r="G106" s="1"/>
      <c r="H106" s="1"/>
      <c r="I106" s="1"/>
      <c r="J106" s="1625">
        <v>0</v>
      </c>
      <c r="K106" s="1625">
        <v>0</v>
      </c>
      <c r="L106" s="1625">
        <v>1136416.4830922186</v>
      </c>
      <c r="M106" s="1625">
        <v>0</v>
      </c>
      <c r="N106" s="1625">
        <v>213987.52281099372</v>
      </c>
      <c r="O106" s="1625">
        <v>6183973.4595352449</v>
      </c>
      <c r="P106" s="1625">
        <v>16026615.699595556</v>
      </c>
      <c r="Q106" s="1625">
        <v>14521505.915682811</v>
      </c>
      <c r="R106" s="1625">
        <v>15854291.862760078</v>
      </c>
      <c r="S106" s="1625">
        <v>17240270.523685914</v>
      </c>
      <c r="T106" s="1625"/>
      <c r="U106" s="112"/>
      <c r="V106" s="16"/>
      <c r="W106" s="16"/>
      <c r="X106" s="687"/>
      <c r="Y106" s="16"/>
      <c r="Z106" s="16"/>
      <c r="AA106" s="16"/>
      <c r="AB106" s="16"/>
      <c r="AC106" s="16"/>
      <c r="AD106" s="16"/>
      <c r="AE106" s="16"/>
      <c r="AF106" s="16"/>
      <c r="AG106" s="16"/>
      <c r="AH106" s="16"/>
      <c r="AI106" s="16"/>
      <c r="AJ106" s="16"/>
      <c r="AK106" s="16"/>
    </row>
    <row r="107" spans="1:37" x14ac:dyDescent="0.2">
      <c r="A107" s="622"/>
      <c r="B107" s="1262" t="s">
        <v>841</v>
      </c>
      <c r="C107" s="1"/>
      <c r="D107" s="491" t="s">
        <v>116</v>
      </c>
      <c r="E107" s="1"/>
      <c r="F107" s="1"/>
      <c r="G107" s="1"/>
      <c r="H107" s="1"/>
      <c r="I107" s="1"/>
      <c r="J107" s="1625"/>
      <c r="K107" s="1625"/>
      <c r="L107" s="1625"/>
      <c r="M107" s="1625"/>
      <c r="N107" s="1625"/>
      <c r="O107" s="1625"/>
      <c r="P107" s="1625"/>
      <c r="Q107" s="1625"/>
      <c r="R107" s="1625"/>
      <c r="S107" s="1625"/>
      <c r="T107" s="1625"/>
      <c r="U107" s="112"/>
      <c r="V107" s="16"/>
      <c r="W107" s="16"/>
      <c r="X107" s="687"/>
      <c r="Y107" s="16"/>
      <c r="Z107" s="16"/>
      <c r="AA107" s="16"/>
      <c r="AB107" s="16"/>
      <c r="AC107" s="16"/>
      <c r="AD107" s="16"/>
      <c r="AE107" s="16"/>
      <c r="AF107" s="16"/>
      <c r="AG107" s="16"/>
      <c r="AH107" s="16"/>
      <c r="AI107" s="16"/>
      <c r="AJ107" s="16"/>
      <c r="AK107" s="16"/>
    </row>
    <row r="108" spans="1:37" x14ac:dyDescent="0.2">
      <c r="A108" s="622"/>
      <c r="B108" s="1262" t="s">
        <v>842</v>
      </c>
      <c r="C108" s="1"/>
      <c r="D108" s="491" t="s">
        <v>116</v>
      </c>
      <c r="E108" s="1"/>
      <c r="F108" s="1"/>
      <c r="G108" s="1"/>
      <c r="H108" s="1"/>
      <c r="I108" s="1"/>
      <c r="J108" s="1625">
        <v>58735309.57</v>
      </c>
      <c r="K108" s="1625">
        <v>36211036.57843136</v>
      </c>
      <c r="L108" s="1625">
        <v>32880663.577015933</v>
      </c>
      <c r="M108" s="1625">
        <v>57639779.805817358</v>
      </c>
      <c r="N108" s="1625">
        <v>34512277.607358418</v>
      </c>
      <c r="O108" s="1625">
        <v>34451370.025442198</v>
      </c>
      <c r="P108" s="1625">
        <v>25964648.070957031</v>
      </c>
      <c r="Q108" s="1625">
        <v>26531421.611996837</v>
      </c>
      <c r="R108" s="1625">
        <v>27844033.356591109</v>
      </c>
      <c r="S108" s="1625">
        <v>27561813.201360844</v>
      </c>
      <c r="T108" s="1625"/>
      <c r="U108" s="112"/>
      <c r="V108" s="16"/>
      <c r="W108" s="16"/>
      <c r="X108" s="687"/>
      <c r="Y108" s="16"/>
      <c r="Z108" s="16"/>
      <c r="AA108" s="16"/>
      <c r="AB108" s="16"/>
      <c r="AC108" s="16"/>
      <c r="AD108" s="16"/>
      <c r="AE108" s="16"/>
      <c r="AF108" s="16"/>
      <c r="AG108" s="16"/>
      <c r="AH108" s="16"/>
      <c r="AI108" s="16"/>
      <c r="AJ108" s="16"/>
      <c r="AK108" s="16"/>
    </row>
    <row r="109" spans="1:37" x14ac:dyDescent="0.2">
      <c r="A109" s="622"/>
      <c r="B109" s="1262" t="s">
        <v>843</v>
      </c>
      <c r="C109" s="1"/>
      <c r="D109" s="491" t="s">
        <v>116</v>
      </c>
      <c r="E109" s="1"/>
      <c r="F109" s="1"/>
      <c r="G109" s="1"/>
      <c r="H109" s="1"/>
      <c r="I109" s="1"/>
      <c r="J109" s="1625"/>
      <c r="K109" s="1625"/>
      <c r="L109" s="1625"/>
      <c r="M109" s="1625"/>
      <c r="N109" s="1625"/>
      <c r="O109" s="1625"/>
      <c r="P109" s="1625"/>
      <c r="Q109" s="1625"/>
      <c r="R109" s="1625"/>
      <c r="S109" s="1625"/>
      <c r="T109" s="1625"/>
      <c r="U109" s="112"/>
      <c r="V109" s="16"/>
      <c r="W109" s="16"/>
      <c r="X109" s="687"/>
      <c r="Y109" s="16"/>
      <c r="Z109" s="16"/>
      <c r="AA109" s="16"/>
      <c r="AB109" s="16"/>
      <c r="AC109" s="16"/>
      <c r="AD109" s="16"/>
      <c r="AE109" s="16"/>
      <c r="AF109" s="16"/>
      <c r="AG109" s="16"/>
      <c r="AH109" s="16"/>
      <c r="AI109" s="16"/>
      <c r="AJ109" s="16"/>
      <c r="AK109" s="16"/>
    </row>
    <row r="110" spans="1:37" x14ac:dyDescent="0.2">
      <c r="A110" s="622"/>
      <c r="B110" s="1472" t="s">
        <v>804</v>
      </c>
      <c r="C110" s="1"/>
      <c r="D110" s="491" t="s">
        <v>116</v>
      </c>
      <c r="E110" s="1"/>
      <c r="F110" s="1"/>
      <c r="G110" s="1"/>
      <c r="H110" s="1"/>
      <c r="I110" s="1"/>
      <c r="J110" s="1625"/>
      <c r="K110" s="1625"/>
      <c r="L110" s="1625"/>
      <c r="M110" s="1625"/>
      <c r="N110" s="1625"/>
      <c r="O110" s="1625"/>
      <c r="P110" s="1625"/>
      <c r="Q110" s="1625"/>
      <c r="R110" s="1625"/>
      <c r="S110" s="1625"/>
      <c r="T110" s="1625"/>
      <c r="U110" s="112"/>
      <c r="V110" s="16"/>
      <c r="W110" s="16"/>
      <c r="X110" s="687"/>
      <c r="Y110" s="16"/>
      <c r="Z110" s="16"/>
      <c r="AA110" s="16"/>
      <c r="AB110" s="16"/>
      <c r="AC110" s="16"/>
      <c r="AD110" s="16"/>
      <c r="AE110" s="16"/>
      <c r="AF110" s="16"/>
      <c r="AG110" s="16"/>
      <c r="AH110" s="16"/>
      <c r="AI110" s="16"/>
      <c r="AJ110" s="16"/>
      <c r="AK110" s="16"/>
    </row>
    <row r="111" spans="1:37" x14ac:dyDescent="0.2">
      <c r="A111" s="622"/>
      <c r="B111" s="1472" t="s">
        <v>804</v>
      </c>
      <c r="C111" s="1"/>
      <c r="D111" s="491" t="s">
        <v>116</v>
      </c>
      <c r="E111" s="1"/>
      <c r="F111" s="1"/>
      <c r="G111" s="1"/>
      <c r="H111" s="1"/>
      <c r="I111" s="1"/>
      <c r="J111" s="1625"/>
      <c r="K111" s="1625"/>
      <c r="L111" s="1625"/>
      <c r="M111" s="1625"/>
      <c r="N111" s="1625"/>
      <c r="O111" s="1625"/>
      <c r="P111" s="1625"/>
      <c r="Q111" s="1625"/>
      <c r="R111" s="1625"/>
      <c r="S111" s="1625"/>
      <c r="T111" s="1625"/>
      <c r="U111" s="112"/>
      <c r="V111" s="16"/>
      <c r="W111" s="16"/>
      <c r="X111" s="687"/>
      <c r="Y111" s="16"/>
      <c r="Z111" s="16"/>
      <c r="AA111" s="16"/>
      <c r="AB111" s="16"/>
      <c r="AC111" s="16"/>
      <c r="AD111" s="16"/>
      <c r="AE111" s="16"/>
      <c r="AF111" s="16"/>
      <c r="AG111" s="16"/>
      <c r="AH111" s="16"/>
      <c r="AI111" s="16"/>
      <c r="AJ111" s="16"/>
      <c r="AK111" s="16"/>
    </row>
    <row r="112" spans="1:37" x14ac:dyDescent="0.2">
      <c r="A112" s="622"/>
      <c r="B112" s="1472" t="s">
        <v>804</v>
      </c>
      <c r="C112" s="1"/>
      <c r="D112" s="491" t="s">
        <v>116</v>
      </c>
      <c r="E112" s="1"/>
      <c r="F112" s="1"/>
      <c r="G112" s="1"/>
      <c r="H112" s="1"/>
      <c r="I112" s="1"/>
      <c r="J112" s="1625"/>
      <c r="K112" s="1625"/>
      <c r="L112" s="1625"/>
      <c r="M112" s="1625"/>
      <c r="N112" s="1625"/>
      <c r="O112" s="1625"/>
      <c r="P112" s="1625"/>
      <c r="Q112" s="1625"/>
      <c r="R112" s="1625"/>
      <c r="S112" s="1625"/>
      <c r="T112" s="1625"/>
      <c r="U112" s="112"/>
      <c r="V112" s="16"/>
      <c r="W112" s="16"/>
      <c r="X112" s="687"/>
      <c r="Y112" s="16"/>
      <c r="Z112" s="16"/>
      <c r="AA112" s="16"/>
      <c r="AB112" s="16"/>
      <c r="AC112" s="16"/>
      <c r="AD112" s="16"/>
      <c r="AE112" s="16"/>
      <c r="AF112" s="16"/>
      <c r="AG112" s="16"/>
      <c r="AH112" s="16"/>
      <c r="AI112" s="16"/>
      <c r="AJ112" s="16"/>
      <c r="AK112" s="16"/>
    </row>
    <row r="113" spans="1:37" x14ac:dyDescent="0.2">
      <c r="A113" s="622"/>
      <c r="B113" s="1472" t="s">
        <v>804</v>
      </c>
      <c r="C113" s="1"/>
      <c r="D113" s="491" t="s">
        <v>116</v>
      </c>
      <c r="E113" s="1"/>
      <c r="F113" s="1"/>
      <c r="G113" s="1"/>
      <c r="H113" s="1"/>
      <c r="I113" s="1"/>
      <c r="J113" s="1625"/>
      <c r="K113" s="1625"/>
      <c r="L113" s="1625"/>
      <c r="M113" s="1625"/>
      <c r="N113" s="1625"/>
      <c r="O113" s="1625"/>
      <c r="P113" s="1625"/>
      <c r="Q113" s="1625"/>
      <c r="R113" s="1625"/>
      <c r="S113" s="1625"/>
      <c r="T113" s="1625"/>
      <c r="U113" s="112"/>
      <c r="V113" s="16"/>
      <c r="W113" s="16"/>
      <c r="X113" s="687"/>
      <c r="Y113" s="16"/>
      <c r="Z113" s="16"/>
      <c r="AA113" s="16"/>
      <c r="AB113" s="16"/>
      <c r="AC113" s="16"/>
      <c r="AD113" s="16"/>
      <c r="AE113" s="16"/>
      <c r="AF113" s="16"/>
      <c r="AG113" s="16"/>
      <c r="AH113" s="16"/>
      <c r="AI113" s="16"/>
      <c r="AJ113" s="16"/>
      <c r="AK113" s="16"/>
    </row>
    <row r="114" spans="1:37" x14ac:dyDescent="0.2">
      <c r="A114" s="622"/>
      <c r="B114" s="1304"/>
      <c r="C114" s="1"/>
      <c r="D114" s="1"/>
      <c r="E114" s="1"/>
      <c r="F114" s="1"/>
      <c r="G114" s="1"/>
      <c r="H114" s="1"/>
      <c r="I114" s="1"/>
      <c r="J114" s="1295"/>
      <c r="K114" s="1318"/>
      <c r="L114" s="1318"/>
      <c r="M114" s="1318"/>
      <c r="N114" s="1318"/>
      <c r="O114" s="1318"/>
      <c r="P114" s="1318"/>
      <c r="Q114" s="1318"/>
      <c r="R114" s="1318"/>
      <c r="S114" s="1318"/>
      <c r="T114" s="1318"/>
      <c r="U114" s="16"/>
      <c r="V114" s="16"/>
      <c r="W114" s="16"/>
      <c r="X114" s="687"/>
      <c r="Y114" s="16"/>
      <c r="Z114" s="16"/>
      <c r="AA114" s="16"/>
      <c r="AB114" s="16"/>
      <c r="AC114" s="16"/>
      <c r="AD114" s="16"/>
      <c r="AE114" s="16"/>
      <c r="AF114" s="16"/>
      <c r="AG114" s="16"/>
      <c r="AH114" s="16"/>
      <c r="AI114" s="16"/>
      <c r="AJ114" s="16"/>
      <c r="AK114" s="16"/>
    </row>
    <row r="115" spans="1:37" x14ac:dyDescent="0.2">
      <c r="A115" s="622"/>
      <c r="B115" s="1305" t="s">
        <v>844</v>
      </c>
      <c r="C115" s="1"/>
      <c r="D115" s="491" t="s">
        <v>116</v>
      </c>
      <c r="E115" s="1"/>
      <c r="F115" s="1"/>
      <c r="G115" s="1"/>
      <c r="H115" s="1"/>
      <c r="I115" s="1"/>
      <c r="J115" s="1292">
        <f>SUM(J97:J104)-SUM(J106:J113)</f>
        <v>-30997821.127242748</v>
      </c>
      <c r="K115" s="1292">
        <f t="shared" ref="K115:T115" si="22">SUM(K97:K104)-SUM(K106:K113)</f>
        <v>-31590568.094947401</v>
      </c>
      <c r="L115" s="1292">
        <f t="shared" si="22"/>
        <v>-34017080.060108155</v>
      </c>
      <c r="M115" s="1292">
        <f t="shared" si="22"/>
        <v>-44584192.061596103</v>
      </c>
      <c r="N115" s="1292">
        <f t="shared" si="22"/>
        <v>-34726265.130169414</v>
      </c>
      <c r="O115" s="1292">
        <f t="shared" si="22"/>
        <v>-40635343.484977439</v>
      </c>
      <c r="P115" s="1292">
        <f t="shared" si="22"/>
        <v>-41991263.77055259</v>
      </c>
      <c r="Q115" s="1292">
        <f t="shared" si="22"/>
        <v>-41052927.527679652</v>
      </c>
      <c r="R115" s="1292">
        <f t="shared" si="22"/>
        <v>-43698325.219351187</v>
      </c>
      <c r="S115" s="1292">
        <f t="shared" si="22"/>
        <v>-44802083.725046754</v>
      </c>
      <c r="T115" s="1292">
        <f t="shared" si="22"/>
        <v>0</v>
      </c>
      <c r="U115" s="112"/>
      <c r="V115" s="16"/>
      <c r="W115" s="16"/>
      <c r="X115" s="687"/>
      <c r="Y115" s="16"/>
      <c r="Z115" s="16"/>
      <c r="AA115" s="16"/>
      <c r="AB115" s="16"/>
      <c r="AC115" s="16"/>
      <c r="AD115" s="16"/>
      <c r="AE115" s="16"/>
      <c r="AF115" s="16"/>
      <c r="AG115" s="16"/>
      <c r="AH115" s="16"/>
      <c r="AI115" s="16"/>
      <c r="AJ115" s="16"/>
      <c r="AK115" s="16"/>
    </row>
    <row r="116" spans="1:37" x14ac:dyDescent="0.2">
      <c r="A116" s="622"/>
      <c r="B116" s="1304"/>
      <c r="C116" s="1"/>
      <c r="D116" s="1"/>
      <c r="E116" s="1"/>
      <c r="F116" s="1"/>
      <c r="G116" s="1"/>
      <c r="H116" s="1"/>
      <c r="I116" s="1"/>
      <c r="J116" s="1295"/>
      <c r="K116" s="1318"/>
      <c r="L116" s="1318"/>
      <c r="M116" s="1318"/>
      <c r="N116" s="1318"/>
      <c r="O116" s="1318"/>
      <c r="P116" s="1318"/>
      <c r="Q116" s="1318"/>
      <c r="R116" s="1318"/>
      <c r="S116" s="1318"/>
      <c r="T116" s="1318"/>
      <c r="U116" s="16"/>
      <c r="V116" s="16"/>
      <c r="W116" s="16"/>
      <c r="X116" s="687"/>
      <c r="Y116" s="16"/>
      <c r="Z116" s="16"/>
      <c r="AA116" s="16"/>
      <c r="AB116" s="16"/>
      <c r="AC116" s="16"/>
      <c r="AD116" s="16"/>
      <c r="AE116" s="16"/>
      <c r="AF116" s="16"/>
      <c r="AG116" s="16"/>
      <c r="AH116" s="16"/>
      <c r="AI116" s="16"/>
      <c r="AJ116" s="16"/>
      <c r="AK116" s="16"/>
    </row>
    <row r="117" spans="1:37" x14ac:dyDescent="0.2">
      <c r="A117" s="622"/>
      <c r="B117" s="1266" t="s">
        <v>845</v>
      </c>
      <c r="C117" s="265"/>
      <c r="D117" s="265"/>
      <c r="E117" s="265"/>
      <c r="F117" s="265"/>
      <c r="G117" s="265"/>
      <c r="H117" s="265"/>
      <c r="I117" s="265"/>
      <c r="J117" s="1315"/>
      <c r="K117" s="1293"/>
      <c r="L117" s="1316"/>
      <c r="M117" s="1317"/>
      <c r="N117" s="1316"/>
      <c r="O117" s="1316"/>
      <c r="P117" s="1316"/>
      <c r="Q117" s="1316"/>
      <c r="R117" s="1316"/>
      <c r="S117" s="1316"/>
      <c r="T117" s="1316"/>
      <c r="U117" s="1258"/>
      <c r="V117" s="1258"/>
      <c r="W117" s="1258"/>
      <c r="X117" s="1260"/>
      <c r="Y117" s="16"/>
      <c r="Z117" s="16"/>
      <c r="AA117" s="16"/>
      <c r="AB117" s="16"/>
      <c r="AC117" s="16"/>
      <c r="AD117" s="16"/>
      <c r="AE117" s="16"/>
      <c r="AF117" s="16"/>
      <c r="AG117" s="16"/>
      <c r="AH117" s="16"/>
      <c r="AI117" s="16"/>
      <c r="AJ117" s="16"/>
      <c r="AK117" s="16"/>
    </row>
    <row r="118" spans="1:37" x14ac:dyDescent="0.2">
      <c r="A118" s="622"/>
      <c r="B118" s="668" t="s">
        <v>824</v>
      </c>
      <c r="C118" s="2"/>
      <c r="D118" s="2"/>
      <c r="E118" s="2"/>
      <c r="F118" s="2"/>
      <c r="G118" s="2"/>
      <c r="H118" s="2"/>
      <c r="I118" s="2"/>
      <c r="J118" s="1473"/>
      <c r="K118" s="810"/>
      <c r="L118" s="1474"/>
      <c r="M118" s="1475"/>
      <c r="N118" s="1474"/>
      <c r="O118" s="1474"/>
      <c r="P118" s="1474"/>
      <c r="Q118" s="1474"/>
      <c r="R118" s="1474"/>
      <c r="S118" s="1474"/>
      <c r="T118" s="1474"/>
      <c r="U118" s="633"/>
      <c r="V118" s="633"/>
      <c r="W118" s="633"/>
      <c r="X118" s="1476"/>
      <c r="Y118" s="16"/>
      <c r="Z118" s="16"/>
      <c r="AA118" s="16"/>
      <c r="AB118" s="16"/>
      <c r="AC118" s="16"/>
      <c r="AD118" s="16"/>
      <c r="AE118" s="16"/>
      <c r="AF118" s="16"/>
      <c r="AG118" s="16"/>
      <c r="AH118" s="16"/>
      <c r="AI118" s="16"/>
      <c r="AJ118" s="16"/>
      <c r="AK118" s="16"/>
    </row>
    <row r="119" spans="1:37" x14ac:dyDescent="0.2">
      <c r="A119" s="622"/>
      <c r="B119" s="1262" t="s">
        <v>846</v>
      </c>
      <c r="C119" s="2"/>
      <c r="D119" s="491" t="s">
        <v>116</v>
      </c>
      <c r="E119" s="2"/>
      <c r="F119" s="2"/>
      <c r="G119" s="2"/>
      <c r="H119" s="2"/>
      <c r="I119" s="2"/>
      <c r="J119" s="1232"/>
      <c r="K119" s="1626"/>
      <c r="L119" s="1232"/>
      <c r="M119" s="1625"/>
      <c r="N119" s="1232"/>
      <c r="O119" s="1232"/>
      <c r="P119" s="1232"/>
      <c r="Q119" s="1232"/>
      <c r="R119" s="1232"/>
      <c r="S119" s="1232"/>
      <c r="T119" s="1232"/>
      <c r="U119" s="633"/>
      <c r="V119" s="633"/>
      <c r="W119" s="633"/>
      <c r="X119" s="1476"/>
      <c r="Y119" s="16"/>
      <c r="Z119" s="16"/>
      <c r="AA119" s="16"/>
      <c r="AB119" s="16"/>
      <c r="AC119" s="16"/>
      <c r="AD119" s="16"/>
      <c r="AE119" s="16"/>
      <c r="AF119" s="16"/>
      <c r="AG119" s="16"/>
      <c r="AH119" s="16"/>
      <c r="AI119" s="16"/>
      <c r="AJ119" s="16"/>
      <c r="AK119" s="16"/>
    </row>
    <row r="120" spans="1:37" x14ac:dyDescent="0.2">
      <c r="A120" s="622"/>
      <c r="B120" s="1262" t="s">
        <v>847</v>
      </c>
      <c r="C120" s="2"/>
      <c r="D120" s="491" t="s">
        <v>116</v>
      </c>
      <c r="E120" s="2"/>
      <c r="F120" s="2"/>
      <c r="G120" s="2"/>
      <c r="H120" s="2"/>
      <c r="I120" s="2"/>
      <c r="J120" s="1232"/>
      <c r="K120" s="1626"/>
      <c r="L120" s="1232"/>
      <c r="M120" s="1625"/>
      <c r="N120" s="1232"/>
      <c r="O120" s="1232"/>
      <c r="P120" s="1232"/>
      <c r="Q120" s="1232"/>
      <c r="R120" s="1232"/>
      <c r="S120" s="1232"/>
      <c r="T120" s="1232"/>
      <c r="U120" s="633"/>
      <c r="V120" s="633"/>
      <c r="W120" s="633"/>
      <c r="X120" s="1476"/>
      <c r="Y120" s="16"/>
      <c r="Z120" s="16"/>
      <c r="AA120" s="16"/>
      <c r="AB120" s="16"/>
      <c r="AC120" s="16"/>
      <c r="AD120" s="16"/>
      <c r="AE120" s="16"/>
      <c r="AF120" s="16"/>
      <c r="AG120" s="16"/>
      <c r="AH120" s="16"/>
      <c r="AI120" s="16"/>
      <c r="AJ120" s="16"/>
      <c r="AK120" s="16"/>
    </row>
    <row r="121" spans="1:37" x14ac:dyDescent="0.2">
      <c r="A121" s="622"/>
      <c r="B121" s="1472" t="s">
        <v>804</v>
      </c>
      <c r="C121" s="2"/>
      <c r="D121" s="491" t="s">
        <v>116</v>
      </c>
      <c r="E121" s="2"/>
      <c r="F121" s="2"/>
      <c r="G121" s="2"/>
      <c r="H121" s="2"/>
      <c r="I121" s="2"/>
      <c r="J121" s="1232"/>
      <c r="K121" s="1626"/>
      <c r="L121" s="1232"/>
      <c r="M121" s="1625"/>
      <c r="N121" s="1232"/>
      <c r="O121" s="1232"/>
      <c r="P121" s="1232"/>
      <c r="Q121" s="1232"/>
      <c r="R121" s="1232"/>
      <c r="S121" s="1232"/>
      <c r="T121" s="1232"/>
      <c r="U121" s="633"/>
      <c r="V121" s="633"/>
      <c r="W121" s="633"/>
      <c r="X121" s="1476"/>
      <c r="Y121" s="16"/>
      <c r="Z121" s="16"/>
      <c r="AA121" s="16"/>
      <c r="AB121" s="16"/>
      <c r="AC121" s="16"/>
      <c r="AD121" s="16"/>
      <c r="AE121" s="16"/>
      <c r="AF121" s="16"/>
      <c r="AG121" s="16"/>
      <c r="AH121" s="16"/>
      <c r="AI121" s="16"/>
      <c r="AJ121" s="16"/>
      <c r="AK121" s="16"/>
    </row>
    <row r="122" spans="1:37" x14ac:dyDescent="0.2">
      <c r="A122" s="622"/>
      <c r="B122" s="1472" t="s">
        <v>804</v>
      </c>
      <c r="C122" s="2"/>
      <c r="D122" s="491" t="s">
        <v>116</v>
      </c>
      <c r="E122" s="2"/>
      <c r="F122" s="2"/>
      <c r="G122" s="2"/>
      <c r="H122" s="2"/>
      <c r="I122" s="2"/>
      <c r="J122" s="1232"/>
      <c r="K122" s="1626"/>
      <c r="L122" s="1232"/>
      <c r="M122" s="1625"/>
      <c r="N122" s="1232"/>
      <c r="O122" s="1232"/>
      <c r="P122" s="1232"/>
      <c r="Q122" s="1232"/>
      <c r="R122" s="1232"/>
      <c r="S122" s="1232"/>
      <c r="T122" s="1232"/>
      <c r="U122" s="633"/>
      <c r="V122" s="633"/>
      <c r="W122" s="633"/>
      <c r="X122" s="1476"/>
      <c r="Y122" s="16"/>
      <c r="Z122" s="16"/>
      <c r="AA122" s="16"/>
      <c r="AB122" s="16"/>
      <c r="AC122" s="16"/>
      <c r="AD122" s="16"/>
      <c r="AE122" s="16"/>
      <c r="AF122" s="16"/>
      <c r="AG122" s="16"/>
      <c r="AH122" s="16"/>
      <c r="AI122" s="16"/>
      <c r="AJ122" s="16"/>
      <c r="AK122" s="16"/>
    </row>
    <row r="123" spans="1:37" x14ac:dyDescent="0.2">
      <c r="A123" s="622"/>
      <c r="B123" s="1472" t="s">
        <v>804</v>
      </c>
      <c r="C123" s="2"/>
      <c r="D123" s="491" t="s">
        <v>116</v>
      </c>
      <c r="E123" s="2"/>
      <c r="F123" s="2"/>
      <c r="G123" s="2"/>
      <c r="H123" s="2"/>
      <c r="I123" s="2"/>
      <c r="J123" s="1232"/>
      <c r="K123" s="1626"/>
      <c r="L123" s="1232"/>
      <c r="M123" s="1625"/>
      <c r="N123" s="1232"/>
      <c r="O123" s="1232"/>
      <c r="P123" s="1232"/>
      <c r="Q123" s="1232"/>
      <c r="R123" s="1232"/>
      <c r="S123" s="1232"/>
      <c r="T123" s="1232"/>
      <c r="U123" s="633"/>
      <c r="V123" s="633"/>
      <c r="W123" s="633"/>
      <c r="X123" s="1476"/>
      <c r="Y123" s="16"/>
      <c r="Z123" s="16"/>
      <c r="AA123" s="16"/>
      <c r="AB123" s="16"/>
      <c r="AC123" s="16"/>
      <c r="AD123" s="16"/>
      <c r="AE123" s="16"/>
      <c r="AF123" s="16"/>
      <c r="AG123" s="16"/>
      <c r="AH123" s="16"/>
      <c r="AI123" s="16"/>
      <c r="AJ123" s="16"/>
      <c r="AK123" s="16"/>
    </row>
    <row r="124" spans="1:37" x14ac:dyDescent="0.2">
      <c r="A124" s="622"/>
      <c r="B124" s="668" t="s">
        <v>830</v>
      </c>
      <c r="C124" s="1"/>
      <c r="D124" s="1"/>
      <c r="E124" s="1"/>
      <c r="F124" s="1"/>
      <c r="G124" s="1"/>
      <c r="H124" s="1"/>
      <c r="I124" s="1"/>
      <c r="J124" s="1295"/>
      <c r="K124" s="1318"/>
      <c r="L124" s="1318"/>
      <c r="M124" s="1318"/>
      <c r="N124" s="1318"/>
      <c r="O124" s="1318"/>
      <c r="P124" s="1318"/>
      <c r="Q124" s="1318"/>
      <c r="R124" s="1318"/>
      <c r="S124" s="1318"/>
      <c r="T124" s="1318"/>
      <c r="U124" s="16"/>
      <c r="V124" s="16"/>
      <c r="W124" s="16"/>
      <c r="X124" s="687"/>
      <c r="Y124" s="16"/>
      <c r="Z124" s="16"/>
      <c r="AA124" s="16"/>
      <c r="AB124" s="16"/>
      <c r="AC124" s="16"/>
      <c r="AD124" s="16"/>
      <c r="AE124" s="16"/>
      <c r="AF124" s="16"/>
      <c r="AG124" s="16"/>
      <c r="AH124" s="16"/>
      <c r="AI124" s="16"/>
      <c r="AJ124" s="16"/>
      <c r="AK124" s="16"/>
    </row>
    <row r="125" spans="1:37" x14ac:dyDescent="0.2">
      <c r="A125" s="622"/>
      <c r="B125" s="1262" t="s">
        <v>848</v>
      </c>
      <c r="C125" s="1"/>
      <c r="D125" s="491" t="s">
        <v>116</v>
      </c>
      <c r="E125" s="1"/>
      <c r="F125" s="1"/>
      <c r="G125" s="1"/>
      <c r="H125" s="1"/>
      <c r="I125" s="1"/>
      <c r="J125" s="1625">
        <v>1280651</v>
      </c>
      <c r="K125" s="1625">
        <v>1326556</v>
      </c>
      <c r="L125" s="1625">
        <v>1376224</v>
      </c>
      <c r="M125" s="1625">
        <v>1426209</v>
      </c>
      <c r="N125" s="1625">
        <v>1477691</v>
      </c>
      <c r="O125" s="1625">
        <v>1494359</v>
      </c>
      <c r="P125" s="1625">
        <v>1512981</v>
      </c>
      <c r="Q125" s="1625">
        <v>968776</v>
      </c>
      <c r="R125" s="1625">
        <v>796964</v>
      </c>
      <c r="S125" s="1625">
        <v>822530</v>
      </c>
      <c r="T125" s="1625"/>
      <c r="U125" s="112"/>
      <c r="V125" s="16"/>
      <c r="W125" s="16"/>
      <c r="X125" s="687"/>
      <c r="Y125" s="16"/>
      <c r="Z125" s="16"/>
      <c r="AA125" s="16"/>
      <c r="AB125" s="16"/>
      <c r="AC125" s="16"/>
      <c r="AD125" s="16"/>
      <c r="AE125" s="16"/>
      <c r="AF125" s="16"/>
      <c r="AG125" s="16"/>
      <c r="AH125" s="16"/>
      <c r="AI125" s="16"/>
      <c r="AJ125" s="16"/>
      <c r="AK125" s="16"/>
    </row>
    <row r="126" spans="1:37" x14ac:dyDescent="0.2">
      <c r="A126" s="622"/>
      <c r="B126" s="1262" t="s">
        <v>849</v>
      </c>
      <c r="C126" s="1"/>
      <c r="D126" s="491" t="s">
        <v>116</v>
      </c>
      <c r="E126" s="1"/>
      <c r="F126" s="1"/>
      <c r="G126" s="1"/>
      <c r="H126" s="1"/>
      <c r="I126" s="1"/>
      <c r="J126" s="1625">
        <v>199618</v>
      </c>
      <c r="K126" s="1625">
        <v>109114</v>
      </c>
      <c r="L126" s="1625">
        <v>26260</v>
      </c>
      <c r="M126" s="1625"/>
      <c r="N126" s="1625"/>
      <c r="O126" s="1625"/>
      <c r="P126" s="1625"/>
      <c r="Q126" s="1625"/>
      <c r="R126" s="1625"/>
      <c r="S126" s="1625"/>
      <c r="T126" s="1625"/>
      <c r="U126" s="112"/>
      <c r="V126" s="16"/>
      <c r="W126" s="16"/>
      <c r="X126" s="687"/>
      <c r="Y126" s="16"/>
      <c r="Z126" s="16"/>
      <c r="AA126" s="16"/>
      <c r="AB126" s="16"/>
      <c r="AC126" s="16"/>
      <c r="AD126" s="16"/>
      <c r="AE126" s="16"/>
      <c r="AF126" s="16"/>
      <c r="AG126" s="16"/>
      <c r="AH126" s="16"/>
      <c r="AI126" s="16"/>
      <c r="AJ126" s="16"/>
      <c r="AK126" s="16"/>
    </row>
    <row r="127" spans="1:37" x14ac:dyDescent="0.2">
      <c r="A127" s="622"/>
      <c r="B127" s="1472" t="s">
        <v>804</v>
      </c>
      <c r="C127" s="1"/>
      <c r="D127" s="491" t="s">
        <v>116</v>
      </c>
      <c r="E127" s="1"/>
      <c r="F127" s="1"/>
      <c r="G127" s="1"/>
      <c r="H127" s="1"/>
      <c r="I127" s="1"/>
      <c r="J127" s="1625"/>
      <c r="K127" s="1625"/>
      <c r="L127" s="1625"/>
      <c r="M127" s="1625"/>
      <c r="N127" s="1625"/>
      <c r="O127" s="1625"/>
      <c r="P127" s="1625"/>
      <c r="Q127" s="1625"/>
      <c r="R127" s="1625"/>
      <c r="S127" s="1625"/>
      <c r="T127" s="1625"/>
      <c r="U127" s="112"/>
      <c r="V127" s="16"/>
      <c r="W127" s="16"/>
      <c r="X127" s="687"/>
      <c r="Y127" s="16"/>
      <c r="Z127" s="16"/>
      <c r="AA127" s="16"/>
      <c r="AB127" s="16"/>
      <c r="AC127" s="16"/>
      <c r="AD127" s="16"/>
      <c r="AE127" s="16"/>
      <c r="AF127" s="16"/>
      <c r="AG127" s="16"/>
      <c r="AH127" s="16"/>
      <c r="AI127" s="16"/>
      <c r="AJ127" s="16"/>
      <c r="AK127" s="16"/>
    </row>
    <row r="128" spans="1:37" x14ac:dyDescent="0.2">
      <c r="A128" s="622"/>
      <c r="B128" s="1472" t="s">
        <v>804</v>
      </c>
      <c r="C128" s="1"/>
      <c r="D128" s="491" t="s">
        <v>116</v>
      </c>
      <c r="E128" s="1"/>
      <c r="F128" s="1"/>
      <c r="G128" s="1"/>
      <c r="H128" s="1"/>
      <c r="I128" s="1"/>
      <c r="J128" s="1625"/>
      <c r="K128" s="1625"/>
      <c r="L128" s="1625"/>
      <c r="M128" s="1625"/>
      <c r="N128" s="1625"/>
      <c r="O128" s="1625"/>
      <c r="P128" s="1625"/>
      <c r="Q128" s="1625"/>
      <c r="R128" s="1625"/>
      <c r="S128" s="1625"/>
      <c r="T128" s="1625"/>
      <c r="U128" s="112"/>
      <c r="V128" s="16"/>
      <c r="W128" s="16"/>
      <c r="X128" s="687"/>
      <c r="Y128" s="16"/>
      <c r="Z128" s="16"/>
      <c r="AA128" s="16"/>
      <c r="AB128" s="16"/>
      <c r="AC128" s="16"/>
      <c r="AD128" s="16"/>
      <c r="AE128" s="16"/>
      <c r="AF128" s="16"/>
      <c r="AG128" s="16"/>
      <c r="AH128" s="16"/>
      <c r="AI128" s="16"/>
      <c r="AJ128" s="16"/>
      <c r="AK128" s="16"/>
    </row>
    <row r="129" spans="1:37" x14ac:dyDescent="0.2">
      <c r="A129" s="622"/>
      <c r="B129" s="1472" t="s">
        <v>804</v>
      </c>
      <c r="C129" s="1"/>
      <c r="D129" s="491" t="s">
        <v>116</v>
      </c>
      <c r="E129" s="1"/>
      <c r="F129" s="1"/>
      <c r="G129" s="1"/>
      <c r="H129" s="1"/>
      <c r="I129" s="1"/>
      <c r="J129" s="1625"/>
      <c r="K129" s="1625"/>
      <c r="L129" s="1625"/>
      <c r="M129" s="1625"/>
      <c r="N129" s="1625"/>
      <c r="O129" s="1625"/>
      <c r="P129" s="1625"/>
      <c r="Q129" s="1625"/>
      <c r="R129" s="1625"/>
      <c r="S129" s="1625"/>
      <c r="T129" s="1625"/>
      <c r="U129" s="112"/>
      <c r="V129" s="16"/>
      <c r="W129" s="16"/>
      <c r="X129" s="687"/>
      <c r="Y129" s="16"/>
      <c r="Z129" s="16"/>
      <c r="AA129" s="16"/>
      <c r="AB129" s="16"/>
      <c r="AC129" s="16"/>
      <c r="AD129" s="16"/>
      <c r="AE129" s="16"/>
      <c r="AF129" s="16"/>
      <c r="AG129" s="16"/>
      <c r="AH129" s="16"/>
      <c r="AI129" s="16"/>
      <c r="AJ129" s="16"/>
      <c r="AK129" s="16"/>
    </row>
    <row r="130" spans="1:37" x14ac:dyDescent="0.2">
      <c r="A130" s="622"/>
      <c r="B130" s="1304"/>
      <c r="C130" s="1"/>
      <c r="D130" s="1"/>
      <c r="E130" s="1"/>
      <c r="F130" s="1"/>
      <c r="G130" s="1"/>
      <c r="H130" s="1"/>
      <c r="I130" s="1"/>
      <c r="J130" s="1319"/>
      <c r="K130" s="1319"/>
      <c r="L130" s="1319"/>
      <c r="M130" s="1319"/>
      <c r="N130" s="1319"/>
      <c r="O130" s="1319"/>
      <c r="P130" s="1319"/>
      <c r="Q130" s="1319"/>
      <c r="R130" s="1319"/>
      <c r="S130" s="1319"/>
      <c r="T130" s="1319"/>
      <c r="U130" s="16"/>
      <c r="V130" s="16"/>
      <c r="W130" s="16"/>
      <c r="X130" s="687"/>
      <c r="Y130" s="16"/>
      <c r="Z130" s="16"/>
      <c r="AA130" s="16"/>
      <c r="AB130" s="16"/>
      <c r="AC130" s="16"/>
      <c r="AD130" s="16"/>
      <c r="AE130" s="16"/>
      <c r="AF130" s="16"/>
      <c r="AG130" s="16"/>
      <c r="AH130" s="16"/>
      <c r="AI130" s="16"/>
      <c r="AJ130" s="16"/>
      <c r="AK130" s="16"/>
    </row>
    <row r="131" spans="1:37" x14ac:dyDescent="0.2">
      <c r="A131" s="622"/>
      <c r="B131" s="1305" t="s">
        <v>850</v>
      </c>
      <c r="C131" s="1"/>
      <c r="D131" s="491" t="s">
        <v>116</v>
      </c>
      <c r="E131" s="1"/>
      <c r="F131" s="1"/>
      <c r="G131" s="1"/>
      <c r="H131" s="1"/>
      <c r="I131" s="1"/>
      <c r="J131" s="1199">
        <f>SUM(J119:J123)-SUM(J125:J129)</f>
        <v>-1480269</v>
      </c>
      <c r="K131" s="1199">
        <f t="shared" ref="K131:T131" si="23">SUM(K119:K123)-SUM(K125:K129)</f>
        <v>-1435670</v>
      </c>
      <c r="L131" s="1199">
        <f t="shared" si="23"/>
        <v>-1402484</v>
      </c>
      <c r="M131" s="1199">
        <f t="shared" si="23"/>
        <v>-1426209</v>
      </c>
      <c r="N131" s="1199">
        <f t="shared" si="23"/>
        <v>-1477691</v>
      </c>
      <c r="O131" s="1199">
        <f t="shared" si="23"/>
        <v>-1494359</v>
      </c>
      <c r="P131" s="1199">
        <f t="shared" si="23"/>
        <v>-1512981</v>
      </c>
      <c r="Q131" s="1199">
        <f t="shared" si="23"/>
        <v>-968776</v>
      </c>
      <c r="R131" s="1199">
        <f t="shared" si="23"/>
        <v>-796964</v>
      </c>
      <c r="S131" s="1199">
        <f t="shared" si="23"/>
        <v>-822530</v>
      </c>
      <c r="T131" s="1199">
        <f t="shared" si="23"/>
        <v>0</v>
      </c>
      <c r="U131" s="112"/>
      <c r="V131" s="16"/>
      <c r="W131" s="16"/>
      <c r="X131" s="687"/>
      <c r="Y131" s="16"/>
      <c r="Z131" s="16"/>
      <c r="AA131" s="16"/>
      <c r="AB131" s="16"/>
      <c r="AC131" s="16"/>
      <c r="AD131" s="16"/>
      <c r="AE131" s="16"/>
      <c r="AF131" s="16"/>
      <c r="AG131" s="16"/>
      <c r="AH131" s="16"/>
      <c r="AI131" s="16"/>
      <c r="AJ131" s="16"/>
      <c r="AK131" s="16"/>
    </row>
    <row r="132" spans="1:37" x14ac:dyDescent="0.2">
      <c r="A132" s="622"/>
      <c r="B132" s="1304"/>
      <c r="C132" s="1"/>
      <c r="D132" s="1"/>
      <c r="E132" s="1"/>
      <c r="F132" s="1"/>
      <c r="G132" s="1"/>
      <c r="H132" s="1"/>
      <c r="I132" s="1"/>
      <c r="J132" s="1295"/>
      <c r="K132" s="1318"/>
      <c r="L132" s="1318"/>
      <c r="M132" s="1318"/>
      <c r="N132" s="1318"/>
      <c r="O132" s="1318"/>
      <c r="P132" s="1318"/>
      <c r="Q132" s="1318"/>
      <c r="R132" s="1318"/>
      <c r="S132" s="1318"/>
      <c r="T132" s="1318"/>
      <c r="U132" s="16"/>
      <c r="V132" s="16"/>
      <c r="W132" s="16"/>
      <c r="X132" s="687"/>
      <c r="Y132" s="16"/>
      <c r="Z132" s="16"/>
      <c r="AA132" s="16"/>
      <c r="AB132" s="16"/>
      <c r="AC132" s="16"/>
      <c r="AD132" s="16"/>
      <c r="AE132" s="16"/>
      <c r="AF132" s="16"/>
      <c r="AG132" s="16"/>
      <c r="AH132" s="16"/>
      <c r="AI132" s="16"/>
      <c r="AJ132" s="16"/>
      <c r="AK132" s="16"/>
    </row>
    <row r="133" spans="1:37" x14ac:dyDescent="0.2">
      <c r="A133" s="622"/>
      <c r="B133" s="1305" t="s">
        <v>851</v>
      </c>
      <c r="C133" s="1"/>
      <c r="D133" s="491" t="s">
        <v>116</v>
      </c>
      <c r="E133" s="1"/>
      <c r="F133" s="1"/>
      <c r="G133" s="1"/>
      <c r="H133" s="1"/>
      <c r="I133" s="1"/>
      <c r="J133" s="1199">
        <f t="shared" ref="J133:T133" si="24">SUM(J93,J115,J131)</f>
        <v>-3.7252902984619141E-9</v>
      </c>
      <c r="K133" s="1199">
        <f t="shared" si="24"/>
        <v>4.0978193283081055E-8</v>
      </c>
      <c r="L133" s="1199">
        <f t="shared" si="24"/>
        <v>4999999.9999999255</v>
      </c>
      <c r="M133" s="1199">
        <f t="shared" si="24"/>
        <v>-4999999.9999999627</v>
      </c>
      <c r="N133" s="1199">
        <f t="shared" si="24"/>
        <v>4999999.9999999925</v>
      </c>
      <c r="O133" s="1199">
        <f t="shared" si="24"/>
        <v>2.9802322387695313E-8</v>
      </c>
      <c r="P133" s="1199">
        <f t="shared" si="24"/>
        <v>5.9604644775390625E-8</v>
      </c>
      <c r="Q133" s="1199">
        <f t="shared" si="24"/>
        <v>2.9802322387695313E-8</v>
      </c>
      <c r="R133" s="1199">
        <f t="shared" si="24"/>
        <v>-7.4505805969238281E-8</v>
      </c>
      <c r="S133" s="1199">
        <f t="shared" si="24"/>
        <v>2.9802322387695313E-8</v>
      </c>
      <c r="T133" s="1199">
        <f t="shared" si="24"/>
        <v>0</v>
      </c>
      <c r="U133" s="16"/>
      <c r="V133" s="16"/>
      <c r="W133" s="16"/>
      <c r="X133" s="687"/>
      <c r="Y133" s="16"/>
      <c r="Z133" s="16"/>
      <c r="AA133" s="16"/>
      <c r="AB133" s="16"/>
      <c r="AC133" s="16"/>
      <c r="AD133" s="16"/>
      <c r="AE133" s="16"/>
      <c r="AF133" s="16"/>
      <c r="AG133" s="16"/>
      <c r="AH133" s="16"/>
      <c r="AI133" s="16"/>
      <c r="AJ133" s="16"/>
      <c r="AK133" s="16"/>
    </row>
    <row r="134" spans="1:37" x14ac:dyDescent="0.2">
      <c r="A134" s="622"/>
      <c r="B134" s="1304"/>
      <c r="C134" s="1"/>
      <c r="D134" s="1"/>
      <c r="E134" s="1"/>
      <c r="F134" s="1"/>
      <c r="G134" s="1"/>
      <c r="H134" s="1"/>
      <c r="I134" s="1"/>
      <c r="J134" s="1295"/>
      <c r="K134" s="1318"/>
      <c r="L134" s="1318"/>
      <c r="M134" s="1318"/>
      <c r="N134" s="1318"/>
      <c r="O134" s="1318"/>
      <c r="P134" s="1318"/>
      <c r="Q134" s="1318"/>
      <c r="R134" s="1318"/>
      <c r="S134" s="1318"/>
      <c r="T134" s="1318"/>
      <c r="U134" s="16"/>
      <c r="V134" s="16"/>
      <c r="W134" s="16"/>
      <c r="X134" s="687"/>
      <c r="Y134" s="16"/>
      <c r="Z134" s="16"/>
      <c r="AA134" s="16"/>
      <c r="AB134" s="16"/>
      <c r="AC134" s="16"/>
      <c r="AD134" s="16"/>
      <c r="AE134" s="16"/>
      <c r="AF134" s="16"/>
      <c r="AG134" s="16"/>
      <c r="AH134" s="16"/>
      <c r="AI134" s="16"/>
      <c r="AJ134" s="16"/>
      <c r="AK134" s="16"/>
    </row>
    <row r="135" spans="1:37" x14ac:dyDescent="0.2">
      <c r="A135" s="622"/>
      <c r="B135" s="1305" t="s">
        <v>852</v>
      </c>
      <c r="C135" s="1"/>
      <c r="D135" s="491" t="s">
        <v>116</v>
      </c>
      <c r="E135" s="1"/>
      <c r="F135" s="1"/>
      <c r="G135" s="1"/>
      <c r="H135" s="1"/>
      <c r="I135" s="1"/>
      <c r="J135" s="1627">
        <v>10000000.000000007</v>
      </c>
      <c r="K135" s="1320">
        <f>J137</f>
        <v>10000000.000000004</v>
      </c>
      <c r="L135" s="1320">
        <f>K137</f>
        <v>10000000.000000045</v>
      </c>
      <c r="M135" s="1320">
        <f t="shared" ref="M135:T135" si="25">L137</f>
        <v>14999999.99999997</v>
      </c>
      <c r="N135" s="1320">
        <f t="shared" si="25"/>
        <v>10000000.000000007</v>
      </c>
      <c r="O135" s="1320">
        <f t="shared" si="25"/>
        <v>15000000</v>
      </c>
      <c r="P135" s="1320">
        <f t="shared" si="25"/>
        <v>15000000.00000003</v>
      </c>
      <c r="Q135" s="1320">
        <f t="shared" si="25"/>
        <v>15000000.000000089</v>
      </c>
      <c r="R135" s="1320">
        <f t="shared" si="25"/>
        <v>15000000.000000119</v>
      </c>
      <c r="S135" s="1320">
        <f t="shared" si="25"/>
        <v>15000000.000000045</v>
      </c>
      <c r="T135" s="1320">
        <f t="shared" si="25"/>
        <v>15000000.000000075</v>
      </c>
      <c r="U135" s="16"/>
      <c r="V135" s="16"/>
      <c r="W135" s="16"/>
      <c r="X135" s="687"/>
      <c r="Y135" s="16"/>
      <c r="Z135" s="16"/>
      <c r="AA135" s="16"/>
      <c r="AB135" s="16"/>
      <c r="AC135" s="16"/>
      <c r="AD135" s="16"/>
      <c r="AE135" s="16"/>
      <c r="AF135" s="16"/>
      <c r="AG135" s="16"/>
      <c r="AH135" s="16"/>
      <c r="AI135" s="16"/>
      <c r="AJ135" s="16"/>
      <c r="AK135" s="16"/>
    </row>
    <row r="136" spans="1:37" x14ac:dyDescent="0.2">
      <c r="A136" s="622"/>
      <c r="B136" s="1304"/>
      <c r="C136" s="1"/>
      <c r="D136" s="1"/>
      <c r="E136" s="1"/>
      <c r="F136" s="1"/>
      <c r="G136" s="1"/>
      <c r="H136" s="1"/>
      <c r="I136" s="1"/>
      <c r="J136" s="1295"/>
      <c r="K136" s="1318"/>
      <c r="L136" s="1318"/>
      <c r="M136" s="1318"/>
      <c r="N136" s="1318"/>
      <c r="O136" s="1318"/>
      <c r="P136" s="1318"/>
      <c r="Q136" s="1318"/>
      <c r="R136" s="1318"/>
      <c r="S136" s="1318"/>
      <c r="T136" s="1318"/>
      <c r="U136" s="16"/>
      <c r="V136" s="16"/>
      <c r="W136" s="16"/>
      <c r="X136" s="687"/>
      <c r="Y136" s="16"/>
      <c r="Z136" s="16"/>
      <c r="AA136" s="16"/>
      <c r="AB136" s="16"/>
      <c r="AC136" s="16"/>
      <c r="AD136" s="16"/>
      <c r="AE136" s="16"/>
      <c r="AF136" s="16"/>
      <c r="AG136" s="16"/>
      <c r="AH136" s="16"/>
      <c r="AI136" s="16"/>
      <c r="AJ136" s="16"/>
      <c r="AK136" s="16"/>
    </row>
    <row r="137" spans="1:37" x14ac:dyDescent="0.2">
      <c r="A137" s="622"/>
      <c r="B137" s="1305" t="s">
        <v>853</v>
      </c>
      <c r="C137" s="1"/>
      <c r="D137" s="491" t="s">
        <v>116</v>
      </c>
      <c r="E137" s="1"/>
      <c r="F137" s="1"/>
      <c r="G137" s="1"/>
      <c r="H137" s="1"/>
      <c r="I137" s="1"/>
      <c r="J137" s="1292">
        <f t="shared" ref="J137:T137" si="26">J133+J135</f>
        <v>10000000.000000004</v>
      </c>
      <c r="K137" s="1292">
        <f t="shared" si="26"/>
        <v>10000000.000000045</v>
      </c>
      <c r="L137" s="1292">
        <f t="shared" si="26"/>
        <v>14999999.99999997</v>
      </c>
      <c r="M137" s="1292">
        <f t="shared" si="26"/>
        <v>10000000.000000007</v>
      </c>
      <c r="N137" s="1292">
        <f t="shared" si="26"/>
        <v>15000000</v>
      </c>
      <c r="O137" s="1292">
        <f t="shared" si="26"/>
        <v>15000000.00000003</v>
      </c>
      <c r="P137" s="1292">
        <f t="shared" si="26"/>
        <v>15000000.000000089</v>
      </c>
      <c r="Q137" s="1292">
        <f t="shared" si="26"/>
        <v>15000000.000000119</v>
      </c>
      <c r="R137" s="1292">
        <f t="shared" si="26"/>
        <v>15000000.000000045</v>
      </c>
      <c r="S137" s="1292">
        <f t="shared" si="26"/>
        <v>15000000.000000075</v>
      </c>
      <c r="T137" s="1292">
        <f t="shared" si="26"/>
        <v>15000000.000000075</v>
      </c>
      <c r="U137" s="16"/>
      <c r="V137" s="16"/>
      <c r="W137" s="16"/>
      <c r="X137" s="687"/>
      <c r="Y137" s="16"/>
      <c r="Z137" s="16"/>
      <c r="AA137" s="16"/>
      <c r="AB137" s="16"/>
      <c r="AC137" s="16"/>
      <c r="AD137" s="16"/>
      <c r="AE137" s="16"/>
      <c r="AF137" s="16"/>
      <c r="AG137" s="16"/>
      <c r="AH137" s="16"/>
      <c r="AI137" s="16"/>
      <c r="AJ137" s="16"/>
      <c r="AK137" s="16"/>
    </row>
    <row r="138" spans="1:37" x14ac:dyDescent="0.2">
      <c r="A138" s="622"/>
      <c r="B138" s="1306"/>
      <c r="C138" s="492"/>
      <c r="D138" s="492"/>
      <c r="E138" s="492"/>
      <c r="F138" s="492"/>
      <c r="G138" s="492"/>
      <c r="H138" s="492"/>
      <c r="I138" s="492"/>
      <c r="J138" s="1321"/>
      <c r="K138" s="1322"/>
      <c r="L138" s="1322"/>
      <c r="M138" s="1322"/>
      <c r="N138" s="1322"/>
      <c r="O138" s="1322"/>
      <c r="P138" s="1322"/>
      <c r="Q138" s="1322"/>
      <c r="R138" s="1322"/>
      <c r="S138" s="1322"/>
      <c r="T138" s="1322"/>
      <c r="U138" s="16"/>
      <c r="V138" s="16"/>
      <c r="W138" s="16"/>
      <c r="X138" s="687"/>
      <c r="Y138" s="16"/>
      <c r="Z138" s="16"/>
      <c r="AA138" s="16"/>
      <c r="AB138" s="16"/>
      <c r="AC138" s="16"/>
      <c r="AD138" s="16"/>
      <c r="AE138" s="16"/>
      <c r="AF138" s="16"/>
      <c r="AG138" s="16"/>
      <c r="AH138" s="16"/>
      <c r="AI138" s="16"/>
      <c r="AJ138" s="16"/>
      <c r="AK138" s="16"/>
    </row>
    <row r="139" spans="1:37" x14ac:dyDescent="0.2">
      <c r="A139" s="622"/>
      <c r="B139" s="1304"/>
      <c r="C139" s="1"/>
      <c r="D139" s="1"/>
      <c r="E139" s="1"/>
      <c r="F139" s="1"/>
      <c r="G139" s="1"/>
      <c r="H139" s="1"/>
      <c r="I139" s="1"/>
      <c r="J139" s="1295"/>
      <c r="K139" s="1318"/>
      <c r="L139" s="1318"/>
      <c r="M139" s="1318"/>
      <c r="N139" s="1318"/>
      <c r="O139" s="1318"/>
      <c r="P139" s="1318"/>
      <c r="Q139" s="1318"/>
      <c r="R139" s="1318"/>
      <c r="S139" s="1318"/>
      <c r="T139" s="1318"/>
      <c r="U139" s="16"/>
      <c r="V139" s="16"/>
      <c r="W139" s="16"/>
      <c r="X139" s="687"/>
      <c r="Y139" s="16"/>
      <c r="Z139" s="16"/>
      <c r="AA139" s="16"/>
      <c r="AB139" s="16"/>
      <c r="AC139" s="16"/>
      <c r="AD139" s="16"/>
      <c r="AE139" s="16"/>
      <c r="AF139" s="16"/>
      <c r="AG139" s="16"/>
      <c r="AH139" s="16"/>
      <c r="AI139" s="16"/>
      <c r="AJ139" s="16"/>
      <c r="AK139" s="16"/>
    </row>
    <row r="140" spans="1:37" x14ac:dyDescent="0.2">
      <c r="A140" s="622"/>
      <c r="B140" s="1262" t="s">
        <v>854</v>
      </c>
      <c r="C140" s="1"/>
      <c r="D140" s="1"/>
      <c r="E140" s="1"/>
      <c r="F140" s="1"/>
      <c r="G140" s="1"/>
      <c r="H140" s="1"/>
      <c r="I140" s="1"/>
      <c r="J140" s="1199">
        <f>J137</f>
        <v>10000000.000000004</v>
      </c>
      <c r="K140" s="1199">
        <f t="shared" ref="K140:T140" si="27">K137</f>
        <v>10000000.000000045</v>
      </c>
      <c r="L140" s="1199">
        <f t="shared" si="27"/>
        <v>14999999.99999997</v>
      </c>
      <c r="M140" s="1199">
        <f t="shared" si="27"/>
        <v>10000000.000000007</v>
      </c>
      <c r="N140" s="1199">
        <f t="shared" si="27"/>
        <v>15000000</v>
      </c>
      <c r="O140" s="1199">
        <f t="shared" si="27"/>
        <v>15000000.00000003</v>
      </c>
      <c r="P140" s="1199">
        <f t="shared" si="27"/>
        <v>15000000.000000089</v>
      </c>
      <c r="Q140" s="1199">
        <f t="shared" si="27"/>
        <v>15000000.000000119</v>
      </c>
      <c r="R140" s="1199">
        <f t="shared" si="27"/>
        <v>15000000.000000045</v>
      </c>
      <c r="S140" s="1199">
        <f t="shared" si="27"/>
        <v>15000000.000000075</v>
      </c>
      <c r="T140" s="1199">
        <f t="shared" si="27"/>
        <v>15000000.000000075</v>
      </c>
      <c r="U140" s="16"/>
      <c r="V140" s="16"/>
      <c r="W140" s="16"/>
      <c r="X140" s="687"/>
      <c r="Y140" s="16"/>
      <c r="Z140" s="16"/>
      <c r="AA140" s="16"/>
      <c r="AB140" s="16"/>
      <c r="AC140" s="16"/>
      <c r="AD140" s="16"/>
      <c r="AE140" s="16"/>
      <c r="AF140" s="16"/>
      <c r="AG140" s="16"/>
      <c r="AH140" s="16"/>
      <c r="AI140" s="16"/>
      <c r="AJ140" s="16"/>
      <c r="AK140" s="16"/>
    </row>
    <row r="141" spans="1:37" x14ac:dyDescent="0.2">
      <c r="A141" s="622"/>
      <c r="B141" s="1262" t="s">
        <v>855</v>
      </c>
      <c r="C141" s="1"/>
      <c r="D141" s="1"/>
      <c r="E141" s="1"/>
      <c r="F141" s="1"/>
      <c r="G141" s="1"/>
      <c r="H141" s="1"/>
      <c r="I141" s="1"/>
      <c r="J141" s="1625">
        <v>143039181.17805427</v>
      </c>
      <c r="K141" s="1625">
        <v>138418712.6945703</v>
      </c>
      <c r="L141" s="1625">
        <v>139555129</v>
      </c>
      <c r="M141" s="1625">
        <v>126499541.43344127</v>
      </c>
      <c r="N141" s="1625">
        <v>126713528.95625226</v>
      </c>
      <c r="O141" s="1625">
        <v>132897502.41578749</v>
      </c>
      <c r="P141" s="1625">
        <v>148924118.11538306</v>
      </c>
      <c r="Q141" s="1625">
        <v>163445624.03106588</v>
      </c>
      <c r="R141" s="1625">
        <v>179299915.89382595</v>
      </c>
      <c r="S141" s="1625">
        <v>196540186.41751185</v>
      </c>
      <c r="T141" s="1625"/>
      <c r="U141" s="16"/>
      <c r="V141" s="16"/>
      <c r="W141" s="16"/>
      <c r="X141" s="687"/>
      <c r="Y141" s="16"/>
      <c r="Z141" s="16"/>
      <c r="AA141" s="16"/>
      <c r="AB141" s="16"/>
      <c r="AC141" s="16"/>
      <c r="AD141" s="16"/>
      <c r="AE141" s="16"/>
      <c r="AF141" s="16"/>
      <c r="AG141" s="16"/>
      <c r="AH141" s="16"/>
      <c r="AI141" s="16"/>
      <c r="AJ141" s="16"/>
      <c r="AK141" s="16"/>
    </row>
    <row r="142" spans="1:37" x14ac:dyDescent="0.2">
      <c r="A142" s="622"/>
      <c r="B142" s="1307" t="s">
        <v>856</v>
      </c>
      <c r="C142" s="1308"/>
      <c r="D142" s="1308"/>
      <c r="E142" s="1308"/>
      <c r="F142" s="1308"/>
      <c r="G142" s="1308"/>
      <c r="H142" s="1308"/>
      <c r="I142" s="1308"/>
      <c r="J142" s="1323">
        <f>SUM(J140:J141)</f>
        <v>153039181.17805427</v>
      </c>
      <c r="K142" s="1323">
        <f t="shared" ref="K142:T142" si="28">SUM(K140:K141)</f>
        <v>148418712.69457036</v>
      </c>
      <c r="L142" s="1323">
        <f t="shared" si="28"/>
        <v>154555128.99999997</v>
      </c>
      <c r="M142" s="1323">
        <f t="shared" si="28"/>
        <v>136499541.43344128</v>
      </c>
      <c r="N142" s="1323">
        <f t="shared" si="28"/>
        <v>141713528.95625228</v>
      </c>
      <c r="O142" s="1323">
        <f t="shared" si="28"/>
        <v>147897502.41578752</v>
      </c>
      <c r="P142" s="1323">
        <f t="shared" si="28"/>
        <v>163924118.11538315</v>
      </c>
      <c r="Q142" s="1323">
        <f t="shared" si="28"/>
        <v>178445624.031066</v>
      </c>
      <c r="R142" s="1323">
        <f t="shared" si="28"/>
        <v>194299915.89382601</v>
      </c>
      <c r="S142" s="1323">
        <f t="shared" si="28"/>
        <v>211540186.41751194</v>
      </c>
      <c r="T142" s="1323">
        <f t="shared" si="28"/>
        <v>15000000.000000075</v>
      </c>
      <c r="U142" s="1094"/>
      <c r="V142" s="1094"/>
      <c r="W142" s="1094"/>
      <c r="X142" s="1310"/>
      <c r="Y142" s="16"/>
      <c r="Z142" s="16"/>
      <c r="AA142" s="16"/>
      <c r="AB142" s="16"/>
      <c r="AC142" s="16"/>
      <c r="AD142" s="16"/>
      <c r="AE142" s="16"/>
      <c r="AF142" s="16"/>
      <c r="AG142" s="16"/>
      <c r="AH142" s="16"/>
      <c r="AI142" s="16"/>
      <c r="AJ142" s="16"/>
      <c r="AK142" s="16"/>
    </row>
    <row r="143" spans="1:37" x14ac:dyDescent="0.2">
      <c r="A143" s="622"/>
      <c r="B143" s="1311" t="s">
        <v>857</v>
      </c>
      <c r="C143" s="1"/>
      <c r="D143" s="1"/>
      <c r="E143" s="1"/>
      <c r="F143" s="1"/>
      <c r="G143" s="1"/>
      <c r="H143" s="1"/>
      <c r="I143" s="1"/>
      <c r="J143" s="1295"/>
      <c r="K143" s="1318"/>
      <c r="L143" s="1318"/>
      <c r="M143" s="1318"/>
      <c r="N143" s="1318"/>
      <c r="O143" s="1318"/>
      <c r="P143" s="1318"/>
      <c r="Q143" s="1318"/>
      <c r="R143" s="1318"/>
      <c r="S143" s="1318"/>
      <c r="T143" s="1318"/>
      <c r="U143" s="16"/>
      <c r="V143" s="16"/>
      <c r="W143" s="16"/>
      <c r="X143" s="687"/>
      <c r="Y143" s="16"/>
      <c r="Z143" s="16"/>
      <c r="AA143" s="16"/>
      <c r="AB143" s="16"/>
      <c r="AC143" s="16"/>
      <c r="AD143" s="16"/>
      <c r="AE143" s="16"/>
      <c r="AF143" s="16"/>
      <c r="AG143" s="16"/>
      <c r="AH143" s="16"/>
      <c r="AI143" s="16"/>
      <c r="AJ143" s="16"/>
      <c r="AK143" s="16"/>
    </row>
    <row r="144" spans="1:37" x14ac:dyDescent="0.2">
      <c r="A144" s="622"/>
      <c r="B144" s="1479" t="s">
        <v>858</v>
      </c>
      <c r="C144" s="1"/>
      <c r="D144" s="1"/>
      <c r="E144" s="1"/>
      <c r="F144" s="1"/>
      <c r="G144" s="1"/>
      <c r="H144" s="1"/>
      <c r="I144" s="1"/>
      <c r="J144" s="1478"/>
      <c r="K144" s="1478"/>
      <c r="L144" s="1478"/>
      <c r="M144" s="1478"/>
      <c r="N144" s="1478"/>
      <c r="O144" s="1478"/>
      <c r="P144" s="1478"/>
      <c r="Q144" s="1478"/>
      <c r="R144" s="1478"/>
      <c r="S144" s="1478"/>
      <c r="T144" s="1478"/>
      <c r="U144" s="16"/>
      <c r="V144" s="16"/>
      <c r="W144" s="16"/>
      <c r="X144" s="687"/>
      <c r="Y144" s="16"/>
      <c r="Z144" s="16"/>
      <c r="AA144" s="16"/>
      <c r="AB144" s="16"/>
      <c r="AC144" s="16"/>
      <c r="AD144" s="16"/>
      <c r="AE144" s="16"/>
      <c r="AF144" s="16"/>
      <c r="AG144" s="16"/>
      <c r="AH144" s="16"/>
      <c r="AI144" s="16"/>
      <c r="AJ144" s="16"/>
      <c r="AK144" s="16"/>
    </row>
    <row r="145" spans="1:37" x14ac:dyDescent="0.2">
      <c r="A145" s="622"/>
      <c r="B145" s="1472" t="s">
        <v>984</v>
      </c>
      <c r="C145" s="1"/>
      <c r="D145" s="491" t="s">
        <v>116</v>
      </c>
      <c r="E145" s="1"/>
      <c r="F145" s="1"/>
      <c r="G145" s="1"/>
      <c r="H145" s="1"/>
      <c r="I145" s="1"/>
      <c r="J145" s="1625">
        <v>54885216</v>
      </c>
      <c r="K145" s="1625">
        <v>50224225</v>
      </c>
      <c r="L145" s="1625">
        <v>49237943</v>
      </c>
      <c r="M145" s="1625">
        <v>26198567</v>
      </c>
      <c r="N145" s="1625">
        <v>29752132</v>
      </c>
      <c r="O145" s="1625">
        <v>33211521</v>
      </c>
      <c r="P145" s="1625">
        <v>37032544</v>
      </c>
      <c r="Q145" s="1625">
        <v>38092478</v>
      </c>
      <c r="R145" s="1625">
        <v>38940932</v>
      </c>
      <c r="S145" s="1625">
        <v>40694200</v>
      </c>
      <c r="T145" s="1625"/>
      <c r="U145" s="16"/>
      <c r="V145" s="16"/>
      <c r="W145" s="16"/>
      <c r="X145" s="687"/>
      <c r="Y145" s="16"/>
      <c r="Z145" s="16"/>
      <c r="AA145" s="16"/>
      <c r="AB145" s="16"/>
      <c r="AC145" s="16"/>
      <c r="AD145" s="16"/>
      <c r="AE145" s="16"/>
      <c r="AF145" s="16"/>
      <c r="AG145" s="16"/>
      <c r="AH145" s="16"/>
      <c r="AI145" s="16"/>
      <c r="AJ145" s="16"/>
      <c r="AK145" s="16"/>
    </row>
    <row r="146" spans="1:37" x14ac:dyDescent="0.2">
      <c r="A146" s="622"/>
      <c r="B146" s="1472" t="s">
        <v>985</v>
      </c>
      <c r="C146" s="1"/>
      <c r="D146" s="491" t="s">
        <v>116</v>
      </c>
      <c r="E146" s="1"/>
      <c r="F146" s="1"/>
      <c r="G146" s="1"/>
      <c r="H146" s="1"/>
      <c r="I146" s="1"/>
      <c r="J146" s="1625">
        <v>13110044.869999999</v>
      </c>
      <c r="K146" s="1625">
        <v>14188221</v>
      </c>
      <c r="L146" s="1625">
        <v>15266396</v>
      </c>
      <c r="M146" s="1625">
        <v>16344572.869999999</v>
      </c>
      <c r="N146" s="1625">
        <v>8422748.8699999992</v>
      </c>
      <c r="O146" s="1625">
        <v>500924.86999999918</v>
      </c>
      <c r="P146" s="1625">
        <v>1579100.8699999992</v>
      </c>
      <c r="Q146" s="1625">
        <v>2657276.8699999992</v>
      </c>
      <c r="R146" s="1625">
        <v>3735452.8699999992</v>
      </c>
      <c r="S146" s="1625">
        <v>4813628.8699999992</v>
      </c>
      <c r="T146" s="1625"/>
      <c r="U146" s="16"/>
      <c r="V146" s="16"/>
      <c r="W146" s="16"/>
      <c r="X146" s="687"/>
      <c r="Y146" s="16"/>
      <c r="Z146" s="16"/>
      <c r="AA146" s="16"/>
      <c r="AB146" s="16"/>
      <c r="AC146" s="16"/>
      <c r="AD146" s="16"/>
      <c r="AE146" s="16"/>
      <c r="AF146" s="16"/>
      <c r="AG146" s="16"/>
      <c r="AH146" s="16"/>
      <c r="AI146" s="16"/>
      <c r="AJ146" s="16"/>
      <c r="AK146" s="16"/>
    </row>
    <row r="147" spans="1:37" x14ac:dyDescent="0.2">
      <c r="A147" s="622"/>
      <c r="B147" s="1472" t="s">
        <v>986</v>
      </c>
      <c r="C147" s="1"/>
      <c r="D147" s="491" t="s">
        <v>116</v>
      </c>
      <c r="E147" s="1"/>
      <c r="F147" s="1"/>
      <c r="G147" s="1"/>
      <c r="H147" s="1"/>
      <c r="I147" s="1"/>
      <c r="J147" s="1625">
        <v>16490185.939999999</v>
      </c>
      <c r="K147" s="1625">
        <v>15149841</v>
      </c>
      <c r="L147" s="1625">
        <v>11330939</v>
      </c>
      <c r="M147" s="1625">
        <v>12534123.4</v>
      </c>
      <c r="N147" s="1625">
        <v>13760055.880000001</v>
      </c>
      <c r="O147" s="1625">
        <v>15009419.310000001</v>
      </c>
      <c r="P147" s="1625">
        <v>16282916.620000001</v>
      </c>
      <c r="Q147" s="1625">
        <v>17581271.810000002</v>
      </c>
      <c r="R147" s="1625">
        <v>18905230.640000001</v>
      </c>
      <c r="S147" s="1625">
        <v>20255561.190000001</v>
      </c>
      <c r="T147" s="1625"/>
      <c r="U147" s="16"/>
      <c r="V147" s="16"/>
      <c r="W147" s="16"/>
      <c r="X147" s="687"/>
      <c r="Y147" s="16"/>
      <c r="Z147" s="16"/>
      <c r="AA147" s="16"/>
      <c r="AB147" s="16"/>
      <c r="AC147" s="16"/>
      <c r="AD147" s="16"/>
      <c r="AE147" s="16"/>
      <c r="AF147" s="16"/>
      <c r="AG147" s="16"/>
      <c r="AH147" s="16"/>
      <c r="AI147" s="16"/>
      <c r="AJ147" s="16"/>
      <c r="AK147" s="16"/>
    </row>
    <row r="148" spans="1:37" x14ac:dyDescent="0.2">
      <c r="A148" s="622"/>
      <c r="B148" s="1472" t="s">
        <v>987</v>
      </c>
      <c r="C148" s="1"/>
      <c r="D148" s="491" t="s">
        <v>116</v>
      </c>
      <c r="E148" s="1"/>
      <c r="F148" s="1"/>
      <c r="G148" s="1"/>
      <c r="H148" s="1"/>
      <c r="I148" s="1"/>
      <c r="J148" s="1625">
        <v>9023303.0299999993</v>
      </c>
      <c r="K148" s="1625">
        <v>9018079.4000000004</v>
      </c>
      <c r="L148" s="1625">
        <v>8892815.1776630003</v>
      </c>
      <c r="M148" s="1625">
        <v>8886307.4441477694</v>
      </c>
      <c r="N148" s="1625">
        <v>8879138.7763739247</v>
      </c>
      <c r="O148" s="1625">
        <v>8871295.7152446043</v>
      </c>
      <c r="P148" s="1625">
        <v>8303708.3969790386</v>
      </c>
      <c r="Q148" s="1625">
        <v>8294475.815780092</v>
      </c>
      <c r="R148" s="1625">
        <v>8284527.5629571676</v>
      </c>
      <c r="S148" s="1625">
        <v>8273484.3325495543</v>
      </c>
      <c r="T148" s="1625"/>
      <c r="U148" s="16"/>
      <c r="V148" s="16"/>
      <c r="W148" s="16"/>
      <c r="X148" s="687"/>
      <c r="Y148" s="16"/>
      <c r="Z148" s="16"/>
      <c r="AA148" s="16"/>
      <c r="AB148" s="16"/>
      <c r="AC148" s="16"/>
      <c r="AD148" s="16"/>
      <c r="AE148" s="16"/>
      <c r="AF148" s="16"/>
      <c r="AG148" s="16"/>
      <c r="AH148" s="16"/>
      <c r="AI148" s="16"/>
      <c r="AJ148" s="16"/>
      <c r="AK148" s="16"/>
    </row>
    <row r="149" spans="1:37" x14ac:dyDescent="0.2">
      <c r="A149" s="622"/>
      <c r="B149" s="1472" t="s">
        <v>804</v>
      </c>
      <c r="C149" s="1"/>
      <c r="D149" s="491" t="s">
        <v>116</v>
      </c>
      <c r="E149" s="1"/>
      <c r="F149" s="1"/>
      <c r="G149" s="1"/>
      <c r="H149" s="1"/>
      <c r="I149" s="1"/>
      <c r="J149" s="1625"/>
      <c r="K149" s="1625"/>
      <c r="L149" s="1625"/>
      <c r="M149" s="1625"/>
      <c r="N149" s="1625"/>
      <c r="O149" s="1625"/>
      <c r="P149" s="1625"/>
      <c r="Q149" s="1625"/>
      <c r="R149" s="1625"/>
      <c r="S149" s="1625"/>
      <c r="T149" s="1625"/>
      <c r="U149" s="16"/>
      <c r="V149" s="16"/>
      <c r="W149" s="16"/>
      <c r="X149" s="687"/>
      <c r="Y149" s="16"/>
      <c r="Z149" s="16"/>
      <c r="AA149" s="16"/>
      <c r="AB149" s="16"/>
      <c r="AC149" s="16"/>
      <c r="AD149" s="16"/>
      <c r="AE149" s="16"/>
      <c r="AF149" s="16"/>
      <c r="AG149" s="16"/>
      <c r="AH149" s="16"/>
      <c r="AI149" s="16"/>
      <c r="AJ149" s="16"/>
      <c r="AK149" s="16"/>
    </row>
    <row r="150" spans="1:37" x14ac:dyDescent="0.2">
      <c r="A150" s="622"/>
      <c r="B150" s="1337" t="s">
        <v>859</v>
      </c>
      <c r="C150" s="1"/>
      <c r="D150" s="1"/>
      <c r="E150" s="1"/>
      <c r="F150" s="1"/>
      <c r="G150" s="1"/>
      <c r="H150" s="1"/>
      <c r="I150" s="1"/>
      <c r="J150" s="1629">
        <f>SUM(J145:J149)</f>
        <v>93508749.840000004</v>
      </c>
      <c r="K150" s="1631">
        <f t="shared" ref="K150:T150" si="29">SUM(K145:K149)</f>
        <v>88580366.400000006</v>
      </c>
      <c r="L150" s="1631">
        <f t="shared" si="29"/>
        <v>84728093.177662998</v>
      </c>
      <c r="M150" s="1631">
        <f t="shared" si="29"/>
        <v>63963570.714147761</v>
      </c>
      <c r="N150" s="1631">
        <f t="shared" si="29"/>
        <v>60814075.526373923</v>
      </c>
      <c r="O150" s="1631">
        <f t="shared" si="29"/>
        <v>57593160.895244606</v>
      </c>
      <c r="P150" s="1631">
        <f t="shared" si="29"/>
        <v>63198269.886979036</v>
      </c>
      <c r="Q150" s="1631">
        <f t="shared" si="29"/>
        <v>66625502.495780095</v>
      </c>
      <c r="R150" s="1631">
        <f t="shared" si="29"/>
        <v>69866143.072957158</v>
      </c>
      <c r="S150" s="1631">
        <f t="shared" si="29"/>
        <v>74036874.392549559</v>
      </c>
      <c r="T150" s="1630">
        <f t="shared" si="29"/>
        <v>0</v>
      </c>
      <c r="U150" s="16"/>
      <c r="V150" s="16"/>
      <c r="W150" s="16"/>
      <c r="X150" s="687"/>
      <c r="Y150" s="16"/>
      <c r="Z150" s="16"/>
      <c r="AA150" s="16"/>
      <c r="AB150" s="16"/>
      <c r="AC150" s="16"/>
      <c r="AD150" s="16"/>
      <c r="AE150" s="16"/>
      <c r="AF150" s="16"/>
      <c r="AG150" s="16"/>
      <c r="AH150" s="16"/>
      <c r="AI150" s="16"/>
      <c r="AJ150" s="16"/>
      <c r="AK150" s="16"/>
    </row>
    <row r="151" spans="1:37" x14ac:dyDescent="0.2">
      <c r="A151" s="622"/>
      <c r="B151" s="1479" t="s">
        <v>860</v>
      </c>
      <c r="C151" s="1"/>
      <c r="D151" s="1"/>
      <c r="E151" s="1"/>
      <c r="F151" s="1"/>
      <c r="G151" s="1"/>
      <c r="H151" s="1"/>
      <c r="I151" s="1"/>
      <c r="J151" s="1478"/>
      <c r="K151" s="1478"/>
      <c r="L151" s="1478"/>
      <c r="M151" s="1478"/>
      <c r="N151" s="1478"/>
      <c r="O151" s="1478"/>
      <c r="P151" s="1478"/>
      <c r="Q151" s="1478"/>
      <c r="R151" s="1478"/>
      <c r="S151" s="1478"/>
      <c r="T151" s="1478"/>
      <c r="U151" s="16"/>
      <c r="V151" s="16"/>
      <c r="W151" s="16"/>
      <c r="X151" s="687"/>
      <c r="Y151" s="16"/>
      <c r="Z151" s="16"/>
      <c r="AA151" s="16"/>
      <c r="AB151" s="16"/>
      <c r="AC151" s="16"/>
      <c r="AD151" s="16"/>
      <c r="AE151" s="16"/>
      <c r="AF151" s="16"/>
      <c r="AG151" s="16"/>
      <c r="AH151" s="16"/>
      <c r="AI151" s="16"/>
      <c r="AJ151" s="16"/>
      <c r="AK151" s="16"/>
    </row>
    <row r="152" spans="1:37" x14ac:dyDescent="0.2">
      <c r="A152" s="622"/>
      <c r="B152" s="1472" t="s">
        <v>988</v>
      </c>
      <c r="C152" s="1"/>
      <c r="D152" s="491" t="s">
        <v>116</v>
      </c>
      <c r="E152" s="1"/>
      <c r="F152" s="1"/>
      <c r="G152" s="1"/>
      <c r="H152" s="1"/>
      <c r="I152" s="1"/>
      <c r="J152" s="1625">
        <v>36532208.340000004</v>
      </c>
      <c r="K152" s="1625">
        <f>30838612.3+0.0645703673362732</f>
        <v>30838612.364570368</v>
      </c>
      <c r="L152" s="1625">
        <f>39627302</f>
        <v>39627302</v>
      </c>
      <c r="M152" s="1625">
        <f>41136236+0.785051226615905</f>
        <v>41136236.785051227</v>
      </c>
      <c r="N152" s="1625">
        <v>48299719.495636046</v>
      </c>
      <c r="O152" s="1625">
        <v>56504607.586300611</v>
      </c>
      <c r="P152" s="1625">
        <v>65726114.294161797</v>
      </c>
      <c r="Q152" s="1625">
        <v>75620387.601043597</v>
      </c>
      <c r="R152" s="1625">
        <v>87034038.886626542</v>
      </c>
      <c r="S152" s="1625">
        <v>98903578.090720057</v>
      </c>
      <c r="T152" s="1625"/>
      <c r="U152" s="16"/>
      <c r="V152" s="16"/>
      <c r="W152" s="16"/>
      <c r="X152" s="687"/>
      <c r="Y152" s="16"/>
      <c r="Z152" s="16"/>
      <c r="AA152" s="16"/>
      <c r="AB152" s="16"/>
      <c r="AC152" s="16"/>
      <c r="AD152" s="16"/>
      <c r="AE152" s="16"/>
      <c r="AF152" s="16"/>
      <c r="AG152" s="16"/>
      <c r="AH152" s="16"/>
      <c r="AI152" s="16"/>
      <c r="AJ152" s="16"/>
      <c r="AK152" s="16"/>
    </row>
    <row r="153" spans="1:37" x14ac:dyDescent="0.2">
      <c r="A153" s="622"/>
      <c r="B153" s="1472" t="s">
        <v>804</v>
      </c>
      <c r="C153" s="1"/>
      <c r="D153" s="491" t="s">
        <v>116</v>
      </c>
      <c r="E153" s="1"/>
      <c r="F153" s="1"/>
      <c r="G153" s="1"/>
      <c r="H153" s="1"/>
      <c r="I153" s="1"/>
      <c r="J153" s="1625"/>
      <c r="K153" s="1625"/>
      <c r="L153" s="1625"/>
      <c r="M153" s="1625"/>
      <c r="N153" s="1625"/>
      <c r="O153" s="1625"/>
      <c r="P153" s="1625"/>
      <c r="Q153" s="1625"/>
      <c r="R153" s="1625"/>
      <c r="S153" s="1625"/>
      <c r="T153" s="1625"/>
      <c r="U153" s="16"/>
      <c r="V153" s="16"/>
      <c r="W153" s="16"/>
      <c r="X153" s="687"/>
      <c r="Y153" s="16"/>
      <c r="Z153" s="16"/>
      <c r="AA153" s="16"/>
      <c r="AB153" s="16"/>
      <c r="AC153" s="16"/>
      <c r="AD153" s="16"/>
      <c r="AE153" s="16"/>
      <c r="AF153" s="16"/>
      <c r="AG153" s="16"/>
      <c r="AH153" s="16"/>
      <c r="AI153" s="16"/>
      <c r="AJ153" s="16"/>
      <c r="AK153" s="16"/>
    </row>
    <row r="154" spans="1:37" x14ac:dyDescent="0.2">
      <c r="A154" s="622"/>
      <c r="B154" s="1472" t="s">
        <v>804</v>
      </c>
      <c r="C154" s="1"/>
      <c r="D154" s="491" t="s">
        <v>116</v>
      </c>
      <c r="E154" s="1"/>
      <c r="F154" s="1"/>
      <c r="G154" s="1"/>
      <c r="H154" s="1"/>
      <c r="I154" s="1"/>
      <c r="J154" s="1625"/>
      <c r="K154" s="1625"/>
      <c r="L154" s="1625"/>
      <c r="M154" s="1625"/>
      <c r="N154" s="1625"/>
      <c r="O154" s="1625"/>
      <c r="P154" s="1625"/>
      <c r="Q154" s="1625"/>
      <c r="R154" s="1625"/>
      <c r="S154" s="1625"/>
      <c r="T154" s="1625"/>
      <c r="U154" s="16"/>
      <c r="V154" s="16"/>
      <c r="W154" s="16"/>
      <c r="X154" s="687"/>
      <c r="Y154" s="16"/>
      <c r="Z154" s="16"/>
      <c r="AA154" s="16"/>
      <c r="AB154" s="16"/>
      <c r="AC154" s="16"/>
      <c r="AD154" s="16"/>
      <c r="AE154" s="16"/>
      <c r="AF154" s="16"/>
      <c r="AG154" s="16"/>
      <c r="AH154" s="16"/>
      <c r="AI154" s="16"/>
      <c r="AJ154" s="16"/>
      <c r="AK154" s="16"/>
    </row>
    <row r="155" spans="1:37" x14ac:dyDescent="0.2">
      <c r="A155" s="622"/>
      <c r="B155" s="1472" t="s">
        <v>804</v>
      </c>
      <c r="C155" s="1"/>
      <c r="D155" s="491" t="s">
        <v>116</v>
      </c>
      <c r="E155" s="1"/>
      <c r="F155" s="1"/>
      <c r="G155" s="1"/>
      <c r="H155" s="1"/>
      <c r="I155" s="1"/>
      <c r="J155" s="1625"/>
      <c r="K155" s="1625"/>
      <c r="L155" s="1625"/>
      <c r="M155" s="1625"/>
      <c r="N155" s="1625"/>
      <c r="O155" s="1625"/>
      <c r="P155" s="1625"/>
      <c r="Q155" s="1625"/>
      <c r="R155" s="1625"/>
      <c r="S155" s="1625"/>
      <c r="T155" s="1625"/>
      <c r="U155" s="16"/>
      <c r="V155" s="16"/>
      <c r="W155" s="16"/>
      <c r="X155" s="687"/>
      <c r="Y155" s="16"/>
      <c r="Z155" s="16"/>
      <c r="AA155" s="16"/>
      <c r="AB155" s="16"/>
      <c r="AC155" s="16"/>
      <c r="AD155" s="16"/>
      <c r="AE155" s="16"/>
      <c r="AF155" s="16"/>
      <c r="AG155" s="16"/>
      <c r="AH155" s="16"/>
      <c r="AI155" s="16"/>
      <c r="AJ155" s="16"/>
      <c r="AK155" s="16"/>
    </row>
    <row r="156" spans="1:37" x14ac:dyDescent="0.2">
      <c r="A156" s="622"/>
      <c r="B156" s="1472" t="s">
        <v>804</v>
      </c>
      <c r="C156" s="1"/>
      <c r="D156" s="491" t="s">
        <v>116</v>
      </c>
      <c r="E156" s="1"/>
      <c r="F156" s="1"/>
      <c r="G156" s="1"/>
      <c r="H156" s="1"/>
      <c r="I156" s="1"/>
      <c r="J156" s="1625"/>
      <c r="K156" s="1625"/>
      <c r="L156" s="1625"/>
      <c r="M156" s="1625"/>
      <c r="N156" s="1625"/>
      <c r="O156" s="1625"/>
      <c r="P156" s="1625"/>
      <c r="Q156" s="1625"/>
      <c r="R156" s="1625"/>
      <c r="S156" s="1625"/>
      <c r="T156" s="1625"/>
      <c r="U156" s="16"/>
      <c r="V156" s="16"/>
      <c r="W156" s="16"/>
      <c r="X156" s="687"/>
      <c r="Y156" s="16"/>
      <c r="Z156" s="16"/>
      <c r="AA156" s="16"/>
      <c r="AB156" s="16"/>
      <c r="AC156" s="16"/>
      <c r="AD156" s="16"/>
      <c r="AE156" s="16"/>
      <c r="AF156" s="16"/>
      <c r="AG156" s="16"/>
      <c r="AH156" s="16"/>
      <c r="AI156" s="16"/>
      <c r="AJ156" s="16"/>
      <c r="AK156" s="16"/>
    </row>
    <row r="157" spans="1:37" x14ac:dyDescent="0.2">
      <c r="A157" s="622"/>
      <c r="B157" s="1472" t="s">
        <v>804</v>
      </c>
      <c r="C157" s="1"/>
      <c r="D157" s="491" t="s">
        <v>116</v>
      </c>
      <c r="E157" s="1"/>
      <c r="F157" s="1"/>
      <c r="G157" s="1"/>
      <c r="H157" s="1"/>
      <c r="I157" s="1"/>
      <c r="J157" s="1625"/>
      <c r="K157" s="1625"/>
      <c r="L157" s="1625"/>
      <c r="M157" s="1625"/>
      <c r="N157" s="1625"/>
      <c r="O157" s="1625"/>
      <c r="P157" s="1625"/>
      <c r="Q157" s="1625"/>
      <c r="R157" s="1625"/>
      <c r="S157" s="1625"/>
      <c r="T157" s="1625"/>
      <c r="U157" s="16"/>
      <c r="V157" s="16"/>
      <c r="W157" s="16"/>
      <c r="X157" s="687"/>
      <c r="Y157" s="16"/>
      <c r="Z157" s="16"/>
      <c r="AA157" s="16"/>
      <c r="AB157" s="16"/>
      <c r="AC157" s="16"/>
      <c r="AD157" s="16"/>
      <c r="AE157" s="16"/>
      <c r="AF157" s="16"/>
      <c r="AG157" s="16"/>
      <c r="AH157" s="16"/>
      <c r="AI157" s="16"/>
      <c r="AJ157" s="16"/>
      <c r="AK157" s="16"/>
    </row>
    <row r="158" spans="1:37" x14ac:dyDescent="0.2">
      <c r="A158" s="622"/>
      <c r="B158" s="1472" t="s">
        <v>804</v>
      </c>
      <c r="C158" s="1"/>
      <c r="D158" s="491" t="s">
        <v>116</v>
      </c>
      <c r="E158" s="1"/>
      <c r="F158" s="1"/>
      <c r="G158" s="1"/>
      <c r="H158" s="1"/>
      <c r="I158" s="1"/>
      <c r="J158" s="1625"/>
      <c r="K158" s="1625"/>
      <c r="L158" s="1625"/>
      <c r="M158" s="1625"/>
      <c r="N158" s="1625"/>
      <c r="O158" s="1625"/>
      <c r="P158" s="1625"/>
      <c r="Q158" s="1625"/>
      <c r="R158" s="1625"/>
      <c r="S158" s="1625"/>
      <c r="T158" s="1625"/>
      <c r="U158" s="16"/>
      <c r="V158" s="16"/>
      <c r="W158" s="16"/>
      <c r="X158" s="687"/>
      <c r="Y158" s="16"/>
      <c r="Z158" s="16"/>
      <c r="AA158" s="16"/>
      <c r="AB158" s="16"/>
      <c r="AC158" s="16"/>
      <c r="AD158" s="16"/>
      <c r="AE158" s="16"/>
      <c r="AF158" s="16"/>
      <c r="AG158" s="16"/>
      <c r="AH158" s="16"/>
      <c r="AI158" s="16"/>
      <c r="AJ158" s="16"/>
      <c r="AK158" s="16"/>
    </row>
    <row r="159" spans="1:37" x14ac:dyDescent="0.2">
      <c r="A159" s="622"/>
      <c r="B159" s="1337" t="s">
        <v>861</v>
      </c>
      <c r="C159" s="1"/>
      <c r="D159" s="1"/>
      <c r="E159" s="1"/>
      <c r="F159" s="1"/>
      <c r="G159" s="1"/>
      <c r="H159" s="1"/>
      <c r="I159" s="1"/>
      <c r="J159" s="1629">
        <f t="shared" ref="J159:T159" si="30">SUM(J152:J158)</f>
        <v>36532208.340000004</v>
      </c>
      <c r="K159" s="1631">
        <f t="shared" si="30"/>
        <v>30838612.364570368</v>
      </c>
      <c r="L159" s="1631">
        <f t="shared" si="30"/>
        <v>39627302</v>
      </c>
      <c r="M159" s="1631">
        <f t="shared" si="30"/>
        <v>41136236.785051227</v>
      </c>
      <c r="N159" s="1631">
        <f t="shared" si="30"/>
        <v>48299719.495636046</v>
      </c>
      <c r="O159" s="1631">
        <f t="shared" si="30"/>
        <v>56504607.586300611</v>
      </c>
      <c r="P159" s="1631">
        <f t="shared" si="30"/>
        <v>65726114.294161797</v>
      </c>
      <c r="Q159" s="1631">
        <f t="shared" si="30"/>
        <v>75620387.601043597</v>
      </c>
      <c r="R159" s="1631">
        <f t="shared" si="30"/>
        <v>87034038.886626542</v>
      </c>
      <c r="S159" s="1631">
        <f t="shared" si="30"/>
        <v>98903578.090720057</v>
      </c>
      <c r="T159" s="1630">
        <f t="shared" si="30"/>
        <v>0</v>
      </c>
      <c r="U159" s="16"/>
      <c r="V159" s="16"/>
      <c r="W159" s="16"/>
      <c r="X159" s="687"/>
      <c r="Y159" s="16"/>
      <c r="Z159" s="16"/>
      <c r="AA159" s="16"/>
      <c r="AB159" s="16"/>
      <c r="AC159" s="16"/>
      <c r="AD159" s="16"/>
      <c r="AE159" s="16"/>
      <c r="AF159" s="16"/>
      <c r="AG159" s="16"/>
      <c r="AH159" s="16"/>
      <c r="AI159" s="16"/>
      <c r="AJ159" s="16"/>
      <c r="AK159" s="16"/>
    </row>
    <row r="160" spans="1:37" x14ac:dyDescent="0.2">
      <c r="A160" s="622"/>
      <c r="B160" s="1262" t="s">
        <v>862</v>
      </c>
      <c r="C160" s="1"/>
      <c r="D160" s="491" t="s">
        <v>116</v>
      </c>
      <c r="E160" s="1"/>
      <c r="F160" s="1"/>
      <c r="G160" s="1"/>
      <c r="H160" s="1"/>
      <c r="I160" s="1"/>
      <c r="J160" s="1625">
        <v>22998222.998054281</v>
      </c>
      <c r="K160" s="1625">
        <v>28999733.93</v>
      </c>
      <c r="L160" s="1625">
        <f>30199734-0.177663028240204</f>
        <v>30199733.822336972</v>
      </c>
      <c r="M160" s="1625">
        <v>31399733.934242304</v>
      </c>
      <c r="N160" s="1625">
        <v>32599733.934242304</v>
      </c>
      <c r="O160" s="1625">
        <v>33799733.934242308</v>
      </c>
      <c r="P160" s="1625">
        <v>34999733.934242308</v>
      </c>
      <c r="Q160" s="1625">
        <v>36199733.934242308</v>
      </c>
      <c r="R160" s="1625">
        <v>37399733.934242308</v>
      </c>
      <c r="S160" s="1625">
        <v>38599733.934242308</v>
      </c>
      <c r="T160" s="1625"/>
      <c r="U160" s="16"/>
      <c r="V160" s="16"/>
      <c r="W160" s="16"/>
      <c r="X160" s="687"/>
      <c r="Y160" s="16"/>
      <c r="Z160" s="16"/>
      <c r="AA160" s="16"/>
      <c r="AB160" s="16"/>
      <c r="AC160" s="16"/>
      <c r="AD160" s="16"/>
      <c r="AE160" s="16"/>
      <c r="AF160" s="16"/>
      <c r="AG160" s="16"/>
      <c r="AH160" s="16"/>
      <c r="AI160" s="16"/>
      <c r="AJ160" s="16"/>
      <c r="AK160" s="16"/>
    </row>
    <row r="161" spans="1:37" x14ac:dyDescent="0.2">
      <c r="A161" s="622"/>
      <c r="B161" s="1307" t="s">
        <v>656</v>
      </c>
      <c r="C161" s="1308"/>
      <c r="D161" s="1308"/>
      <c r="E161" s="1308"/>
      <c r="F161" s="1308"/>
      <c r="G161" s="1308"/>
      <c r="H161" s="1308"/>
      <c r="I161" s="1308"/>
      <c r="J161" s="1309">
        <f>SUM(J150,J159,J160)</f>
        <v>153039181.17805427</v>
      </c>
      <c r="K161" s="1309">
        <f t="shared" ref="K161:T161" si="31">SUM(K150,K159,K160)</f>
        <v>148418712.69457036</v>
      </c>
      <c r="L161" s="1309">
        <f t="shared" si="31"/>
        <v>154555128.99999997</v>
      </c>
      <c r="M161" s="1309">
        <f t="shared" si="31"/>
        <v>136499541.43344128</v>
      </c>
      <c r="N161" s="1309">
        <f t="shared" si="31"/>
        <v>141713528.95625228</v>
      </c>
      <c r="O161" s="1309">
        <f t="shared" si="31"/>
        <v>147897502.41578752</v>
      </c>
      <c r="P161" s="1309">
        <f t="shared" si="31"/>
        <v>163924118.11538315</v>
      </c>
      <c r="Q161" s="1309">
        <f t="shared" si="31"/>
        <v>178445624.031066</v>
      </c>
      <c r="R161" s="1309">
        <f t="shared" si="31"/>
        <v>194299915.89382601</v>
      </c>
      <c r="S161" s="1309">
        <f t="shared" si="31"/>
        <v>211540186.41751194</v>
      </c>
      <c r="T161" s="1309">
        <f t="shared" si="31"/>
        <v>0</v>
      </c>
      <c r="U161" s="1094"/>
      <c r="V161" s="1094"/>
      <c r="W161" s="1094"/>
      <c r="X161" s="1310"/>
      <c r="Y161" s="16"/>
      <c r="Z161" s="16"/>
      <c r="AA161" s="16"/>
      <c r="AB161" s="16"/>
      <c r="AC161" s="16"/>
      <c r="AD161" s="16"/>
      <c r="AE161" s="16"/>
      <c r="AF161" s="16"/>
      <c r="AG161" s="16"/>
      <c r="AH161" s="16"/>
      <c r="AI161" s="16"/>
      <c r="AJ161" s="16"/>
      <c r="AK161" s="16"/>
    </row>
    <row r="162" spans="1:37" x14ac:dyDescent="0.2">
      <c r="A162" s="622"/>
      <c r="B162" s="1304"/>
      <c r="C162" s="1"/>
      <c r="D162" s="1"/>
      <c r="E162" s="1"/>
      <c r="F162" s="1"/>
      <c r="G162" s="1"/>
      <c r="H162" s="1"/>
      <c r="I162" s="1"/>
      <c r="J162" s="16"/>
      <c r="K162" s="222"/>
      <c r="L162" s="222"/>
      <c r="M162" s="222"/>
      <c r="N162" s="222"/>
      <c r="O162" s="222"/>
      <c r="P162" s="222"/>
      <c r="Q162" s="222"/>
      <c r="R162" s="222"/>
      <c r="S162" s="222"/>
      <c r="T162" s="222"/>
      <c r="U162" s="16"/>
      <c r="V162" s="16"/>
      <c r="W162" s="16"/>
      <c r="X162" s="687"/>
      <c r="Y162" s="16"/>
      <c r="Z162" s="16"/>
      <c r="AA162" s="16"/>
      <c r="AB162" s="16"/>
      <c r="AC162" s="16"/>
      <c r="AD162" s="16"/>
      <c r="AE162" s="16"/>
      <c r="AF162" s="16"/>
      <c r="AG162" s="16"/>
      <c r="AH162" s="16"/>
      <c r="AI162" s="16"/>
      <c r="AJ162" s="16"/>
      <c r="AK162" s="16"/>
    </row>
    <row r="163" spans="1:37" x14ac:dyDescent="0.2">
      <c r="A163" s="622"/>
      <c r="B163" s="1304" t="s">
        <v>77</v>
      </c>
      <c r="C163" s="1"/>
      <c r="D163" s="1"/>
      <c r="E163" s="1"/>
      <c r="F163" s="1"/>
      <c r="G163" s="1"/>
      <c r="H163" s="1"/>
      <c r="I163" s="1"/>
      <c r="J163" s="222" t="str">
        <f>IF(J161-J142=0, "ok", "please check")</f>
        <v>ok</v>
      </c>
      <c r="K163" s="222" t="str">
        <f t="shared" ref="K163:T163" si="32">IF(K161-K142=0, "ok", "please check")</f>
        <v>ok</v>
      </c>
      <c r="L163" s="222" t="str">
        <f t="shared" si="32"/>
        <v>ok</v>
      </c>
      <c r="M163" s="222" t="str">
        <f t="shared" si="32"/>
        <v>ok</v>
      </c>
      <c r="N163" s="222" t="str">
        <f t="shared" si="32"/>
        <v>ok</v>
      </c>
      <c r="O163" s="222" t="str">
        <f t="shared" si="32"/>
        <v>ok</v>
      </c>
      <c r="P163" s="222" t="str">
        <f t="shared" si="32"/>
        <v>ok</v>
      </c>
      <c r="Q163" s="222" t="str">
        <f t="shared" si="32"/>
        <v>ok</v>
      </c>
      <c r="R163" s="222" t="str">
        <f t="shared" si="32"/>
        <v>ok</v>
      </c>
      <c r="S163" s="222" t="str">
        <f t="shared" si="32"/>
        <v>ok</v>
      </c>
      <c r="T163" s="222" t="str">
        <f t="shared" si="32"/>
        <v>please check</v>
      </c>
      <c r="U163" s="16"/>
      <c r="V163" s="16"/>
      <c r="W163" s="16"/>
      <c r="X163" s="687"/>
      <c r="Y163" s="16"/>
      <c r="Z163" s="16"/>
      <c r="AA163" s="16"/>
      <c r="AB163" s="16"/>
      <c r="AC163" s="16"/>
      <c r="AD163" s="16"/>
      <c r="AE163" s="16"/>
      <c r="AF163" s="16"/>
      <c r="AG163" s="16"/>
      <c r="AH163" s="16"/>
      <c r="AI163" s="16"/>
      <c r="AJ163" s="16"/>
      <c r="AK163" s="16"/>
    </row>
    <row r="164" spans="1:37" x14ac:dyDescent="0.2">
      <c r="A164" s="622"/>
      <c r="B164" s="1312"/>
      <c r="C164" s="580"/>
      <c r="D164" s="580"/>
      <c r="E164" s="580"/>
      <c r="F164" s="580"/>
      <c r="G164" s="580"/>
      <c r="H164" s="580"/>
      <c r="I164" s="580"/>
      <c r="J164" s="154"/>
      <c r="K164" s="1313"/>
      <c r="L164" s="1313"/>
      <c r="M164" s="1313"/>
      <c r="N164" s="1313"/>
      <c r="O164" s="1313"/>
      <c r="P164" s="1313"/>
      <c r="Q164" s="1313"/>
      <c r="R164" s="1313"/>
      <c r="S164" s="1313"/>
      <c r="T164" s="1313"/>
      <c r="U164" s="154"/>
      <c r="V164" s="154"/>
      <c r="W164" s="154"/>
      <c r="X164" s="1314"/>
      <c r="Y164" s="16"/>
      <c r="Z164" s="16"/>
      <c r="AA164" s="16"/>
      <c r="AB164" s="16"/>
      <c r="AC164" s="16"/>
      <c r="AD164" s="16"/>
      <c r="AE164" s="16"/>
      <c r="AF164" s="16"/>
      <c r="AG164" s="16"/>
      <c r="AH164" s="16"/>
      <c r="AI164" s="16"/>
      <c r="AJ164" s="16"/>
      <c r="AK164" s="16"/>
    </row>
    <row r="165" spans="1:37" ht="12" customHeight="1" x14ac:dyDescent="0.2">
      <c r="A165" s="622"/>
      <c r="B165" s="347"/>
      <c r="C165" s="1"/>
      <c r="D165" s="1"/>
      <c r="E165" s="1"/>
      <c r="F165" s="1"/>
      <c r="G165" s="1"/>
      <c r="H165" s="1"/>
      <c r="I165" s="1"/>
      <c r="J165" s="16"/>
      <c r="K165" s="222"/>
      <c r="L165" s="222"/>
      <c r="M165" s="222"/>
      <c r="N165" s="222"/>
      <c r="O165" s="222"/>
      <c r="P165" s="222"/>
      <c r="Q165" s="222"/>
      <c r="R165" s="222"/>
      <c r="S165" s="222"/>
      <c r="T165" s="222"/>
      <c r="U165" s="16"/>
      <c r="V165" s="16"/>
      <c r="W165" s="16"/>
      <c r="X165" s="16"/>
      <c r="Y165" s="16"/>
      <c r="Z165" s="16"/>
      <c r="AA165" s="16"/>
      <c r="AB165" s="16"/>
      <c r="AC165" s="16"/>
      <c r="AD165" s="16"/>
      <c r="AE165" s="16"/>
      <c r="AF165" s="16"/>
      <c r="AG165" s="16"/>
      <c r="AH165" s="16"/>
      <c r="AI165" s="16"/>
      <c r="AJ165" s="16"/>
      <c r="AK165" s="16"/>
    </row>
    <row r="166" spans="1:37" ht="12" customHeight="1" x14ac:dyDescent="0.2">
      <c r="A166" s="622"/>
      <c r="B166" s="1"/>
      <c r="C166" s="1"/>
      <c r="D166" s="1"/>
      <c r="E166" s="1"/>
      <c r="F166" s="1"/>
      <c r="G166" s="1"/>
      <c r="H166" s="1"/>
      <c r="I166" s="1"/>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row>
    <row r="167" spans="1:37" customFormat="1" ht="19.899999999999999" customHeight="1" x14ac:dyDescent="0.2">
      <c r="A167" s="620" t="s">
        <v>863</v>
      </c>
      <c r="B167" s="461" t="str">
        <f>"Table "&amp;$A$1&amp;A167&amp;": Income Statement - General fund - BASE case scenario ($ nominal) "</f>
        <v xml:space="preserve">Table 10.2(a): Income Statement - General fund - BASE case scenario ($ nominal) </v>
      </c>
      <c r="C167" s="2"/>
      <c r="D167" s="2"/>
      <c r="E167" s="2"/>
      <c r="F167" s="2"/>
      <c r="G167" s="2"/>
      <c r="H167" s="2"/>
      <c r="I167" s="2"/>
      <c r="J167" s="637"/>
      <c r="K167" s="14"/>
      <c r="L167" s="633"/>
      <c r="M167" s="633"/>
      <c r="N167" s="633"/>
      <c r="O167" s="633"/>
      <c r="P167" s="633"/>
      <c r="Q167" s="633"/>
      <c r="R167" s="633"/>
      <c r="S167" s="633"/>
      <c r="T167" s="633"/>
      <c r="U167" s="633"/>
      <c r="V167" s="633"/>
      <c r="W167" s="633"/>
      <c r="X167" s="633"/>
      <c r="Y167" s="3"/>
      <c r="Z167" s="16"/>
      <c r="AA167" s="3"/>
      <c r="AB167" s="3"/>
      <c r="AC167" s="3"/>
      <c r="AD167" s="3"/>
      <c r="AE167" s="3"/>
      <c r="AF167" s="3"/>
      <c r="AG167" s="3"/>
      <c r="AH167" s="3"/>
      <c r="AI167" s="3"/>
      <c r="AJ167" s="3"/>
      <c r="AK167" s="3"/>
    </row>
    <row r="168" spans="1:37" ht="11.65" customHeight="1" x14ac:dyDescent="0.2">
      <c r="A168" s="622"/>
      <c r="B168" s="674"/>
      <c r="C168" s="666"/>
      <c r="D168" s="666"/>
      <c r="E168" s="666"/>
      <c r="F168" s="666"/>
      <c r="G168" s="666"/>
      <c r="H168" s="666"/>
      <c r="I168" s="666"/>
      <c r="J168" s="1167" t="str">
        <f t="shared" ref="J168:V168" si="33">J$22</f>
        <v>Year 0</v>
      </c>
      <c r="K168" s="1167" t="str">
        <f t="shared" si="33"/>
        <v>Year 1</v>
      </c>
      <c r="L168" s="1167" t="str">
        <f t="shared" si="33"/>
        <v>Year 2</v>
      </c>
      <c r="M168" s="1167" t="str">
        <f t="shared" si="33"/>
        <v>Year 3</v>
      </c>
      <c r="N168" s="1167" t="str">
        <f t="shared" si="33"/>
        <v>Year 4</v>
      </c>
      <c r="O168" s="1167" t="str">
        <f t="shared" si="33"/>
        <v>Year 5</v>
      </c>
      <c r="P168" s="1167" t="str">
        <f t="shared" si="33"/>
        <v>Year 6</v>
      </c>
      <c r="Q168" s="1167" t="str">
        <f t="shared" si="33"/>
        <v>Year 7</v>
      </c>
      <c r="R168" s="1167" t="str">
        <f t="shared" si="33"/>
        <v>Year 8</v>
      </c>
      <c r="S168" s="1167" t="str">
        <f t="shared" si="33"/>
        <v>Year 9</v>
      </c>
      <c r="T168" s="1167" t="str">
        <f t="shared" si="33"/>
        <v>Year 10</v>
      </c>
      <c r="U168" s="1329" t="str">
        <f t="shared" si="33"/>
        <v>Sum of 10 years</v>
      </c>
      <c r="V168" s="1330">
        <f t="shared" si="33"/>
        <v>0</v>
      </c>
      <c r="W168" s="1332" t="str">
        <f>W$22</f>
        <v xml:space="preserve">  Change over 10 years</v>
      </c>
      <c r="X168" s="1255"/>
      <c r="Y168" s="16"/>
      <c r="Z168" s="16"/>
      <c r="AA168" s="16"/>
      <c r="AB168" s="16"/>
      <c r="AC168" s="16"/>
      <c r="AD168" s="16"/>
      <c r="AE168" s="16"/>
      <c r="AF168" s="16"/>
      <c r="AG168" s="16"/>
      <c r="AH168" s="16"/>
      <c r="AI168" s="16"/>
      <c r="AJ168" s="16"/>
      <c r="AK168" s="16"/>
    </row>
    <row r="169" spans="1:37" ht="11.65" customHeight="1" x14ac:dyDescent="0.2">
      <c r="A169" s="622"/>
      <c r="B169" s="1274"/>
      <c r="C169" s="606"/>
      <c r="D169" s="606" t="s">
        <v>641</v>
      </c>
      <c r="E169" s="606"/>
      <c r="F169" s="606"/>
      <c r="G169" s="606"/>
      <c r="H169" s="606"/>
      <c r="I169" s="606"/>
      <c r="J169" s="1278" t="str">
        <f t="shared" ref="J169:T169" si="34">J$23</f>
        <v>2023-24</v>
      </c>
      <c r="K169" s="1278" t="str">
        <f t="shared" si="34"/>
        <v>2024-25</v>
      </c>
      <c r="L169" s="1278" t="str">
        <f t="shared" si="34"/>
        <v>2025-26</v>
      </c>
      <c r="M169" s="1278" t="str">
        <f t="shared" si="34"/>
        <v>2026-27</v>
      </c>
      <c r="N169" s="1278" t="str">
        <f t="shared" si="34"/>
        <v>2027-28</v>
      </c>
      <c r="O169" s="1278" t="str">
        <f t="shared" si="34"/>
        <v>2028-29</v>
      </c>
      <c r="P169" s="1278" t="str">
        <f t="shared" si="34"/>
        <v>2029-30</v>
      </c>
      <c r="Q169" s="1278" t="str">
        <f t="shared" si="34"/>
        <v>2030-31</v>
      </c>
      <c r="R169" s="1278" t="str">
        <f t="shared" si="34"/>
        <v>2031-32</v>
      </c>
      <c r="S169" s="1278" t="str">
        <f t="shared" si="34"/>
        <v>2032-33</v>
      </c>
      <c r="T169" s="1278" t="str">
        <f t="shared" si="34"/>
        <v>2033-34</v>
      </c>
      <c r="U169" s="775"/>
      <c r="V169" s="1331">
        <f>V$23</f>
        <v>0</v>
      </c>
      <c r="W169" s="1333" t="str">
        <f>W$23</f>
        <v>$</v>
      </c>
      <c r="X169" s="1328" t="str">
        <f>X$23</f>
        <v>%</v>
      </c>
      <c r="Y169" s="16"/>
      <c r="Z169" s="16"/>
      <c r="AA169" s="16"/>
      <c r="AB169" s="16"/>
      <c r="AC169" s="16"/>
      <c r="AD169" s="16"/>
      <c r="AE169" s="16"/>
      <c r="AF169" s="16"/>
      <c r="AG169" s="16"/>
      <c r="AH169" s="16"/>
      <c r="AI169" s="16"/>
      <c r="AJ169" s="16"/>
      <c r="AK169" s="16"/>
    </row>
    <row r="170" spans="1:37" customFormat="1" ht="11.65" customHeight="1" x14ac:dyDescent="0.2">
      <c r="A170" s="620"/>
      <c r="B170" s="1324" t="str">
        <f>B$24</f>
        <v>Income from continuing operations</v>
      </c>
      <c r="C170" s="265"/>
      <c r="D170" s="265"/>
      <c r="E170" s="265"/>
      <c r="F170" s="265"/>
      <c r="G170" s="265"/>
      <c r="H170" s="265"/>
      <c r="I170" s="265"/>
      <c r="J170" s="265"/>
      <c r="K170" s="1257"/>
      <c r="L170" s="18"/>
      <c r="M170" s="1094"/>
      <c r="N170" s="18"/>
      <c r="O170" s="18"/>
      <c r="P170" s="18"/>
      <c r="Q170" s="18"/>
      <c r="R170" s="18"/>
      <c r="S170" s="18"/>
      <c r="T170" s="18"/>
      <c r="U170" s="18"/>
      <c r="V170" s="18"/>
      <c r="W170" s="18"/>
      <c r="X170" s="1166"/>
      <c r="Y170" s="3"/>
      <c r="Z170" s="16"/>
      <c r="AA170" s="16"/>
      <c r="AB170" s="3"/>
      <c r="AC170" s="3"/>
      <c r="AD170" s="3"/>
      <c r="AE170" s="3"/>
      <c r="AF170" s="3"/>
      <c r="AG170" s="3"/>
      <c r="AH170" s="3"/>
      <c r="AI170" s="3"/>
      <c r="AJ170" s="3"/>
      <c r="AK170" s="3"/>
    </row>
    <row r="171" spans="1:37" ht="11.65" customHeight="1" x14ac:dyDescent="0.2">
      <c r="A171" s="622"/>
      <c r="B171" s="1223" t="str">
        <f>B$25</f>
        <v>Revenue:</v>
      </c>
      <c r="C171" s="1"/>
      <c r="D171" s="1"/>
      <c r="E171" s="1"/>
      <c r="F171" s="1"/>
      <c r="G171" s="1"/>
      <c r="H171" s="1"/>
      <c r="I171" s="1"/>
      <c r="J171" s="290"/>
      <c r="K171" s="1291"/>
      <c r="L171" s="1291"/>
      <c r="M171" s="1291"/>
      <c r="N171" s="1291"/>
      <c r="O171" s="1291"/>
      <c r="P171" s="1291"/>
      <c r="Q171" s="1291"/>
      <c r="R171" s="1291"/>
      <c r="S171" s="1291"/>
      <c r="T171" s="1291"/>
      <c r="U171" s="1283"/>
      <c r="V171" s="151"/>
      <c r="W171" s="1298"/>
      <c r="X171" s="1261"/>
      <c r="Y171" s="16"/>
      <c r="Z171" s="16"/>
      <c r="AA171" s="16"/>
      <c r="AB171" s="16"/>
      <c r="AC171" s="16"/>
      <c r="AD171" s="16"/>
      <c r="AE171" s="16"/>
      <c r="AF171" s="16"/>
      <c r="AG171" s="16"/>
      <c r="AH171" s="16"/>
      <c r="AI171" s="16"/>
      <c r="AJ171" s="16"/>
      <c r="AK171" s="16"/>
    </row>
    <row r="172" spans="1:37" ht="11.65" customHeight="1" x14ac:dyDescent="0.2">
      <c r="A172" s="622"/>
      <c r="B172" s="1263" t="str">
        <f>B$26</f>
        <v xml:space="preserve">Rates  </v>
      </c>
      <c r="C172" s="1"/>
      <c r="D172" s="491" t="s">
        <v>116</v>
      </c>
      <c r="E172" s="1"/>
      <c r="F172" s="1"/>
      <c r="G172" s="1"/>
      <c r="H172" s="1"/>
      <c r="I172" s="1"/>
      <c r="J172" s="1232">
        <v>54352004</v>
      </c>
      <c r="K172" s="1232">
        <v>57069604.200000003</v>
      </c>
      <c r="L172" s="1232">
        <v>58781692.326000005</v>
      </c>
      <c r="M172" s="1232">
        <v>60545143.095780008</v>
      </c>
      <c r="N172" s="1232">
        <v>62361497.382019952</v>
      </c>
      <c r="O172" s="1232">
        <v>64232342.307442188</v>
      </c>
      <c r="P172" s="1232">
        <v>66159312.57150609</v>
      </c>
      <c r="Q172" s="1232">
        <v>68144091.952152267</v>
      </c>
      <c r="R172" s="1232">
        <v>70188414.706202388</v>
      </c>
      <c r="S172" s="1232">
        <v>72294067.144808769</v>
      </c>
      <c r="T172" s="1633">
        <v>74462889.159153029</v>
      </c>
      <c r="U172" s="1199">
        <f t="shared" ref="U172:U179" si="35">SUM(K172:T172)</f>
        <v>654239054.84506464</v>
      </c>
      <c r="V172" s="151"/>
      <c r="W172" s="1299">
        <f t="shared" ref="W172:W179" si="36">T172-J172</f>
        <v>20110885.159153029</v>
      </c>
      <c r="X172" s="1147">
        <f t="shared" ref="X172:X179" si="37">IF(J172=0,0,(W172/J172))</f>
        <v>0.37001184278601812</v>
      </c>
      <c r="Y172" s="16"/>
      <c r="Z172" s="16"/>
      <c r="AA172" s="16"/>
      <c r="AB172" s="16"/>
      <c r="AC172" s="16"/>
      <c r="AD172" s="16"/>
      <c r="AE172" s="16"/>
      <c r="AF172" s="16"/>
      <c r="AG172" s="16"/>
      <c r="AH172" s="16"/>
      <c r="AI172" s="16"/>
      <c r="AJ172" s="16"/>
      <c r="AK172" s="16"/>
    </row>
    <row r="173" spans="1:37" ht="12" customHeight="1" x14ac:dyDescent="0.2">
      <c r="A173" s="622"/>
      <c r="B173" s="721" t="str">
        <f>B$27</f>
        <v>Annual Charges</v>
      </c>
      <c r="C173" s="109"/>
      <c r="D173" s="491" t="s">
        <v>116</v>
      </c>
      <c r="E173" s="109"/>
      <c r="F173" s="109"/>
      <c r="G173" s="109"/>
      <c r="H173" s="109"/>
      <c r="I173" s="109"/>
      <c r="J173" s="1284">
        <v>18948996</v>
      </c>
      <c r="K173" s="1284">
        <v>19580390.799999997</v>
      </c>
      <c r="L173" s="1284">
        <v>20146802.523999989</v>
      </c>
      <c r="M173" s="1284">
        <v>20730206.59421999</v>
      </c>
      <c r="N173" s="1284">
        <v>21331112.79798004</v>
      </c>
      <c r="O173" s="1284">
        <v>23433418.332557812</v>
      </c>
      <c r="P173" s="1284">
        <v>24115420.898493908</v>
      </c>
      <c r="Q173" s="1284">
        <v>24817883.527847722</v>
      </c>
      <c r="R173" s="1284">
        <v>25541420.043797612</v>
      </c>
      <c r="S173" s="1284">
        <v>26286662.665191233</v>
      </c>
      <c r="T173" s="1633">
        <v>27075262.545146972</v>
      </c>
      <c r="U173" s="1199">
        <f t="shared" si="35"/>
        <v>233058580.72923526</v>
      </c>
      <c r="V173" s="112"/>
      <c r="W173" s="1299">
        <f t="shared" si="36"/>
        <v>8126266.5451469719</v>
      </c>
      <c r="X173" s="1147">
        <f t="shared" si="37"/>
        <v>0.42884945171485456</v>
      </c>
      <c r="Y173" s="16"/>
      <c r="Z173" s="16"/>
      <c r="AA173" s="16"/>
      <c r="AB173" s="16"/>
      <c r="AC173" s="16"/>
      <c r="AD173" s="16"/>
      <c r="AE173" s="16"/>
      <c r="AF173" s="16"/>
      <c r="AG173" s="16"/>
      <c r="AH173" s="16"/>
      <c r="AI173" s="16"/>
      <c r="AJ173" s="16"/>
      <c r="AK173" s="16"/>
    </row>
    <row r="174" spans="1:37" ht="12" customHeight="1" x14ac:dyDescent="0.2">
      <c r="A174" s="622"/>
      <c r="B174" s="721" t="str">
        <f>B$28</f>
        <v>User Charges &amp; Fees</v>
      </c>
      <c r="C174" s="109"/>
      <c r="D174" s="491" t="s">
        <v>116</v>
      </c>
      <c r="E174" s="109"/>
      <c r="F174" s="109"/>
      <c r="G174" s="109"/>
      <c r="H174" s="109"/>
      <c r="I174" s="109"/>
      <c r="J174" s="1284">
        <v>15498732.93</v>
      </c>
      <c r="K174" s="1284">
        <v>20280739.66</v>
      </c>
      <c r="L174" s="1284">
        <v>21013446.369999997</v>
      </c>
      <c r="M174" s="1284">
        <v>21663508.25</v>
      </c>
      <c r="N174" s="1284">
        <v>22324973.919999998</v>
      </c>
      <c r="O174" s="1284">
        <v>23006697.029999997</v>
      </c>
      <c r="P174" s="1284">
        <v>23709297.32</v>
      </c>
      <c r="Q174" s="1284">
        <v>24433419.890000004</v>
      </c>
      <c r="R174" s="1284">
        <v>25179722.690000005</v>
      </c>
      <c r="S174" s="1284">
        <v>25948888.940000001</v>
      </c>
      <c r="T174" s="1633">
        <f>S174*1.03</f>
        <v>26727355.608200002</v>
      </c>
      <c r="U174" s="1199">
        <f t="shared" si="35"/>
        <v>234288049.67820004</v>
      </c>
      <c r="V174" s="112"/>
      <c r="W174" s="1299">
        <f t="shared" si="36"/>
        <v>11228622.678200003</v>
      </c>
      <c r="X174" s="1147">
        <f t="shared" si="37"/>
        <v>0.72448649376139695</v>
      </c>
      <c r="Y174" s="16"/>
      <c r="Z174" s="16"/>
      <c r="AA174" s="16"/>
      <c r="AB174" s="16"/>
      <c r="AC174" s="16"/>
      <c r="AD174" s="16"/>
      <c r="AE174" s="16"/>
      <c r="AF174" s="16"/>
      <c r="AG174" s="16"/>
      <c r="AH174" s="16"/>
      <c r="AI174" s="16"/>
      <c r="AJ174" s="16"/>
      <c r="AK174" s="16"/>
    </row>
    <row r="175" spans="1:37" ht="12" customHeight="1" x14ac:dyDescent="0.2">
      <c r="A175" s="622"/>
      <c r="B175" s="721" t="str">
        <f>B$29</f>
        <v>Interest &amp; Investment Revenue</v>
      </c>
      <c r="C175" s="109"/>
      <c r="D175" s="491" t="s">
        <v>116</v>
      </c>
      <c r="E175" s="109"/>
      <c r="F175" s="109"/>
      <c r="G175" s="109"/>
      <c r="H175" s="109"/>
      <c r="I175" s="109"/>
      <c r="J175" s="1284">
        <v>7320629</v>
      </c>
      <c r="K175" s="1284">
        <v>6512061.0100000016</v>
      </c>
      <c r="L175" s="1284">
        <v>6194506.7700000005</v>
      </c>
      <c r="M175" s="1284">
        <v>6161510.1599999983</v>
      </c>
      <c r="N175" s="1284">
        <v>5147071.63</v>
      </c>
      <c r="O175" s="1284">
        <v>5005537.1999999993</v>
      </c>
      <c r="P175" s="1284">
        <v>4993992.54</v>
      </c>
      <c r="Q175" s="1284">
        <v>5139493.5399999991</v>
      </c>
      <c r="R175" s="1284">
        <v>5301818.05</v>
      </c>
      <c r="S175" s="1284">
        <v>5492664.8300000001</v>
      </c>
      <c r="T175" s="1639">
        <f>S175*1.02</f>
        <v>5602518.1266000001</v>
      </c>
      <c r="U175" s="1199">
        <f t="shared" si="35"/>
        <v>55551173.856599987</v>
      </c>
      <c r="V175" s="112"/>
      <c r="W175" s="1299">
        <f t="shared" si="36"/>
        <v>-1718110.8733999999</v>
      </c>
      <c r="X175" s="1147">
        <f t="shared" si="37"/>
        <v>-0.23469443314228872</v>
      </c>
      <c r="Y175" s="16"/>
      <c r="Z175" s="16"/>
      <c r="AA175" s="16"/>
      <c r="AB175" s="16"/>
      <c r="AC175" s="16"/>
      <c r="AD175" s="16"/>
      <c r="AE175" s="16"/>
      <c r="AF175" s="16"/>
      <c r="AG175" s="16"/>
      <c r="AH175" s="16"/>
      <c r="AI175" s="16"/>
      <c r="AJ175" s="16"/>
      <c r="AK175" s="16"/>
    </row>
    <row r="176" spans="1:37" ht="12" customHeight="1" x14ac:dyDescent="0.2">
      <c r="A176" s="622"/>
      <c r="B176" s="721" t="str">
        <f>B$30</f>
        <v>Other Revenues</v>
      </c>
      <c r="C176" s="109"/>
      <c r="D176" s="491" t="s">
        <v>116</v>
      </c>
      <c r="E176" s="109"/>
      <c r="F176" s="109"/>
      <c r="G176" s="109"/>
      <c r="H176" s="109"/>
      <c r="I176" s="109"/>
      <c r="J176" s="1284">
        <v>8508108.0600000005</v>
      </c>
      <c r="K176" s="1284">
        <v>8657820.5999999996</v>
      </c>
      <c r="L176" s="1284">
        <v>8891902.9299999997</v>
      </c>
      <c r="M176" s="1284">
        <v>9132916.7100000009</v>
      </c>
      <c r="N176" s="1284">
        <v>9381066.3699999992</v>
      </c>
      <c r="O176" s="1284">
        <v>9636565.370000001</v>
      </c>
      <c r="P176" s="1284">
        <v>9899631.4399999995</v>
      </c>
      <c r="Q176" s="1284">
        <v>10170490.699999999</v>
      </c>
      <c r="R176" s="1284">
        <v>10449372.93</v>
      </c>
      <c r="S176" s="1284">
        <v>10741802.810000001</v>
      </c>
      <c r="T176" s="1633">
        <f>S176*1.03</f>
        <v>11064056.894300001</v>
      </c>
      <c r="U176" s="1199">
        <f t="shared" si="35"/>
        <v>98025626.754300013</v>
      </c>
      <c r="V176" s="112"/>
      <c r="W176" s="1299">
        <f t="shared" si="36"/>
        <v>2555948.8343000002</v>
      </c>
      <c r="X176" s="1147">
        <f t="shared" si="37"/>
        <v>0.30041330179109171</v>
      </c>
      <c r="Y176" s="16"/>
      <c r="Z176" s="16"/>
      <c r="AA176" s="16"/>
      <c r="AB176" s="16"/>
      <c r="AC176" s="16"/>
      <c r="AD176" s="16"/>
      <c r="AE176" s="16"/>
      <c r="AF176" s="16"/>
      <c r="AG176" s="16"/>
      <c r="AH176" s="16"/>
      <c r="AI176" s="16"/>
      <c r="AJ176" s="16"/>
      <c r="AK176" s="16"/>
    </row>
    <row r="177" spans="1:37" ht="12" customHeight="1" x14ac:dyDescent="0.2">
      <c r="A177" s="622"/>
      <c r="B177" s="721" t="str">
        <f>B$31</f>
        <v>Grants &amp; Contributions Op Purposes</v>
      </c>
      <c r="C177" s="109"/>
      <c r="D177" s="491" t="s">
        <v>116</v>
      </c>
      <c r="E177" s="109"/>
      <c r="F177" s="109"/>
      <c r="G177" s="109"/>
      <c r="H177" s="109"/>
      <c r="I177" s="109"/>
      <c r="J177" s="1284">
        <v>9741793.5899999999</v>
      </c>
      <c r="K177" s="1284">
        <v>5383007.9199999999</v>
      </c>
      <c r="L177" s="1284">
        <v>5535587.8500000006</v>
      </c>
      <c r="M177" s="1284">
        <v>5692567.5699999994</v>
      </c>
      <c r="N177" s="1284">
        <v>5855432.3700000001</v>
      </c>
      <c r="O177" s="1284">
        <v>6023025.2000000002</v>
      </c>
      <c r="P177" s="1284">
        <v>6194042.7200000007</v>
      </c>
      <c r="Q177" s="1284">
        <v>6369998.4400000013</v>
      </c>
      <c r="R177" s="1284">
        <v>6551034.8399999999</v>
      </c>
      <c r="S177" s="1284">
        <v>6716772.5700000003</v>
      </c>
      <c r="T177" s="1633">
        <f>S177*1.03</f>
        <v>6918275.7471000003</v>
      </c>
      <c r="U177" s="1199">
        <f t="shared" si="35"/>
        <v>61239745.227100015</v>
      </c>
      <c r="V177" s="112"/>
      <c r="W177" s="1299">
        <f t="shared" si="36"/>
        <v>-2823517.8428999996</v>
      </c>
      <c r="X177" s="1147">
        <f t="shared" si="37"/>
        <v>-0.28983552328581003</v>
      </c>
      <c r="Y177" s="16"/>
      <c r="Z177" s="16"/>
      <c r="AA177" s="16"/>
      <c r="AB177" s="16"/>
      <c r="AC177" s="16"/>
      <c r="AD177" s="16"/>
      <c r="AE177" s="16"/>
      <c r="AF177" s="16"/>
      <c r="AG177" s="16"/>
      <c r="AH177" s="16"/>
      <c r="AI177" s="16"/>
      <c r="AJ177" s="16"/>
      <c r="AK177" s="16"/>
    </row>
    <row r="178" spans="1:37" ht="12" customHeight="1" x14ac:dyDescent="0.2">
      <c r="A178" s="622"/>
      <c r="B178" s="721" t="str">
        <f>B$32</f>
        <v>Grants &amp; Contributions Capital Purposes</v>
      </c>
      <c r="C178" s="109"/>
      <c r="D178" s="491" t="s">
        <v>116</v>
      </c>
      <c r="E178" s="109"/>
      <c r="F178" s="109"/>
      <c r="G178" s="109"/>
      <c r="H178" s="109"/>
      <c r="I178" s="109"/>
      <c r="J178" s="1284">
        <v>10994914</v>
      </c>
      <c r="K178" s="1284">
        <v>8292412.5</v>
      </c>
      <c r="L178" s="1284">
        <v>10811777.73</v>
      </c>
      <c r="M178" s="1284">
        <v>10934687.030000001</v>
      </c>
      <c r="N178" s="1284">
        <v>11061242.280000001</v>
      </c>
      <c r="O178" s="1284">
        <v>11191556.950000001</v>
      </c>
      <c r="P178" s="1284">
        <v>11375739.17</v>
      </c>
      <c r="Q178" s="1284">
        <v>9013904.8599999994</v>
      </c>
      <c r="R178" s="1284">
        <v>9156174.8300000001</v>
      </c>
      <c r="S178" s="1284">
        <v>9298289.9000000004</v>
      </c>
      <c r="T178" s="1638">
        <f>S178*1.02</f>
        <v>9484255.6980000008</v>
      </c>
      <c r="U178" s="1199">
        <f t="shared" si="35"/>
        <v>100620040.94800001</v>
      </c>
      <c r="V178" s="112"/>
      <c r="W178" s="1299">
        <f t="shared" si="36"/>
        <v>-1510658.3019999992</v>
      </c>
      <c r="X178" s="1147">
        <f t="shared" si="37"/>
        <v>-0.13739609986944865</v>
      </c>
      <c r="Y178" s="16"/>
      <c r="Z178" s="16"/>
      <c r="AA178" s="16"/>
      <c r="AB178" s="16"/>
      <c r="AC178" s="16"/>
      <c r="AD178" s="16"/>
      <c r="AE178" s="16"/>
      <c r="AF178" s="16"/>
      <c r="AG178" s="16"/>
      <c r="AH178" s="16"/>
      <c r="AI178" s="16"/>
      <c r="AJ178" s="16"/>
      <c r="AK178" s="16"/>
    </row>
    <row r="179" spans="1:37" ht="12" customHeight="1" x14ac:dyDescent="0.2">
      <c r="A179" s="622"/>
      <c r="B179" s="1472" t="s">
        <v>983</v>
      </c>
      <c r="C179" s="109"/>
      <c r="D179" s="491" t="s">
        <v>116</v>
      </c>
      <c r="E179" s="109"/>
      <c r="F179" s="109"/>
      <c r="G179" s="109"/>
      <c r="H179" s="109"/>
      <c r="I179" s="109"/>
      <c r="J179" s="1284">
        <v>14076409.660000004</v>
      </c>
      <c r="K179" s="1284">
        <v>14569084.109999999</v>
      </c>
      <c r="L179" s="1284">
        <v>15006156.670000002</v>
      </c>
      <c r="M179" s="1284">
        <v>15456341.380000005</v>
      </c>
      <c r="N179" s="1284">
        <v>15920031.629999999</v>
      </c>
      <c r="O179" s="1284">
        <v>16397632.61999999</v>
      </c>
      <c r="P179" s="1284">
        <v>16889561.630000003</v>
      </c>
      <c r="Q179" s="1284">
        <v>17396248.510000005</v>
      </c>
      <c r="R179" s="1284">
        <v>17918135.93</v>
      </c>
      <c r="S179" s="1284">
        <v>18455680.010000002</v>
      </c>
      <c r="T179" s="1633">
        <f>S179*1.03</f>
        <v>19009350.410300002</v>
      </c>
      <c r="U179" s="1199">
        <f t="shared" si="35"/>
        <v>167018222.90029997</v>
      </c>
      <c r="V179" s="112"/>
      <c r="W179" s="1299">
        <f t="shared" si="36"/>
        <v>4932940.7502999976</v>
      </c>
      <c r="X179" s="1147">
        <f t="shared" si="37"/>
        <v>0.35044026633564146</v>
      </c>
      <c r="Y179" s="16"/>
      <c r="Z179" s="16"/>
      <c r="AA179" s="16"/>
      <c r="AB179" s="16"/>
      <c r="AC179" s="16"/>
      <c r="AD179" s="16"/>
      <c r="AE179" s="16"/>
      <c r="AF179" s="16"/>
      <c r="AG179" s="16"/>
      <c r="AH179" s="16"/>
      <c r="AI179" s="16"/>
      <c r="AJ179" s="16"/>
      <c r="AK179" s="16"/>
    </row>
    <row r="180" spans="1:37" ht="12" customHeight="1" x14ac:dyDescent="0.2">
      <c r="A180" s="622"/>
      <c r="B180" s="1223" t="str">
        <f>B$34</f>
        <v>Other Income (items excluded from ratio analyis)</v>
      </c>
      <c r="C180" s="1"/>
      <c r="D180" s="491" t="s">
        <v>116</v>
      </c>
      <c r="E180" s="1"/>
      <c r="F180" s="1"/>
      <c r="G180" s="1"/>
      <c r="H180" s="1"/>
      <c r="I180" s="1"/>
      <c r="J180" s="290"/>
      <c r="K180" s="290"/>
      <c r="L180" s="290"/>
      <c r="M180" s="1295"/>
      <c r="N180" s="290"/>
      <c r="O180" s="290"/>
      <c r="P180" s="290"/>
      <c r="Q180" s="290"/>
      <c r="R180" s="290"/>
      <c r="S180" s="290"/>
      <c r="T180" s="290"/>
      <c r="U180" s="1283"/>
      <c r="V180" s="151"/>
      <c r="W180" s="1298"/>
      <c r="X180" s="1261"/>
      <c r="Y180" s="16"/>
      <c r="Z180" s="16"/>
      <c r="AA180" s="16"/>
      <c r="AB180" s="16"/>
      <c r="AC180" s="16"/>
      <c r="AD180" s="16"/>
      <c r="AE180" s="16"/>
      <c r="AF180" s="16"/>
      <c r="AG180" s="16"/>
      <c r="AH180" s="16"/>
      <c r="AI180" s="16"/>
      <c r="AJ180" s="16"/>
      <c r="AK180" s="16"/>
    </row>
    <row r="181" spans="1:37" ht="12" customHeight="1" x14ac:dyDescent="0.2">
      <c r="A181" s="622"/>
      <c r="B181" s="1263" t="str">
        <f>B$35</f>
        <v>Net share of profit  on joint ventures</v>
      </c>
      <c r="C181" s="109"/>
      <c r="D181" s="491" t="s">
        <v>116</v>
      </c>
      <c r="E181" s="109"/>
      <c r="F181" s="109"/>
      <c r="G181" s="109"/>
      <c r="H181" s="109"/>
      <c r="I181" s="109"/>
      <c r="J181" s="1334"/>
      <c r="K181" s="1284"/>
      <c r="L181" s="1284"/>
      <c r="M181" s="1284"/>
      <c r="N181" s="1284"/>
      <c r="O181" s="1284"/>
      <c r="P181" s="1284"/>
      <c r="Q181" s="1284"/>
      <c r="R181" s="1284"/>
      <c r="S181" s="1284"/>
      <c r="T181" s="1284"/>
      <c r="U181" s="1199">
        <f>SUM(K181:T181)</f>
        <v>0</v>
      </c>
      <c r="V181" s="112"/>
      <c r="W181" s="1299">
        <f>T181-J181</f>
        <v>0</v>
      </c>
      <c r="X181" s="1147">
        <f>IF(J181=0,0,(W181/J181))</f>
        <v>0</v>
      </c>
      <c r="Y181" s="16"/>
      <c r="Z181" s="16"/>
      <c r="AA181" s="16"/>
      <c r="AB181" s="16"/>
      <c r="AC181" s="16"/>
      <c r="AD181" s="16"/>
      <c r="AE181" s="16"/>
      <c r="AF181" s="16"/>
      <c r="AG181" s="16"/>
      <c r="AH181" s="16"/>
      <c r="AI181" s="16"/>
      <c r="AJ181" s="16"/>
      <c r="AK181" s="16"/>
    </row>
    <row r="182" spans="1:37" ht="12" customHeight="1" x14ac:dyDescent="0.2">
      <c r="A182" s="622"/>
      <c r="B182" s="1263" t="str">
        <f>B$36</f>
        <v>Fair value gains</v>
      </c>
      <c r="C182" s="109"/>
      <c r="D182" s="491" t="s">
        <v>116</v>
      </c>
      <c r="E182" s="109"/>
      <c r="F182" s="109"/>
      <c r="G182" s="109"/>
      <c r="H182" s="109"/>
      <c r="I182" s="109"/>
      <c r="J182" s="1284">
        <v>1070000</v>
      </c>
      <c r="K182" s="1284">
        <v>1070000</v>
      </c>
      <c r="L182" s="1284">
        <v>1070000</v>
      </c>
      <c r="M182" s="1284">
        <v>1070000</v>
      </c>
      <c r="N182" s="1284">
        <v>1070000</v>
      </c>
      <c r="O182" s="1284">
        <v>1070000</v>
      </c>
      <c r="P182" s="1284">
        <v>1070000</v>
      </c>
      <c r="Q182" s="1284">
        <v>1070000</v>
      </c>
      <c r="R182" s="1284">
        <v>1070000</v>
      </c>
      <c r="S182" s="1284">
        <v>1070000</v>
      </c>
      <c r="T182" s="1639">
        <v>1070000</v>
      </c>
      <c r="U182" s="1199">
        <f>SUM(K182:T182)</f>
        <v>10700000</v>
      </c>
      <c r="V182" s="112"/>
      <c r="W182" s="1299">
        <f>T182-J182</f>
        <v>0</v>
      </c>
      <c r="X182" s="1147">
        <f>IF(J182=0,0,(W182/J182))</f>
        <v>0</v>
      </c>
      <c r="Y182" s="16"/>
      <c r="Z182" s="16"/>
      <c r="AA182" s="16"/>
      <c r="AB182" s="16"/>
      <c r="AC182" s="16"/>
      <c r="AD182" s="16"/>
      <c r="AE182" s="16"/>
      <c r="AF182" s="16"/>
      <c r="AG182" s="16"/>
      <c r="AH182" s="16"/>
      <c r="AI182" s="16"/>
      <c r="AJ182" s="16"/>
      <c r="AK182" s="16"/>
    </row>
    <row r="183" spans="1:37" ht="12" customHeight="1" x14ac:dyDescent="0.2">
      <c r="A183" s="622"/>
      <c r="B183" s="721" t="str">
        <f>B$37</f>
        <v>Net gains from disposal of assets</v>
      </c>
      <c r="C183" s="109"/>
      <c r="D183" s="491" t="s">
        <v>116</v>
      </c>
      <c r="E183" s="109"/>
      <c r="F183" s="109"/>
      <c r="G183" s="109"/>
      <c r="H183" s="109"/>
      <c r="I183" s="109"/>
      <c r="J183" s="1284">
        <v>100000</v>
      </c>
      <c r="K183" s="1284">
        <v>100000</v>
      </c>
      <c r="L183" s="1284">
        <v>100000</v>
      </c>
      <c r="M183" s="1284">
        <v>100000</v>
      </c>
      <c r="N183" s="1284">
        <v>100000</v>
      </c>
      <c r="O183" s="1284">
        <v>100000</v>
      </c>
      <c r="P183" s="1284">
        <v>100000</v>
      </c>
      <c r="Q183" s="1284">
        <v>100000</v>
      </c>
      <c r="R183" s="1284">
        <v>100000</v>
      </c>
      <c r="S183" s="1284">
        <v>100000</v>
      </c>
      <c r="T183" s="1639">
        <v>100000</v>
      </c>
      <c r="U183" s="1199">
        <f>SUM(K183:T183)</f>
        <v>1000000</v>
      </c>
      <c r="V183" s="112"/>
      <c r="W183" s="1299">
        <f>T183-J183</f>
        <v>0</v>
      </c>
      <c r="X183" s="1147">
        <f>IF(J183=0,0,(W183/J183))</f>
        <v>0</v>
      </c>
      <c r="Y183" s="16"/>
      <c r="Z183" s="16"/>
      <c r="AA183" s="16"/>
      <c r="AB183" s="16"/>
      <c r="AC183" s="16"/>
      <c r="AD183" s="16"/>
      <c r="AE183" s="16"/>
      <c r="AF183" s="16"/>
      <c r="AG183" s="16"/>
      <c r="AH183" s="16"/>
      <c r="AI183" s="16"/>
      <c r="AJ183" s="16"/>
      <c r="AK183" s="16"/>
    </row>
    <row r="184" spans="1:37" ht="12" customHeight="1" x14ac:dyDescent="0.2">
      <c r="A184" s="622"/>
      <c r="B184" s="1263"/>
      <c r="C184" s="1"/>
      <c r="D184" s="1"/>
      <c r="E184" s="1"/>
      <c r="F184" s="1"/>
      <c r="G184" s="1"/>
      <c r="H184" s="1"/>
      <c r="I184" s="1"/>
      <c r="J184" s="1283"/>
      <c r="K184" s="1283"/>
      <c r="L184" s="1283"/>
      <c r="M184" s="1283"/>
      <c r="N184" s="1283"/>
      <c r="O184" s="1283"/>
      <c r="P184" s="1283"/>
      <c r="Q184" s="1283"/>
      <c r="R184" s="1283"/>
      <c r="S184" s="1283"/>
      <c r="T184" s="1283"/>
      <c r="U184" s="1283"/>
      <c r="V184" s="151"/>
      <c r="W184" s="1298"/>
      <c r="X184" s="1261"/>
      <c r="Y184" s="16"/>
      <c r="Z184" s="16"/>
      <c r="AA184" s="16"/>
      <c r="AB184" s="16"/>
      <c r="AC184" s="16"/>
      <c r="AD184" s="16"/>
      <c r="AE184" s="16"/>
      <c r="AF184" s="16"/>
      <c r="AG184" s="16"/>
      <c r="AH184" s="16"/>
      <c r="AI184" s="16"/>
      <c r="AJ184" s="16"/>
      <c r="AK184" s="16"/>
    </row>
    <row r="185" spans="1:37" ht="12" customHeight="1" x14ac:dyDescent="0.2">
      <c r="A185" s="622"/>
      <c r="B185" s="1223" t="str">
        <f>B$39</f>
        <v>Total Income Continuing Operations</v>
      </c>
      <c r="C185" s="109"/>
      <c r="D185" s="491" t="s">
        <v>116</v>
      </c>
      <c r="E185" s="109"/>
      <c r="F185" s="109"/>
      <c r="G185" s="109"/>
      <c r="H185" s="109"/>
      <c r="I185" s="109"/>
      <c r="J185" s="1286">
        <f>SUM(J172:J179,J181:J183)</f>
        <v>140611587.24000001</v>
      </c>
      <c r="K185" s="1286">
        <f t="shared" ref="K185:W185" si="38">SUM(K172:K179,K181:K183)</f>
        <v>141515120.80000001</v>
      </c>
      <c r="L185" s="1286">
        <f t="shared" si="38"/>
        <v>147551873.16999999</v>
      </c>
      <c r="M185" s="1286">
        <f t="shared" si="38"/>
        <v>151486880.78999999</v>
      </c>
      <c r="N185" s="1286">
        <f t="shared" si="38"/>
        <v>154552428.38</v>
      </c>
      <c r="O185" s="1286">
        <f t="shared" si="38"/>
        <v>160096775.00999999</v>
      </c>
      <c r="P185" s="1286">
        <f t="shared" si="38"/>
        <v>164506998.28999999</v>
      </c>
      <c r="Q185" s="1286">
        <f t="shared" si="38"/>
        <v>166655531.42000002</v>
      </c>
      <c r="R185" s="1286">
        <f t="shared" si="38"/>
        <v>171456094.02000001</v>
      </c>
      <c r="S185" s="1286">
        <f t="shared" si="38"/>
        <v>176404828.86999997</v>
      </c>
      <c r="T185" s="1286">
        <f t="shared" si="38"/>
        <v>181513964.18880004</v>
      </c>
      <c r="U185" s="1292">
        <f t="shared" si="38"/>
        <v>1615740494.9388003</v>
      </c>
      <c r="V185" s="118">
        <f t="shared" si="38"/>
        <v>0</v>
      </c>
      <c r="W185" s="1300">
        <f t="shared" si="38"/>
        <v>40902376.948799998</v>
      </c>
      <c r="X185" s="1264">
        <f>IF(J185=0,0,(W185/J185))</f>
        <v>0.29088909208447106</v>
      </c>
      <c r="Y185" s="16"/>
      <c r="Z185" s="16"/>
      <c r="AA185" s="16"/>
      <c r="AB185" s="16"/>
      <c r="AC185" s="16"/>
      <c r="AD185" s="16"/>
      <c r="AE185" s="16"/>
      <c r="AF185" s="16"/>
      <c r="AG185" s="16"/>
      <c r="AH185" s="16"/>
      <c r="AI185" s="16"/>
      <c r="AJ185" s="16"/>
      <c r="AK185" s="16"/>
    </row>
    <row r="186" spans="1:37" ht="12" customHeight="1" x14ac:dyDescent="0.2">
      <c r="A186" s="622"/>
      <c r="B186" s="668"/>
      <c r="C186" s="109"/>
      <c r="D186" s="109"/>
      <c r="E186" s="109"/>
      <c r="F186" s="109"/>
      <c r="G186" s="109"/>
      <c r="H186" s="109"/>
      <c r="I186" s="109"/>
      <c r="J186" s="1199"/>
      <c r="K186" s="1199"/>
      <c r="L186" s="1199"/>
      <c r="M186" s="1199"/>
      <c r="N186" s="1199"/>
      <c r="O186" s="1199"/>
      <c r="P186" s="1199"/>
      <c r="Q186" s="1199"/>
      <c r="R186" s="1199"/>
      <c r="S186" s="1199"/>
      <c r="T186" s="1199"/>
      <c r="U186" s="1199"/>
      <c r="V186" s="112"/>
      <c r="W186" s="1299"/>
      <c r="X186" s="1147"/>
      <c r="Y186" s="16"/>
      <c r="Z186" s="16"/>
      <c r="AA186" s="16"/>
      <c r="AB186" s="16"/>
      <c r="AC186" s="16"/>
      <c r="AD186" s="16"/>
      <c r="AE186" s="16"/>
      <c r="AF186" s="16"/>
      <c r="AG186" s="16"/>
      <c r="AH186" s="16"/>
      <c r="AI186" s="16"/>
      <c r="AJ186" s="16"/>
      <c r="AK186" s="16"/>
    </row>
    <row r="187" spans="1:37" ht="10.5" customHeight="1" x14ac:dyDescent="0.2">
      <c r="A187" s="622"/>
      <c r="B187" s="1223" t="str">
        <f>B$41</f>
        <v>Income excluding capital grants and contributions</v>
      </c>
      <c r="C187" s="109"/>
      <c r="D187" s="491" t="s">
        <v>116</v>
      </c>
      <c r="E187" s="109"/>
      <c r="F187" s="109"/>
      <c r="G187" s="109"/>
      <c r="H187" s="109"/>
      <c r="I187" s="109"/>
      <c r="J187" s="1285">
        <f t="shared" ref="J187:T187" si="39">J185-J178</f>
        <v>129616673.24000001</v>
      </c>
      <c r="K187" s="1285">
        <f t="shared" si="39"/>
        <v>133222708.30000001</v>
      </c>
      <c r="L187" s="1285">
        <f t="shared" si="39"/>
        <v>136740095.44</v>
      </c>
      <c r="M187" s="1285">
        <f t="shared" si="39"/>
        <v>140552193.75999999</v>
      </c>
      <c r="N187" s="1285">
        <f t="shared" si="39"/>
        <v>143491186.09999999</v>
      </c>
      <c r="O187" s="1285">
        <f t="shared" si="39"/>
        <v>148905218.06</v>
      </c>
      <c r="P187" s="1285">
        <f t="shared" si="39"/>
        <v>153131259.12</v>
      </c>
      <c r="Q187" s="1285">
        <f t="shared" si="39"/>
        <v>157641626.56</v>
      </c>
      <c r="R187" s="1285">
        <f t="shared" si="39"/>
        <v>162299919.19</v>
      </c>
      <c r="S187" s="1285">
        <f t="shared" si="39"/>
        <v>167106538.96999997</v>
      </c>
      <c r="T187" s="1285">
        <f t="shared" si="39"/>
        <v>172029708.49080002</v>
      </c>
      <c r="U187" s="1285">
        <f>SUM(K187:T187)</f>
        <v>1515120453.9908004</v>
      </c>
      <c r="V187" s="112"/>
      <c r="W187" s="1299">
        <f>T187-J187</f>
        <v>42413035.250800014</v>
      </c>
      <c r="X187" s="1147">
        <f>IF(J187=0,0,(W187/J187))</f>
        <v>0.32721897723966004</v>
      </c>
      <c r="Y187" s="16"/>
      <c r="Z187" s="16"/>
      <c r="AA187" s="16"/>
      <c r="AB187" s="16"/>
      <c r="AC187" s="16"/>
      <c r="AD187" s="16"/>
      <c r="AE187" s="16"/>
      <c r="AF187" s="16"/>
      <c r="AG187" s="16"/>
      <c r="AH187" s="16"/>
      <c r="AI187" s="16"/>
      <c r="AJ187" s="16"/>
      <c r="AK187" s="16"/>
    </row>
    <row r="188" spans="1:37" ht="10.5" customHeight="1" x14ac:dyDescent="0.2">
      <c r="A188" s="622"/>
      <c r="B188" s="668"/>
      <c r="C188" s="109"/>
      <c r="D188" s="109"/>
      <c r="E188" s="109"/>
      <c r="F188" s="109"/>
      <c r="G188" s="109"/>
      <c r="H188" s="109"/>
      <c r="I188" s="109"/>
      <c r="J188" s="1199"/>
      <c r="K188" s="1199"/>
      <c r="L188" s="1199"/>
      <c r="M188" s="1199"/>
      <c r="N188" s="1199"/>
      <c r="O188" s="1199"/>
      <c r="P188" s="1199"/>
      <c r="Q188" s="1199"/>
      <c r="R188" s="1199"/>
      <c r="S188" s="1199"/>
      <c r="T188" s="1199"/>
      <c r="U188" s="1199"/>
      <c r="V188" s="112"/>
      <c r="W188" s="1299"/>
      <c r="X188" s="1147"/>
      <c r="Y188" s="16"/>
      <c r="Z188" s="16"/>
      <c r="AA188" s="16"/>
      <c r="AB188" s="16"/>
      <c r="AC188" s="16"/>
      <c r="AD188" s="16"/>
      <c r="AE188" s="16"/>
      <c r="AF188" s="16"/>
      <c r="AG188" s="16"/>
      <c r="AH188" s="16"/>
      <c r="AI188" s="16"/>
      <c r="AJ188" s="16"/>
      <c r="AK188" s="16"/>
    </row>
    <row r="189" spans="1:37" ht="24" x14ac:dyDescent="0.2">
      <c r="A189" s="622"/>
      <c r="B189" s="1325" t="str">
        <f>B$43</f>
        <v>Income excluding capital grants and contributions, net gains from asset disposals, profit on joint ventures and fair value gains</v>
      </c>
      <c r="C189" s="109"/>
      <c r="D189" s="491" t="s">
        <v>116</v>
      </c>
      <c r="E189" s="109"/>
      <c r="F189" s="109"/>
      <c r="G189" s="109"/>
      <c r="H189" s="109"/>
      <c r="I189" s="109"/>
      <c r="J189" s="1285">
        <f t="shared" ref="J189:T189" si="40">J185-J178-SUM(J181:J183)</f>
        <v>128446673.24000001</v>
      </c>
      <c r="K189" s="1285">
        <f t="shared" si="40"/>
        <v>132052708.30000001</v>
      </c>
      <c r="L189" s="1285">
        <f t="shared" si="40"/>
        <v>135570095.44</v>
      </c>
      <c r="M189" s="1285">
        <f t="shared" si="40"/>
        <v>139382193.75999999</v>
      </c>
      <c r="N189" s="1285">
        <f t="shared" si="40"/>
        <v>142321186.09999999</v>
      </c>
      <c r="O189" s="1285">
        <f t="shared" si="40"/>
        <v>147735218.06</v>
      </c>
      <c r="P189" s="1285">
        <f t="shared" si="40"/>
        <v>151961259.12</v>
      </c>
      <c r="Q189" s="1285">
        <f t="shared" si="40"/>
        <v>156471626.56</v>
      </c>
      <c r="R189" s="1285">
        <f t="shared" si="40"/>
        <v>161129919.19</v>
      </c>
      <c r="S189" s="1285">
        <f t="shared" si="40"/>
        <v>165936538.96999997</v>
      </c>
      <c r="T189" s="1285">
        <f t="shared" si="40"/>
        <v>170859708.49080002</v>
      </c>
      <c r="U189" s="1199">
        <f>SUM(K189:T189)</f>
        <v>1503420453.9908004</v>
      </c>
      <c r="V189" s="112"/>
      <c r="W189" s="1299">
        <f>T189-J189</f>
        <v>42413035.250800014</v>
      </c>
      <c r="X189" s="1147">
        <f>IF(J189=0,0,(W189/J189))</f>
        <v>0.33019956205134343</v>
      </c>
      <c r="Y189" s="16"/>
      <c r="Z189" s="16"/>
      <c r="AA189" s="16"/>
      <c r="AB189" s="16"/>
      <c r="AC189" s="16"/>
      <c r="AD189" s="16"/>
      <c r="AE189" s="16"/>
      <c r="AF189" s="16"/>
      <c r="AG189" s="16"/>
      <c r="AH189" s="16"/>
      <c r="AI189" s="16"/>
      <c r="AJ189" s="16"/>
      <c r="AK189" s="16"/>
    </row>
    <row r="190" spans="1:37" ht="11.65" customHeight="1" x14ac:dyDescent="0.2">
      <c r="A190" s="622"/>
      <c r="B190" s="581"/>
      <c r="C190" s="1"/>
      <c r="D190" s="1"/>
      <c r="E190" s="1"/>
      <c r="F190" s="1"/>
      <c r="G190" s="1"/>
      <c r="H190" s="1"/>
      <c r="I190" s="1"/>
      <c r="J190" s="1283"/>
      <c r="K190" s="1283"/>
      <c r="L190" s="1283"/>
      <c r="M190" s="1283"/>
      <c r="N190" s="1283"/>
      <c r="O190" s="1283"/>
      <c r="P190" s="1283"/>
      <c r="Q190" s="1283"/>
      <c r="R190" s="1283"/>
      <c r="S190" s="1283"/>
      <c r="T190" s="1283"/>
      <c r="U190" s="1283"/>
      <c r="V190" s="151"/>
      <c r="W190" s="1298"/>
      <c r="X190" s="1261"/>
      <c r="Y190" s="16"/>
      <c r="Z190" s="16"/>
      <c r="AA190" s="16"/>
      <c r="AB190" s="16"/>
      <c r="AC190" s="16"/>
      <c r="AD190" s="16"/>
      <c r="AE190" s="16"/>
      <c r="AF190" s="16"/>
      <c r="AG190" s="16"/>
      <c r="AH190" s="16"/>
      <c r="AI190" s="16"/>
      <c r="AJ190" s="16"/>
      <c r="AK190" s="16"/>
    </row>
    <row r="191" spans="1:37" customFormat="1" ht="11.65" customHeight="1" x14ac:dyDescent="0.2">
      <c r="A191" s="620"/>
      <c r="B191" s="1324" t="str">
        <f>B$45</f>
        <v>Expenses from continuing operations</v>
      </c>
      <c r="C191" s="265"/>
      <c r="D191" s="265"/>
      <c r="E191" s="265"/>
      <c r="F191" s="265"/>
      <c r="G191" s="265"/>
      <c r="H191" s="265"/>
      <c r="I191" s="265"/>
      <c r="J191" s="1288"/>
      <c r="K191" s="1293"/>
      <c r="L191" s="1289"/>
      <c r="M191" s="1290"/>
      <c r="N191" s="1289"/>
      <c r="O191" s="1289"/>
      <c r="P191" s="1289"/>
      <c r="Q191" s="1289"/>
      <c r="R191" s="1289"/>
      <c r="S191" s="1289"/>
      <c r="T191" s="1289"/>
      <c r="U191" s="1289"/>
      <c r="V191" s="18"/>
      <c r="W191" s="1301"/>
      <c r="X191" s="1166"/>
      <c r="Y191" s="3"/>
      <c r="Z191" s="16"/>
      <c r="AA191" s="3"/>
      <c r="AB191" s="3"/>
      <c r="AC191" s="3"/>
      <c r="AD191" s="3"/>
      <c r="AE191" s="3"/>
      <c r="AF191" s="3"/>
      <c r="AG191" s="3"/>
      <c r="AH191" s="3"/>
      <c r="AI191" s="3"/>
      <c r="AJ191" s="3"/>
      <c r="AK191" s="3"/>
    </row>
    <row r="192" spans="1:37" ht="11.65" customHeight="1" x14ac:dyDescent="0.2">
      <c r="A192" s="622"/>
      <c r="B192" s="581"/>
      <c r="C192" s="1"/>
      <c r="D192" s="1"/>
      <c r="E192" s="1"/>
      <c r="F192" s="1"/>
      <c r="G192" s="1"/>
      <c r="H192" s="1"/>
      <c r="I192" s="1"/>
      <c r="J192" s="1283"/>
      <c r="K192" s="1283"/>
      <c r="L192" s="1283"/>
      <c r="M192" s="1283"/>
      <c r="N192" s="1283"/>
      <c r="O192" s="1283"/>
      <c r="P192" s="1283"/>
      <c r="Q192" s="1283"/>
      <c r="R192" s="1283"/>
      <c r="S192" s="1283"/>
      <c r="T192" s="1283"/>
      <c r="U192" s="1283"/>
      <c r="V192" s="151"/>
      <c r="W192" s="1298"/>
      <c r="X192" s="1261"/>
      <c r="Y192" s="16"/>
      <c r="Z192" s="16"/>
      <c r="AA192" s="16"/>
      <c r="AB192" s="16"/>
      <c r="AC192" s="16"/>
      <c r="AD192" s="16"/>
      <c r="AE192" s="16"/>
      <c r="AF192" s="16"/>
      <c r="AG192" s="16"/>
      <c r="AH192" s="16"/>
      <c r="AI192" s="16"/>
      <c r="AJ192" s="16"/>
      <c r="AK192" s="16"/>
    </row>
    <row r="193" spans="1:37" ht="11.65" customHeight="1" x14ac:dyDescent="0.2">
      <c r="A193" s="622"/>
      <c r="B193" s="721" t="str">
        <f>B$47</f>
        <v>Employee Benefits &amp; On-costs</v>
      </c>
      <c r="C193" s="109"/>
      <c r="D193" s="491" t="s">
        <v>116</v>
      </c>
      <c r="E193" s="109"/>
      <c r="F193" s="109"/>
      <c r="G193" s="109"/>
      <c r="H193" s="109"/>
      <c r="I193" s="109"/>
      <c r="J193" s="1284">
        <v>50452992.289999984</v>
      </c>
      <c r="K193" s="1284">
        <v>51625608.040000007</v>
      </c>
      <c r="L193" s="1284">
        <v>53432504.310000025</v>
      </c>
      <c r="M193" s="1284">
        <v>53869952.33000005</v>
      </c>
      <c r="N193" s="1284">
        <v>55486050.899999991</v>
      </c>
      <c r="O193" s="1284">
        <v>57150632.579999976</v>
      </c>
      <c r="P193" s="1284">
        <v>58865151.610000007</v>
      </c>
      <c r="Q193" s="1284">
        <v>60631106.07</v>
      </c>
      <c r="R193" s="1284">
        <v>62450039.390000038</v>
      </c>
      <c r="S193" s="1284">
        <v>64323540.500000022</v>
      </c>
      <c r="T193" s="1638">
        <f>S193*1.03</f>
        <v>66253246.715000026</v>
      </c>
      <c r="U193" s="1199">
        <f t="shared" ref="U193:U198" si="41">SUM(K193:T193)</f>
        <v>584087832.44500005</v>
      </c>
      <c r="V193" s="112"/>
      <c r="W193" s="1299">
        <f t="shared" ref="W193:W198" si="42">T193-J193</f>
        <v>15800254.425000042</v>
      </c>
      <c r="X193" s="1147">
        <f t="shared" ref="X193:X198" si="43">IF(J193=0,0,(W193/J193))</f>
        <v>0.31316783619455857</v>
      </c>
      <c r="Y193" s="16"/>
      <c r="Z193" s="16"/>
      <c r="AA193" s="16"/>
      <c r="AB193" s="16"/>
      <c r="AC193" s="16"/>
      <c r="AD193" s="16"/>
      <c r="AE193" s="16"/>
      <c r="AF193" s="16"/>
      <c r="AG193" s="16"/>
      <c r="AH193" s="16"/>
      <c r="AI193" s="16"/>
      <c r="AJ193" s="16"/>
      <c r="AK193" s="16"/>
    </row>
    <row r="194" spans="1:37" ht="11.65" customHeight="1" x14ac:dyDescent="0.2">
      <c r="A194" s="622"/>
      <c r="B194" s="721" t="str">
        <f>B$48</f>
        <v>Borrowing Costs (i.e. interest costs)</v>
      </c>
      <c r="C194" s="109"/>
      <c r="D194" s="491" t="s">
        <v>116</v>
      </c>
      <c r="E194" s="109"/>
      <c r="F194" s="109"/>
      <c r="G194" s="109"/>
      <c r="H194" s="109"/>
      <c r="I194" s="109"/>
      <c r="J194" s="1284">
        <v>2307990</v>
      </c>
      <c r="K194" s="1284">
        <v>2305910</v>
      </c>
      <c r="L194" s="1284">
        <v>2295255</v>
      </c>
      <c r="M194" s="1284">
        <v>2292312</v>
      </c>
      <c r="N194" s="1284">
        <v>2294536</v>
      </c>
      <c r="O194" s="1284">
        <v>2295270</v>
      </c>
      <c r="P194" s="1284">
        <v>2295427</v>
      </c>
      <c r="Q194" s="1284">
        <v>2301188</v>
      </c>
      <c r="R194" s="1284">
        <v>2333522</v>
      </c>
      <c r="S194" s="1284">
        <v>2368718</v>
      </c>
      <c r="T194" s="1638">
        <f>S194*1.01</f>
        <v>2392405.1800000002</v>
      </c>
      <c r="U194" s="1199">
        <f t="shared" si="41"/>
        <v>23174543.18</v>
      </c>
      <c r="V194" s="112"/>
      <c r="W194" s="1299">
        <f t="shared" si="42"/>
        <v>84415.180000000168</v>
      </c>
      <c r="X194" s="1147">
        <f t="shared" si="43"/>
        <v>3.6575193133419198E-2</v>
      </c>
      <c r="Y194" s="16"/>
      <c r="Z194" s="16"/>
      <c r="AA194" s="16"/>
      <c r="AB194" s="16"/>
      <c r="AC194" s="16"/>
      <c r="AD194" s="16"/>
      <c r="AE194" s="16"/>
      <c r="AF194" s="16"/>
      <c r="AG194" s="16"/>
      <c r="AH194" s="16"/>
      <c r="AI194" s="16"/>
      <c r="AJ194" s="16"/>
      <c r="AK194" s="16"/>
    </row>
    <row r="195" spans="1:37" ht="11.65" customHeight="1" x14ac:dyDescent="0.2">
      <c r="A195" s="622"/>
      <c r="B195" s="721" t="str">
        <f>B$49</f>
        <v>Materials &amp; Contracts</v>
      </c>
      <c r="C195" s="109"/>
      <c r="D195" s="491" t="s">
        <v>116</v>
      </c>
      <c r="E195" s="109"/>
      <c r="F195" s="109"/>
      <c r="G195" s="109"/>
      <c r="H195" s="109"/>
      <c r="I195" s="109"/>
      <c r="J195" s="1284">
        <v>54857896.200000003</v>
      </c>
      <c r="K195" s="1284">
        <v>54703378.458965674</v>
      </c>
      <c r="L195" s="1284">
        <v>54250499.062635519</v>
      </c>
      <c r="M195" s="1284">
        <v>56164885.471219532</v>
      </c>
      <c r="N195" s="1284">
        <v>57870335.734667659</v>
      </c>
      <c r="O195" s="1284">
        <v>61398784.777297944</v>
      </c>
      <c r="P195" s="1284">
        <v>62677916.613017648</v>
      </c>
      <c r="Q195" s="1284">
        <v>64276163.08704716</v>
      </c>
      <c r="R195" s="1284">
        <v>66143606.282632023</v>
      </c>
      <c r="S195" s="1284">
        <v>68650785.96794425</v>
      </c>
      <c r="T195" s="1638">
        <f>S195*1.03</f>
        <v>70710309.546982571</v>
      </c>
      <c r="U195" s="1199">
        <f t="shared" si="41"/>
        <v>616846665.00241005</v>
      </c>
      <c r="V195" s="112"/>
      <c r="W195" s="1299">
        <f t="shared" si="42"/>
        <v>15852413.346982569</v>
      </c>
      <c r="X195" s="1147">
        <f t="shared" si="43"/>
        <v>0.28897231656839528</v>
      </c>
      <c r="Y195" s="16"/>
      <c r="Z195" s="16"/>
      <c r="AA195" s="16"/>
      <c r="AB195" s="16"/>
      <c r="AC195" s="16"/>
      <c r="AD195" s="16"/>
      <c r="AE195" s="16"/>
      <c r="AF195" s="16"/>
      <c r="AG195" s="16"/>
      <c r="AH195" s="16"/>
      <c r="AI195" s="16"/>
      <c r="AJ195" s="16"/>
      <c r="AK195" s="16"/>
    </row>
    <row r="196" spans="1:37" ht="11.65" customHeight="1" x14ac:dyDescent="0.2">
      <c r="A196" s="622"/>
      <c r="B196" s="721" t="str">
        <f>B$50</f>
        <v>Depreciation &amp; Amortisation</v>
      </c>
      <c r="C196" s="109"/>
      <c r="D196" s="491" t="s">
        <v>116</v>
      </c>
      <c r="E196" s="109"/>
      <c r="F196" s="109"/>
      <c r="G196" s="109"/>
      <c r="H196" s="109"/>
      <c r="I196" s="109"/>
      <c r="J196" s="1284">
        <v>21565110</v>
      </c>
      <c r="K196" s="1284">
        <v>22386676.200000003</v>
      </c>
      <c r="L196" s="1284">
        <v>22948417.105006032</v>
      </c>
      <c r="M196" s="1284">
        <v>23496790.533408824</v>
      </c>
      <c r="N196" s="1284">
        <v>24461901.801088896</v>
      </c>
      <c r="O196" s="1284">
        <v>24956795.200431067</v>
      </c>
      <c r="P196" s="1284">
        <v>25461361.104531229</v>
      </c>
      <c r="Q196" s="1284">
        <v>25975801.503253952</v>
      </c>
      <c r="R196" s="1284">
        <v>26500314.199418083</v>
      </c>
      <c r="S196" s="1284">
        <v>27035100.81562205</v>
      </c>
      <c r="T196" s="1638">
        <f>S196*1.02</f>
        <v>27575802.831934493</v>
      </c>
      <c r="U196" s="1199">
        <f t="shared" si="41"/>
        <v>250798961.2946946</v>
      </c>
      <c r="V196" s="112"/>
      <c r="W196" s="1299">
        <f t="shared" si="42"/>
        <v>6010692.831934493</v>
      </c>
      <c r="X196" s="1147">
        <f t="shared" si="43"/>
        <v>0.27872303141205834</v>
      </c>
      <c r="Y196" s="16"/>
      <c r="Z196" s="16"/>
      <c r="AA196" s="16"/>
      <c r="AB196" s="16"/>
      <c r="AC196" s="16"/>
      <c r="AD196" s="16"/>
      <c r="AE196" s="16"/>
      <c r="AF196" s="16"/>
      <c r="AG196" s="16"/>
      <c r="AH196" s="16"/>
      <c r="AI196" s="16"/>
      <c r="AJ196" s="16"/>
      <c r="AK196" s="16"/>
    </row>
    <row r="197" spans="1:37" ht="11.65" customHeight="1" x14ac:dyDescent="0.2">
      <c r="A197" s="622"/>
      <c r="B197" s="721" t="str">
        <f>B$51</f>
        <v>Other Expenses</v>
      </c>
      <c r="C197" s="109"/>
      <c r="D197" s="491" t="s">
        <v>116</v>
      </c>
      <c r="E197" s="109"/>
      <c r="F197" s="109"/>
      <c r="G197" s="109"/>
      <c r="H197" s="109"/>
      <c r="I197" s="109"/>
      <c r="J197" s="1284">
        <v>3538986</v>
      </c>
      <c r="K197" s="1284">
        <v>3533475.5100000002</v>
      </c>
      <c r="L197" s="1284">
        <v>3639479.79</v>
      </c>
      <c r="M197" s="1284">
        <v>3748664.18</v>
      </c>
      <c r="N197" s="1284">
        <v>3861124.1</v>
      </c>
      <c r="O197" s="1284">
        <v>3976957.8200000003</v>
      </c>
      <c r="P197" s="1284">
        <v>4096266.55</v>
      </c>
      <c r="Q197" s="1284">
        <v>4219154.5600000005</v>
      </c>
      <c r="R197" s="1284">
        <v>4345729.21</v>
      </c>
      <c r="S197" s="1284">
        <v>4476101.08</v>
      </c>
      <c r="T197" s="1638">
        <v>4661884.1124</v>
      </c>
      <c r="U197" s="1199">
        <f t="shared" si="41"/>
        <v>40558836.9124</v>
      </c>
      <c r="V197" s="112"/>
      <c r="W197" s="1299">
        <f t="shared" si="42"/>
        <v>1122898.1124</v>
      </c>
      <c r="X197" s="1147">
        <f t="shared" si="43"/>
        <v>0.3172937424448698</v>
      </c>
      <c r="Y197" s="16"/>
      <c r="Z197" s="16"/>
      <c r="AA197" s="16"/>
      <c r="AB197" s="16"/>
      <c r="AC197" s="16"/>
      <c r="AD197" s="16"/>
      <c r="AE197" s="16"/>
      <c r="AF197" s="16"/>
      <c r="AG197" s="16"/>
      <c r="AH197" s="16"/>
      <c r="AI197" s="16"/>
      <c r="AJ197" s="16"/>
      <c r="AK197" s="16"/>
    </row>
    <row r="198" spans="1:37" ht="11.65" customHeight="1" x14ac:dyDescent="0.2">
      <c r="A198" s="622"/>
      <c r="B198" s="1472" t="s">
        <v>804</v>
      </c>
      <c r="C198" s="109"/>
      <c r="D198" s="491" t="s">
        <v>116</v>
      </c>
      <c r="E198" s="109"/>
      <c r="F198" s="109"/>
      <c r="G198" s="109"/>
      <c r="H198" s="109"/>
      <c r="I198" s="109"/>
      <c r="J198" s="1284"/>
      <c r="K198" s="1284"/>
      <c r="L198" s="1284"/>
      <c r="M198" s="1284"/>
      <c r="N198" s="1284"/>
      <c r="O198" s="1284"/>
      <c r="P198" s="1284"/>
      <c r="Q198" s="1284"/>
      <c r="R198" s="1284"/>
      <c r="S198" s="1284"/>
      <c r="T198" s="1284"/>
      <c r="U198" s="1199">
        <f t="shared" si="41"/>
        <v>0</v>
      </c>
      <c r="V198" s="112"/>
      <c r="W198" s="1299">
        <f t="shared" si="42"/>
        <v>0</v>
      </c>
      <c r="X198" s="1147">
        <f t="shared" si="43"/>
        <v>0</v>
      </c>
      <c r="Y198" s="16"/>
      <c r="Z198" s="16"/>
      <c r="AA198" s="16"/>
      <c r="AB198" s="16"/>
      <c r="AC198" s="16"/>
      <c r="AD198" s="16"/>
      <c r="AE198" s="16"/>
      <c r="AF198" s="16"/>
      <c r="AG198" s="16"/>
      <c r="AH198" s="16"/>
      <c r="AI198" s="16"/>
      <c r="AJ198" s="16"/>
      <c r="AK198" s="16"/>
    </row>
    <row r="199" spans="1:37" ht="11.65" customHeight="1" x14ac:dyDescent="0.2">
      <c r="A199" s="622"/>
      <c r="B199" s="1326" t="str">
        <f>B$53</f>
        <v>Other Expenses (items excluded from ratio analyis)</v>
      </c>
      <c r="C199" s="109"/>
      <c r="D199" s="491" t="s">
        <v>116</v>
      </c>
      <c r="E199" s="109"/>
      <c r="F199" s="109"/>
      <c r="G199" s="109"/>
      <c r="H199" s="109"/>
      <c r="I199" s="109"/>
      <c r="J199" s="1197"/>
      <c r="K199" s="1197"/>
      <c r="L199" s="1197"/>
      <c r="M199" s="1283"/>
      <c r="N199" s="1197"/>
      <c r="O199" s="1197"/>
      <c r="P199" s="1197"/>
      <c r="Q199" s="1197"/>
      <c r="R199" s="1197"/>
      <c r="S199" s="1197"/>
      <c r="T199" s="1197"/>
      <c r="U199" s="1199"/>
      <c r="V199" s="112"/>
      <c r="W199" s="1299"/>
      <c r="X199" s="1147"/>
      <c r="Y199" s="16"/>
      <c r="Z199" s="16"/>
      <c r="AA199" s="16"/>
      <c r="AB199" s="16"/>
      <c r="AC199" s="16"/>
      <c r="AD199" s="16"/>
      <c r="AE199" s="16"/>
      <c r="AF199" s="16"/>
      <c r="AG199" s="16"/>
      <c r="AH199" s="16"/>
      <c r="AI199" s="16"/>
      <c r="AJ199" s="16"/>
      <c r="AK199" s="16"/>
    </row>
    <row r="200" spans="1:37" ht="11.65" customHeight="1" x14ac:dyDescent="0.2">
      <c r="A200" s="622"/>
      <c r="B200" s="1263" t="str">
        <f>B$54</f>
        <v>Net loss on joint ventures</v>
      </c>
      <c r="C200" s="109"/>
      <c r="D200" s="491" t="s">
        <v>116</v>
      </c>
      <c r="E200" s="109"/>
      <c r="F200" s="109"/>
      <c r="G200" s="109"/>
      <c r="H200" s="109"/>
      <c r="I200" s="109"/>
      <c r="J200" s="1284"/>
      <c r="K200" s="1284"/>
      <c r="L200" s="1284"/>
      <c r="M200" s="1284"/>
      <c r="N200" s="1284"/>
      <c r="O200" s="1284"/>
      <c r="P200" s="1284"/>
      <c r="Q200" s="1284"/>
      <c r="R200" s="1284"/>
      <c r="S200" s="1284"/>
      <c r="T200" s="1284"/>
      <c r="U200" s="1199">
        <f>SUM(K200:T200)</f>
        <v>0</v>
      </c>
      <c r="V200" s="112"/>
      <c r="W200" s="1299">
        <f>T200-J200</f>
        <v>0</v>
      </c>
      <c r="X200" s="1147">
        <f>IF(J200=0,0,(W200/J200))</f>
        <v>0</v>
      </c>
      <c r="Y200" s="16"/>
      <c r="Z200" s="16"/>
      <c r="AA200" s="16"/>
      <c r="AB200" s="16"/>
      <c r="AC200" s="16"/>
      <c r="AD200" s="16"/>
      <c r="AE200" s="16"/>
      <c r="AF200" s="16"/>
      <c r="AG200" s="16"/>
      <c r="AH200" s="16"/>
      <c r="AI200" s="16"/>
      <c r="AJ200" s="16"/>
      <c r="AK200" s="16"/>
    </row>
    <row r="201" spans="1:37" ht="11.65" customHeight="1" x14ac:dyDescent="0.2">
      <c r="A201" s="622"/>
      <c r="B201" s="1263" t="str">
        <f>B$55</f>
        <v>Fair value losses</v>
      </c>
      <c r="C201" s="109"/>
      <c r="D201" s="491" t="s">
        <v>116</v>
      </c>
      <c r="E201" s="109"/>
      <c r="F201" s="109"/>
      <c r="G201" s="109"/>
      <c r="H201" s="109"/>
      <c r="I201" s="109"/>
      <c r="J201" s="1284">
        <v>50000</v>
      </c>
      <c r="K201" s="1284">
        <v>50000</v>
      </c>
      <c r="L201" s="1284">
        <v>50000</v>
      </c>
      <c r="M201" s="1284">
        <v>50000</v>
      </c>
      <c r="N201" s="1284">
        <v>50000</v>
      </c>
      <c r="O201" s="1284">
        <v>50000</v>
      </c>
      <c r="P201" s="1284">
        <v>50000</v>
      </c>
      <c r="Q201" s="1284">
        <v>50000</v>
      </c>
      <c r="R201" s="1284">
        <v>50000</v>
      </c>
      <c r="S201" s="1284">
        <v>50000</v>
      </c>
      <c r="T201" s="1639">
        <v>50000</v>
      </c>
      <c r="U201" s="1199">
        <f>SUM(K201:T201)</f>
        <v>500000</v>
      </c>
      <c r="V201" s="112"/>
      <c r="W201" s="1299">
        <f>T201-J201</f>
        <v>0</v>
      </c>
      <c r="X201" s="1147">
        <f>IF(J201=0,0,(W201/J201))</f>
        <v>0</v>
      </c>
      <c r="Y201" s="16"/>
      <c r="Z201" s="16"/>
      <c r="AA201" s="16"/>
      <c r="AB201" s="16"/>
      <c r="AC201" s="16"/>
      <c r="AD201" s="16"/>
      <c r="AE201" s="16"/>
      <c r="AF201" s="16"/>
      <c r="AG201" s="16"/>
      <c r="AH201" s="16"/>
      <c r="AI201" s="16"/>
      <c r="AJ201" s="16"/>
      <c r="AK201" s="16"/>
    </row>
    <row r="202" spans="1:37" ht="11.65" customHeight="1" x14ac:dyDescent="0.2">
      <c r="A202" s="622"/>
      <c r="B202" s="721" t="str">
        <f>B$56</f>
        <v>Net loss from disposal of assets</v>
      </c>
      <c r="C202" s="109"/>
      <c r="D202" s="491" t="s">
        <v>116</v>
      </c>
      <c r="E202" s="109"/>
      <c r="F202" s="109"/>
      <c r="G202" s="109"/>
      <c r="H202" s="109"/>
      <c r="I202" s="109"/>
      <c r="J202" s="1334"/>
      <c r="K202" s="1334"/>
      <c r="L202" s="1334"/>
      <c r="M202" s="1334"/>
      <c r="N202" s="1334"/>
      <c r="O202" s="1334"/>
      <c r="P202" s="1334"/>
      <c r="Q202" s="1334"/>
      <c r="R202" s="1334"/>
      <c r="S202" s="1334"/>
      <c r="T202" s="1334"/>
      <c r="U202" s="1199">
        <f>SUM(K202:T202)</f>
        <v>0</v>
      </c>
      <c r="V202" s="112"/>
      <c r="W202" s="1299">
        <f>T202-J202</f>
        <v>0</v>
      </c>
      <c r="X202" s="1147">
        <f>IF(J202=0,0,(W202/J202))</f>
        <v>0</v>
      </c>
      <c r="Y202" s="16"/>
      <c r="Z202" s="16"/>
      <c r="AA202" s="16"/>
      <c r="AB202" s="16"/>
      <c r="AC202" s="16"/>
      <c r="AD202" s="16"/>
      <c r="AE202" s="16"/>
      <c r="AF202" s="16"/>
      <c r="AG202" s="16"/>
      <c r="AH202" s="16"/>
      <c r="AI202" s="16"/>
      <c r="AJ202" s="16"/>
      <c r="AK202" s="16"/>
    </row>
    <row r="203" spans="1:37" ht="11.65" customHeight="1" x14ac:dyDescent="0.2">
      <c r="A203" s="622"/>
      <c r="B203" s="1263"/>
      <c r="C203" s="1"/>
      <c r="D203" s="491"/>
      <c r="E203" s="1"/>
      <c r="F203" s="1"/>
      <c r="G203" s="1"/>
      <c r="H203" s="1"/>
      <c r="I203" s="1"/>
      <c r="J203" s="1283"/>
      <c r="K203" s="1283"/>
      <c r="L203" s="1283"/>
      <c r="M203" s="1283"/>
      <c r="N203" s="1283"/>
      <c r="O203" s="1283"/>
      <c r="P203" s="1283"/>
      <c r="Q203" s="1283"/>
      <c r="R203" s="1283"/>
      <c r="S203" s="1283"/>
      <c r="T203" s="1283"/>
      <c r="U203" s="1283"/>
      <c r="V203" s="151"/>
      <c r="W203" s="1298"/>
      <c r="X203" s="1261"/>
      <c r="Y203" s="16"/>
      <c r="Z203" s="16"/>
      <c r="AA203" s="16"/>
      <c r="AB203" s="16"/>
      <c r="AC203" s="16"/>
      <c r="AD203" s="16"/>
      <c r="AE203" s="16"/>
      <c r="AF203" s="16"/>
      <c r="AG203" s="16"/>
      <c r="AH203" s="16"/>
      <c r="AI203" s="16"/>
      <c r="AJ203" s="16"/>
      <c r="AK203" s="16"/>
    </row>
    <row r="204" spans="1:37" ht="11.65" customHeight="1" x14ac:dyDescent="0.2">
      <c r="A204" s="622"/>
      <c r="B204" s="1223" t="str">
        <f>B$58</f>
        <v>Total expenses continuing operations</v>
      </c>
      <c r="C204" s="109"/>
      <c r="D204" s="491"/>
      <c r="E204" s="109"/>
      <c r="F204" s="109"/>
      <c r="G204" s="109"/>
      <c r="H204" s="109"/>
      <c r="I204" s="109"/>
      <c r="J204" s="1292">
        <f>SUM(J193:J198,J200:J202)</f>
        <v>132772974.48999998</v>
      </c>
      <c r="K204" s="1292">
        <f t="shared" ref="K204:W204" si="44">SUM(K193:K198,K200:K202)</f>
        <v>134605048.20896569</v>
      </c>
      <c r="L204" s="1292">
        <f t="shared" si="44"/>
        <v>136616155.26764157</v>
      </c>
      <c r="M204" s="1292">
        <f t="shared" si="44"/>
        <v>139622604.51462841</v>
      </c>
      <c r="N204" s="1292">
        <f t="shared" si="44"/>
        <v>144023948.53575653</v>
      </c>
      <c r="O204" s="1292">
        <f t="shared" si="44"/>
        <v>149828440.377729</v>
      </c>
      <c r="P204" s="1292">
        <f t="shared" si="44"/>
        <v>153446122.8775489</v>
      </c>
      <c r="Q204" s="1292">
        <f t="shared" si="44"/>
        <v>157453413.22030109</v>
      </c>
      <c r="R204" s="1292">
        <f t="shared" si="44"/>
        <v>161823211.08205017</v>
      </c>
      <c r="S204" s="1292">
        <f t="shared" si="44"/>
        <v>166904246.36356634</v>
      </c>
      <c r="T204" s="1292">
        <f t="shared" si="44"/>
        <v>171643648.38631707</v>
      </c>
      <c r="U204" s="1292">
        <f t="shared" si="44"/>
        <v>1515966838.8345046</v>
      </c>
      <c r="V204" s="118">
        <f t="shared" si="44"/>
        <v>0</v>
      </c>
      <c r="W204" s="1300">
        <f t="shared" si="44"/>
        <v>38870673.896317102</v>
      </c>
      <c r="X204" s="1264">
        <f>IF(J204=0,0,(W204/J204))</f>
        <v>0.2927604359669197</v>
      </c>
      <c r="Y204" s="16"/>
      <c r="Z204" s="16"/>
      <c r="AA204" s="16"/>
      <c r="AB204" s="16"/>
      <c r="AC204" s="16"/>
      <c r="AD204" s="16"/>
      <c r="AE204" s="16"/>
      <c r="AF204" s="16"/>
      <c r="AG204" s="16"/>
      <c r="AH204" s="16"/>
      <c r="AI204" s="16"/>
      <c r="AJ204" s="16"/>
      <c r="AK204" s="16"/>
    </row>
    <row r="205" spans="1:37" ht="11.65" customHeight="1" x14ac:dyDescent="0.2">
      <c r="A205" s="622"/>
      <c r="B205" s="1223"/>
      <c r="C205" s="109"/>
      <c r="D205" s="109"/>
      <c r="E205" s="109"/>
      <c r="F205" s="109"/>
      <c r="G205" s="109"/>
      <c r="H205" s="109"/>
      <c r="I205" s="109"/>
      <c r="J205" s="1292"/>
      <c r="K205" s="1292"/>
      <c r="L205" s="1292"/>
      <c r="M205" s="1292"/>
      <c r="N205" s="1292"/>
      <c r="O205" s="1292"/>
      <c r="P205" s="1292"/>
      <c r="Q205" s="1292"/>
      <c r="R205" s="1292"/>
      <c r="S205" s="1292"/>
      <c r="T205" s="1292"/>
      <c r="U205" s="1292"/>
      <c r="V205" s="118"/>
      <c r="W205" s="1300"/>
      <c r="X205" s="1264"/>
      <c r="Y205" s="16"/>
      <c r="Z205" s="16"/>
      <c r="AA205" s="16"/>
      <c r="AB205" s="16"/>
      <c r="AC205" s="16"/>
      <c r="AD205" s="16"/>
      <c r="AE205" s="16"/>
      <c r="AF205" s="16"/>
      <c r="AG205" s="16"/>
      <c r="AH205" s="16"/>
      <c r="AI205" s="16"/>
      <c r="AJ205" s="16"/>
      <c r="AK205" s="16"/>
    </row>
    <row r="206" spans="1:37" ht="24" x14ac:dyDescent="0.2">
      <c r="A206" s="622"/>
      <c r="B206" s="1325" t="str">
        <f>$B$60</f>
        <v>Total expenses continuing operations excluding net loss from asset disposals, joint ventures and fair value losses</v>
      </c>
      <c r="C206" s="109"/>
      <c r="D206" s="491" t="s">
        <v>116</v>
      </c>
      <c r="E206" s="109"/>
      <c r="F206" s="109"/>
      <c r="G206" s="109"/>
      <c r="H206" s="109"/>
      <c r="I206" s="109"/>
      <c r="J206" s="1285">
        <f t="shared" ref="J206:T206" si="45">J204-SUM(J200:J202)</f>
        <v>132722974.48999998</v>
      </c>
      <c r="K206" s="1285">
        <f t="shared" si="45"/>
        <v>134555048.20896569</v>
      </c>
      <c r="L206" s="1285">
        <f t="shared" si="45"/>
        <v>136566155.26764157</v>
      </c>
      <c r="M206" s="1285">
        <f t="shared" si="45"/>
        <v>139572604.51462841</v>
      </c>
      <c r="N206" s="1285">
        <f t="shared" si="45"/>
        <v>143973948.53575653</v>
      </c>
      <c r="O206" s="1285">
        <f t="shared" si="45"/>
        <v>149778440.377729</v>
      </c>
      <c r="P206" s="1285">
        <f t="shared" si="45"/>
        <v>153396122.8775489</v>
      </c>
      <c r="Q206" s="1285">
        <f t="shared" si="45"/>
        <v>157403413.22030109</v>
      </c>
      <c r="R206" s="1285">
        <f t="shared" si="45"/>
        <v>161773211.08205017</v>
      </c>
      <c r="S206" s="1285">
        <f t="shared" si="45"/>
        <v>166854246.36356634</v>
      </c>
      <c r="T206" s="1285">
        <f t="shared" si="45"/>
        <v>171593648.38631707</v>
      </c>
      <c r="U206" s="1285">
        <f>U204-U202</f>
        <v>1515966838.8345046</v>
      </c>
      <c r="V206" s="112"/>
      <c r="W206" s="1299">
        <f>T206-J206</f>
        <v>38870673.896317095</v>
      </c>
      <c r="X206" s="1147">
        <f>IF(J206=0,0,(W206/J206))</f>
        <v>0.29287072600415393</v>
      </c>
      <c r="Y206" s="16"/>
      <c r="Z206" s="16"/>
      <c r="AA206" s="16"/>
      <c r="AB206" s="16"/>
      <c r="AC206" s="16"/>
      <c r="AD206" s="16"/>
      <c r="AE206" s="16"/>
      <c r="AF206" s="16"/>
      <c r="AG206" s="16"/>
      <c r="AH206" s="16"/>
      <c r="AI206" s="16"/>
      <c r="AJ206" s="16"/>
      <c r="AK206" s="16"/>
    </row>
    <row r="207" spans="1:37" ht="11.65" customHeight="1" x14ac:dyDescent="0.2">
      <c r="A207" s="622"/>
      <c r="B207" s="1263"/>
      <c r="C207" s="109"/>
      <c r="D207" s="109"/>
      <c r="E207" s="109"/>
      <c r="F207" s="109"/>
      <c r="G207" s="109"/>
      <c r="H207" s="109"/>
      <c r="I207" s="109"/>
      <c r="J207" s="1199"/>
      <c r="K207" s="1199"/>
      <c r="L207" s="1199"/>
      <c r="M207" s="1199"/>
      <c r="N207" s="1199"/>
      <c r="O207" s="1199"/>
      <c r="P207" s="1199"/>
      <c r="Q207" s="1199"/>
      <c r="R207" s="1199"/>
      <c r="S207" s="1199"/>
      <c r="T207" s="1199"/>
      <c r="U207" s="1199"/>
      <c r="V207" s="112"/>
      <c r="W207" s="1299"/>
      <c r="X207" s="1147"/>
      <c r="Y207" s="16"/>
      <c r="Z207" s="16"/>
      <c r="AA207" s="16"/>
      <c r="AB207" s="16"/>
      <c r="AC207" s="16"/>
      <c r="AD207" s="16"/>
      <c r="AE207" s="16"/>
      <c r="AF207" s="16"/>
      <c r="AG207" s="16"/>
      <c r="AH207" s="16"/>
      <c r="AI207" s="16"/>
      <c r="AJ207" s="16"/>
      <c r="AK207" s="16"/>
    </row>
    <row r="208" spans="1:37" customFormat="1" ht="11.65" customHeight="1" x14ac:dyDescent="0.2">
      <c r="A208" s="622"/>
      <c r="B208" s="1324" t="str">
        <f>B$62</f>
        <v>Operating results</v>
      </c>
      <c r="C208" s="265"/>
      <c r="D208" s="265"/>
      <c r="E208" s="265"/>
      <c r="F208" s="265"/>
      <c r="G208" s="265"/>
      <c r="H208" s="265"/>
      <c r="I208" s="265"/>
      <c r="J208" s="1288"/>
      <c r="K208" s="1293"/>
      <c r="L208" s="1288"/>
      <c r="M208" s="1294"/>
      <c r="N208" s="1289"/>
      <c r="O208" s="1289"/>
      <c r="P208" s="1289"/>
      <c r="Q208" s="1289"/>
      <c r="R208" s="1289"/>
      <c r="S208" s="1289"/>
      <c r="T208" s="1289"/>
      <c r="U208" s="1289"/>
      <c r="V208" s="18"/>
      <c r="W208" s="1301"/>
      <c r="X208" s="1166"/>
      <c r="Y208" s="3"/>
      <c r="Z208" s="16"/>
      <c r="AA208" s="3"/>
      <c r="AB208" s="3"/>
      <c r="AC208" s="3"/>
      <c r="AD208" s="3"/>
      <c r="AE208" s="3"/>
      <c r="AF208" s="3"/>
      <c r="AG208" s="3"/>
      <c r="AH208" s="3"/>
      <c r="AI208" s="3"/>
      <c r="AJ208" s="3"/>
      <c r="AK208" s="3"/>
    </row>
    <row r="209" spans="1:37" ht="11.65" customHeight="1" x14ac:dyDescent="0.2">
      <c r="A209" s="622"/>
      <c r="B209" s="581"/>
      <c r="C209" s="1"/>
      <c r="D209" s="1"/>
      <c r="E209" s="1"/>
      <c r="F209" s="1"/>
      <c r="G209" s="1"/>
      <c r="H209" s="1"/>
      <c r="I209" s="1"/>
      <c r="J209" s="1283"/>
      <c r="K209" s="1283"/>
      <c r="L209" s="1283"/>
      <c r="M209" s="1283"/>
      <c r="N209" s="1283"/>
      <c r="O209" s="1283"/>
      <c r="P209" s="1283"/>
      <c r="Q209" s="1283"/>
      <c r="R209" s="1283"/>
      <c r="S209" s="1283"/>
      <c r="T209" s="1283"/>
      <c r="U209" s="1283"/>
      <c r="V209" s="151"/>
      <c r="W209" s="1298"/>
      <c r="X209" s="1261"/>
      <c r="Y209" s="16"/>
      <c r="Z209" s="16"/>
      <c r="AA209" s="16"/>
      <c r="AB209" s="16"/>
      <c r="AC209" s="16"/>
      <c r="AD209" s="16"/>
      <c r="AE209" s="16"/>
      <c r="AF209" s="16"/>
      <c r="AG209" s="16"/>
      <c r="AH209" s="16"/>
      <c r="AI209" s="16"/>
      <c r="AJ209" s="16"/>
      <c r="AK209" s="16"/>
    </row>
    <row r="210" spans="1:37" ht="11.65" customHeight="1" x14ac:dyDescent="0.2">
      <c r="A210" s="622"/>
      <c r="B210" s="1263" t="str">
        <f>B$64</f>
        <v>Operating result from continuing operations</v>
      </c>
      <c r="C210" s="109"/>
      <c r="D210" s="491" t="s">
        <v>116</v>
      </c>
      <c r="E210" s="109"/>
      <c r="F210" s="109"/>
      <c r="G210" s="109"/>
      <c r="H210" s="109"/>
      <c r="I210" s="109"/>
      <c r="J210" s="1199">
        <f t="shared" ref="J210:T210" si="46">J185-J204</f>
        <v>7838612.7500000298</v>
      </c>
      <c r="K210" s="1199">
        <f t="shared" si="46"/>
        <v>6910072.591034323</v>
      </c>
      <c r="L210" s="1199">
        <f t="shared" si="46"/>
        <v>10935717.902358413</v>
      </c>
      <c r="M210" s="1199">
        <f t="shared" si="46"/>
        <v>11864276.275371581</v>
      </c>
      <c r="N210" s="1199">
        <f t="shared" si="46"/>
        <v>10528479.844243467</v>
      </c>
      <c r="O210" s="1199">
        <f t="shared" si="46"/>
        <v>10268334.632270992</v>
      </c>
      <c r="P210" s="1199">
        <f t="shared" si="46"/>
        <v>11060875.412451088</v>
      </c>
      <c r="Q210" s="1199">
        <f t="shared" si="46"/>
        <v>9202118.199698925</v>
      </c>
      <c r="R210" s="1199">
        <f t="shared" si="46"/>
        <v>9632882.9379498363</v>
      </c>
      <c r="S210" s="1199">
        <f t="shared" si="46"/>
        <v>9500582.506433636</v>
      </c>
      <c r="T210" s="1199">
        <f t="shared" si="46"/>
        <v>9870315.8024829626</v>
      </c>
      <c r="U210" s="1199">
        <f>SUM(K210:T210)</f>
        <v>99773656.104295224</v>
      </c>
      <c r="V210" s="112"/>
      <c r="W210" s="1299">
        <f>T210-J210</f>
        <v>2031703.0524829328</v>
      </c>
      <c r="X210" s="1147">
        <f>IF(J210=0,0,(W210/J210))</f>
        <v>0.25919166021856677</v>
      </c>
      <c r="Y210" s="16"/>
      <c r="Z210" s="16"/>
      <c r="AA210" s="16"/>
      <c r="AB210" s="16"/>
      <c r="AC210" s="16"/>
      <c r="AD210" s="16"/>
      <c r="AE210" s="16"/>
      <c r="AF210" s="16"/>
      <c r="AG210" s="16"/>
      <c r="AH210" s="16"/>
      <c r="AI210" s="16"/>
      <c r="AJ210" s="16"/>
      <c r="AK210" s="16"/>
    </row>
    <row r="211" spans="1:37" x14ac:dyDescent="0.2">
      <c r="A211" s="622"/>
      <c r="B211" s="1267" t="str">
        <f>B$65</f>
        <v>Net operating result before capital grants &amp; contributions</v>
      </c>
      <c r="C211" s="109"/>
      <c r="D211" s="491" t="s">
        <v>116</v>
      </c>
      <c r="E211" s="109"/>
      <c r="F211" s="109"/>
      <c r="G211" s="109"/>
      <c r="H211" s="109"/>
      <c r="I211" s="109"/>
      <c r="J211" s="1292">
        <f t="shared" ref="J211:T211" si="47">J187-J204</f>
        <v>-3156301.2499999702</v>
      </c>
      <c r="K211" s="1292">
        <f t="shared" si="47"/>
        <v>-1382339.908965677</v>
      </c>
      <c r="L211" s="1292">
        <f t="shared" si="47"/>
        <v>123940.17235842347</v>
      </c>
      <c r="M211" s="1292">
        <f t="shared" si="47"/>
        <v>929589.24537158012</v>
      </c>
      <c r="N211" s="1292">
        <f t="shared" si="47"/>
        <v>-532762.43575653434</v>
      </c>
      <c r="O211" s="1292">
        <f t="shared" si="47"/>
        <v>-923222.31772899628</v>
      </c>
      <c r="P211" s="1292">
        <f t="shared" si="47"/>
        <v>-314863.75754889846</v>
      </c>
      <c r="Q211" s="1292">
        <f t="shared" si="47"/>
        <v>188213.33969891071</v>
      </c>
      <c r="R211" s="1292">
        <f t="shared" si="47"/>
        <v>476708.10794982314</v>
      </c>
      <c r="S211" s="1292">
        <f t="shared" si="47"/>
        <v>202292.60643362999</v>
      </c>
      <c r="T211" s="1292">
        <f t="shared" si="47"/>
        <v>386060.10448294878</v>
      </c>
      <c r="U211" s="1292">
        <f>SUM(K211:T211)</f>
        <v>-846384.84370478988</v>
      </c>
      <c r="V211" s="112"/>
      <c r="W211" s="1300">
        <f>T211-J211</f>
        <v>3542361.354482919</v>
      </c>
      <c r="X211" s="1264">
        <f>IF(J211=0,0,(W211/J211))</f>
        <v>-1.1223140866173507</v>
      </c>
      <c r="Y211" s="16"/>
      <c r="Z211" s="16"/>
      <c r="AA211" s="16"/>
      <c r="AB211" s="16"/>
      <c r="AC211" s="16"/>
      <c r="AD211" s="16"/>
      <c r="AE211" s="16"/>
      <c r="AF211" s="16"/>
      <c r="AG211" s="16"/>
      <c r="AH211" s="16"/>
      <c r="AI211" s="16"/>
      <c r="AJ211" s="16"/>
      <c r="AK211" s="16"/>
    </row>
    <row r="212" spans="1:37" ht="36" x14ac:dyDescent="0.2">
      <c r="A212" s="622"/>
      <c r="B212" s="1268" t="str">
        <f>B$66</f>
        <v>Net operating result before capital grants &amp; contributions, gains/losses on asset disposals, gains/losses on joint ventures and fair value adjustments</v>
      </c>
      <c r="C212" s="109"/>
      <c r="D212" s="491" t="s">
        <v>116</v>
      </c>
      <c r="E212" s="109"/>
      <c r="F212" s="109"/>
      <c r="G212" s="109"/>
      <c r="H212" s="109"/>
      <c r="I212" s="109"/>
      <c r="J212" s="1199">
        <f t="shared" ref="J212:T212" si="48">J189-J206</f>
        <v>-4276301.2499999702</v>
      </c>
      <c r="K212" s="1199">
        <f t="shared" si="48"/>
        <v>-2502339.908965677</v>
      </c>
      <c r="L212" s="1199">
        <f t="shared" si="48"/>
        <v>-996059.82764157653</v>
      </c>
      <c r="M212" s="1199">
        <f t="shared" si="48"/>
        <v>-190410.75462841988</v>
      </c>
      <c r="N212" s="1199">
        <f t="shared" si="48"/>
        <v>-1652762.4357565343</v>
      </c>
      <c r="O212" s="1199">
        <f t="shared" si="48"/>
        <v>-2043222.3177289963</v>
      </c>
      <c r="P212" s="1199">
        <f t="shared" si="48"/>
        <v>-1434863.7575488985</v>
      </c>
      <c r="Q212" s="1199">
        <f t="shared" si="48"/>
        <v>-931786.66030108929</v>
      </c>
      <c r="R212" s="1199">
        <f t="shared" si="48"/>
        <v>-643291.89205017686</v>
      </c>
      <c r="S212" s="1199">
        <f t="shared" si="48"/>
        <v>-917707.39356637001</v>
      </c>
      <c r="T212" s="1199">
        <f t="shared" si="48"/>
        <v>-733939.89551705122</v>
      </c>
      <c r="U212" s="1199">
        <f>SUM(K212:T212)</f>
        <v>-12046384.84370479</v>
      </c>
      <c r="V212" s="118"/>
      <c r="W212" s="1299">
        <f>T212-J212</f>
        <v>3542361.354482919</v>
      </c>
      <c r="X212" s="1147">
        <f>IF(J212=0,0,(W212/J212))</f>
        <v>-0.82837039473843044</v>
      </c>
      <c r="Y212" s="16"/>
      <c r="Z212" s="16"/>
      <c r="AA212" s="16"/>
      <c r="AB212" s="16"/>
      <c r="AC212" s="16"/>
      <c r="AD212" s="16"/>
      <c r="AE212" s="16"/>
      <c r="AF212" s="16"/>
      <c r="AG212" s="16"/>
      <c r="AH212" s="16"/>
      <c r="AI212" s="16"/>
      <c r="AJ212" s="16"/>
      <c r="AK212" s="16"/>
    </row>
    <row r="213" spans="1:37" ht="11.65" customHeight="1" x14ac:dyDescent="0.2">
      <c r="A213" s="622"/>
      <c r="B213" s="1263"/>
      <c r="C213" s="1327"/>
      <c r="D213" s="1327"/>
      <c r="E213" s="1327"/>
      <c r="F213" s="1327"/>
      <c r="G213" s="1327"/>
      <c r="H213" s="1327"/>
      <c r="I213" s="1327"/>
      <c r="J213" s="1283"/>
      <c r="K213" s="1283"/>
      <c r="L213" s="1283"/>
      <c r="M213" s="1283"/>
      <c r="N213" s="1283"/>
      <c r="O213" s="1283"/>
      <c r="P213" s="1283"/>
      <c r="Q213" s="1283"/>
      <c r="R213" s="1283"/>
      <c r="S213" s="1283"/>
      <c r="T213" s="1283"/>
      <c r="U213" s="1283"/>
      <c r="V213" s="151"/>
      <c r="W213" s="1299"/>
      <c r="X213" s="1147"/>
      <c r="Y213" s="16"/>
      <c r="Z213" s="16"/>
      <c r="AA213" s="16"/>
      <c r="AB213" s="16"/>
      <c r="AC213" s="16"/>
      <c r="AD213" s="16"/>
      <c r="AE213" s="16"/>
      <c r="AF213" s="16"/>
      <c r="AG213" s="16"/>
      <c r="AH213" s="16"/>
      <c r="AI213" s="16"/>
      <c r="AJ213" s="16"/>
      <c r="AK213" s="16"/>
    </row>
    <row r="214" spans="1:37" customFormat="1" ht="11.65" customHeight="1" x14ac:dyDescent="0.2">
      <c r="A214" s="622"/>
      <c r="B214" s="1324" t="str">
        <f>B$68</f>
        <v>Increase in rates and annual charges</v>
      </c>
      <c r="C214" s="265"/>
      <c r="D214" s="265"/>
      <c r="E214" s="265"/>
      <c r="F214" s="265"/>
      <c r="G214" s="265"/>
      <c r="H214" s="265"/>
      <c r="I214" s="265"/>
      <c r="J214" s="1288"/>
      <c r="K214" s="1293"/>
      <c r="L214" s="1288"/>
      <c r="M214" s="1294"/>
      <c r="N214" s="1289"/>
      <c r="O214" s="1289"/>
      <c r="P214" s="1289"/>
      <c r="Q214" s="1289"/>
      <c r="R214" s="1289"/>
      <c r="S214" s="1289"/>
      <c r="T214" s="1289"/>
      <c r="U214" s="1289"/>
      <c r="V214" s="18"/>
      <c r="W214" s="1301"/>
      <c r="X214" s="1166"/>
      <c r="Y214" s="3"/>
      <c r="Z214" s="16"/>
      <c r="AA214" s="3"/>
      <c r="AB214" s="3"/>
      <c r="AC214" s="3"/>
      <c r="AD214" s="3"/>
      <c r="AE214" s="3"/>
      <c r="AF214" s="3"/>
      <c r="AG214" s="3"/>
      <c r="AH214" s="3"/>
      <c r="AI214" s="3"/>
      <c r="AJ214" s="3"/>
      <c r="AK214" s="3"/>
    </row>
    <row r="215" spans="1:37" ht="11.65" customHeight="1" x14ac:dyDescent="0.2">
      <c r="A215" s="622"/>
      <c r="B215" s="581"/>
      <c r="C215" s="1"/>
      <c r="D215" s="1"/>
      <c r="E215" s="1"/>
      <c r="F215" s="1"/>
      <c r="G215" s="1"/>
      <c r="H215" s="1"/>
      <c r="I215" s="1"/>
      <c r="J215" s="1283"/>
      <c r="K215" s="1283"/>
      <c r="L215" s="1283"/>
      <c r="M215" s="1283"/>
      <c r="N215" s="1283"/>
      <c r="O215" s="1283"/>
      <c r="P215" s="1283"/>
      <c r="Q215" s="1283"/>
      <c r="R215" s="1283"/>
      <c r="S215" s="1283"/>
      <c r="T215" s="1283"/>
      <c r="U215" s="1283"/>
      <c r="V215" s="151"/>
      <c r="W215" s="1298"/>
      <c r="X215" s="1261"/>
      <c r="Y215" s="3"/>
      <c r="Z215" s="16"/>
      <c r="AA215" s="16"/>
      <c r="AB215" s="16"/>
      <c r="AC215" s="16"/>
      <c r="AD215" s="16"/>
      <c r="AE215" s="16"/>
      <c r="AF215" s="16"/>
      <c r="AG215" s="16"/>
      <c r="AH215" s="16"/>
      <c r="AI215" s="16"/>
      <c r="AJ215" s="16"/>
      <c r="AK215" s="16"/>
    </row>
    <row r="216" spans="1:37" ht="11.65" customHeight="1" x14ac:dyDescent="0.2">
      <c r="A216" s="622"/>
      <c r="B216" s="1263" t="str">
        <f>B$70</f>
        <v>$ Increase in rates and annual charges</v>
      </c>
      <c r="C216" s="109"/>
      <c r="D216" s="491" t="s">
        <v>116</v>
      </c>
      <c r="E216" s="109"/>
      <c r="F216" s="109"/>
      <c r="G216" s="109"/>
      <c r="H216" s="109"/>
      <c r="I216" s="109"/>
      <c r="J216" s="1335"/>
      <c r="K216" s="1199">
        <f>K172+K173-J173-J172</f>
        <v>3348995</v>
      </c>
      <c r="L216" s="1199">
        <f t="shared" ref="L216:U216" si="49">L172+L173-K173-K172</f>
        <v>2278499.849999994</v>
      </c>
      <c r="M216" s="1199">
        <f t="shared" si="49"/>
        <v>2346854.8400000036</v>
      </c>
      <c r="N216" s="1199">
        <f t="shared" si="49"/>
        <v>2417260.4899999946</v>
      </c>
      <c r="O216" s="1199">
        <f t="shared" si="49"/>
        <v>3973150.4600000083</v>
      </c>
      <c r="P216" s="1199">
        <f t="shared" si="49"/>
        <v>2608972.8299999982</v>
      </c>
      <c r="Q216" s="1199">
        <f t="shared" si="49"/>
        <v>2687242.009999983</v>
      </c>
      <c r="R216" s="1199">
        <f t="shared" si="49"/>
        <v>2767859.2700000107</v>
      </c>
      <c r="S216" s="1199">
        <f t="shared" si="49"/>
        <v>2850895.0600000024</v>
      </c>
      <c r="T216" s="1199">
        <f t="shared" si="49"/>
        <v>2957421.8942999989</v>
      </c>
      <c r="U216" s="1199">
        <f t="shared" si="49"/>
        <v>785759483.87</v>
      </c>
      <c r="V216" s="112"/>
      <c r="W216" s="1302"/>
      <c r="X216" s="1269"/>
      <c r="Y216" s="3"/>
      <c r="Z216" s="16"/>
      <c r="AA216" s="16"/>
      <c r="AB216" s="16"/>
      <c r="AC216" s="16"/>
      <c r="AD216" s="16"/>
      <c r="AE216" s="16"/>
      <c r="AF216" s="16"/>
      <c r="AG216" s="16"/>
      <c r="AH216" s="16"/>
      <c r="AI216" s="16"/>
      <c r="AJ216" s="16"/>
      <c r="AK216" s="16"/>
    </row>
    <row r="217" spans="1:37" ht="11.65" customHeight="1" x14ac:dyDescent="0.2">
      <c r="A217" s="622"/>
      <c r="B217" s="1270" t="str">
        <f>B$71</f>
        <v>% Increase in rates and annual charges</v>
      </c>
      <c r="C217" s="1271"/>
      <c r="D217" s="1272" t="s">
        <v>108</v>
      </c>
      <c r="E217" s="1271"/>
      <c r="F217" s="1271"/>
      <c r="G217" s="1271"/>
      <c r="H217" s="1271"/>
      <c r="I217" s="1271"/>
      <c r="J217" s="1296"/>
      <c r="K217" s="1297">
        <f>IF(J172+J173=0,0,SUM(K172:K173)/SUM(J172:J173)-1)</f>
        <v>4.5688258004665583E-2</v>
      </c>
      <c r="L217" s="1297">
        <f t="shared" ref="L217:T217" si="50">IF(K172+K173=0,0,SUM(L172:L173)/SUM(K172:K173)-1)</f>
        <v>2.9726027379388453E-2</v>
      </c>
      <c r="M217" s="1297">
        <f t="shared" si="50"/>
        <v>2.9733936323758536E-2</v>
      </c>
      <c r="N217" s="1297">
        <f t="shared" si="50"/>
        <v>2.9741619066788294E-2</v>
      </c>
      <c r="O217" s="1297">
        <f t="shared" si="50"/>
        <v>4.7473133547332846E-2</v>
      </c>
      <c r="P217" s="1297">
        <f t="shared" si="50"/>
        <v>2.9760453921272134E-2</v>
      </c>
      <c r="Q217" s="1297">
        <f t="shared" si="50"/>
        <v>2.976737683632158E-2</v>
      </c>
      <c r="R217" s="1297">
        <f t="shared" si="50"/>
        <v>2.9774101246326179E-2</v>
      </c>
      <c r="S217" s="1297">
        <f t="shared" si="50"/>
        <v>2.9780632834530252E-2</v>
      </c>
      <c r="T217" s="1297">
        <f t="shared" si="50"/>
        <v>3.0000000000000027E-2</v>
      </c>
      <c r="U217" s="1297">
        <f>IF(J172+J173=0,0,SUM(T172:T173)/SUM(J172:J173)-1)</f>
        <v>0.38522191654001992</v>
      </c>
      <c r="V217" s="1152"/>
      <c r="W217" s="1303"/>
      <c r="X217" s="1273"/>
      <c r="Y217" s="3"/>
      <c r="Z217" s="16"/>
      <c r="AA217" s="16"/>
      <c r="AB217" s="16"/>
      <c r="AC217" s="16"/>
      <c r="AD217" s="16"/>
      <c r="AE217" s="16"/>
      <c r="AF217" s="16"/>
      <c r="AG217" s="16"/>
      <c r="AH217" s="16"/>
      <c r="AI217" s="16"/>
      <c r="AJ217" s="16"/>
      <c r="AK217" s="16"/>
    </row>
    <row r="218" spans="1:37" ht="11.65" customHeight="1" x14ac:dyDescent="0.2">
      <c r="A218" s="622"/>
      <c r="B218" s="347" t="s">
        <v>77</v>
      </c>
      <c r="C218" s="1"/>
      <c r="D218" s="1"/>
      <c r="E218" s="1"/>
      <c r="F218" s="1"/>
      <c r="G218" s="1"/>
      <c r="H218" s="1"/>
      <c r="I218" s="1"/>
      <c r="J218" s="16"/>
      <c r="K218" s="222">
        <f t="shared" ref="K218:T218" si="51">K211-K212-K183+K202</f>
        <v>1020000</v>
      </c>
      <c r="L218" s="222">
        <f t="shared" si="51"/>
        <v>1020000</v>
      </c>
      <c r="M218" s="222">
        <f t="shared" si="51"/>
        <v>1020000</v>
      </c>
      <c r="N218" s="222">
        <f t="shared" si="51"/>
        <v>1020000</v>
      </c>
      <c r="O218" s="222">
        <f t="shared" si="51"/>
        <v>1020000</v>
      </c>
      <c r="P218" s="222">
        <f t="shared" si="51"/>
        <v>1020000</v>
      </c>
      <c r="Q218" s="222">
        <f t="shared" si="51"/>
        <v>1020000</v>
      </c>
      <c r="R218" s="222">
        <f t="shared" si="51"/>
        <v>1020000</v>
      </c>
      <c r="S218" s="222">
        <f t="shared" si="51"/>
        <v>1020000</v>
      </c>
      <c r="T218" s="222">
        <f t="shared" si="51"/>
        <v>1020000</v>
      </c>
      <c r="U218" s="16"/>
      <c r="V218" s="16"/>
      <c r="W218" s="16"/>
      <c r="X218" s="16"/>
      <c r="Y218" s="16"/>
      <c r="Z218" s="16"/>
      <c r="AA218" s="16"/>
      <c r="AB218" s="16"/>
      <c r="AC218" s="16"/>
      <c r="AD218" s="16"/>
      <c r="AE218" s="16"/>
      <c r="AF218" s="16"/>
      <c r="AG218" s="16"/>
      <c r="AH218" s="16"/>
      <c r="AI218" s="16"/>
      <c r="AJ218" s="16"/>
      <c r="AK218" s="16"/>
    </row>
    <row r="219" spans="1:37" customFormat="1" ht="12" customHeight="1" x14ac:dyDescent="0.2">
      <c r="A219" s="621"/>
    </row>
    <row r="220" spans="1:37" ht="12" customHeight="1" x14ac:dyDescent="0.2">
      <c r="A220" s="622"/>
      <c r="B220" s="1"/>
      <c r="C220" s="1"/>
      <c r="D220" s="1"/>
      <c r="E220" s="1"/>
      <c r="F220" s="1"/>
      <c r="G220" s="1"/>
      <c r="H220" s="1"/>
      <c r="I220" s="1"/>
      <c r="J220"/>
      <c r="K220"/>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row>
    <row r="221" spans="1:37" ht="12.75" x14ac:dyDescent="0.2">
      <c r="A221" s="620" t="s">
        <v>864</v>
      </c>
      <c r="B221" s="461" t="str">
        <f>"Table "&amp;$A$1&amp;A221&amp;": Cashflow Statement - General fund - BASE case scenario ($ nominal) "</f>
        <v xml:space="preserve">Table 10.2(b): Cashflow Statement - General fund - BASE case scenario ($ nominal) </v>
      </c>
      <c r="C221" s="2"/>
      <c r="D221" s="2"/>
      <c r="E221" s="2"/>
      <c r="F221" s="2"/>
      <c r="G221" s="2"/>
      <c r="H221" s="2"/>
      <c r="I221" s="2"/>
      <c r="J221" s="637"/>
      <c r="L221" s="633"/>
      <c r="M221" s="633"/>
      <c r="N221" s="633"/>
      <c r="O221" s="633"/>
      <c r="P221" s="633"/>
      <c r="Q221" s="633"/>
      <c r="R221" s="633"/>
      <c r="S221" s="633"/>
      <c r="T221" s="633"/>
      <c r="U221" s="633"/>
      <c r="V221" s="633"/>
      <c r="W221" s="633"/>
      <c r="X221" s="633"/>
      <c r="Y221" s="16"/>
      <c r="Z221" s="16"/>
      <c r="AA221" s="16"/>
      <c r="AB221" s="16"/>
      <c r="AC221" s="16"/>
      <c r="AD221" s="16"/>
      <c r="AE221" s="16"/>
      <c r="AF221" s="16"/>
      <c r="AG221" s="16"/>
      <c r="AH221" s="16"/>
      <c r="AI221" s="16"/>
      <c r="AJ221" s="16"/>
      <c r="AK221" s="16"/>
    </row>
    <row r="222" spans="1:37" x14ac:dyDescent="0.2">
      <c r="A222" s="622"/>
      <c r="B222" s="674"/>
      <c r="C222" s="666"/>
      <c r="D222" s="666"/>
      <c r="E222" s="666"/>
      <c r="F222" s="666"/>
      <c r="G222" s="666"/>
      <c r="H222" s="666"/>
      <c r="I222" s="666"/>
      <c r="J222" s="1167" t="str">
        <f>J$22</f>
        <v>Year 0</v>
      </c>
      <c r="K222" s="1167" t="str">
        <f t="shared" ref="K222:T222" si="52">K$22</f>
        <v>Year 1</v>
      </c>
      <c r="L222" s="1167" t="str">
        <f t="shared" si="52"/>
        <v>Year 2</v>
      </c>
      <c r="M222" s="1167" t="str">
        <f t="shared" si="52"/>
        <v>Year 3</v>
      </c>
      <c r="N222" s="1167" t="str">
        <f t="shared" si="52"/>
        <v>Year 4</v>
      </c>
      <c r="O222" s="1167" t="str">
        <f t="shared" si="52"/>
        <v>Year 5</v>
      </c>
      <c r="P222" s="1167" t="str">
        <f t="shared" si="52"/>
        <v>Year 6</v>
      </c>
      <c r="Q222" s="1167" t="str">
        <f t="shared" si="52"/>
        <v>Year 7</v>
      </c>
      <c r="R222" s="1167" t="str">
        <f t="shared" si="52"/>
        <v>Year 8</v>
      </c>
      <c r="S222" s="1167" t="str">
        <f t="shared" si="52"/>
        <v>Year 9</v>
      </c>
      <c r="T222" s="1167" t="str">
        <f t="shared" si="52"/>
        <v>Year 10</v>
      </c>
      <c r="U222" s="1279"/>
      <c r="V222" s="1279"/>
      <c r="W222" s="1254"/>
      <c r="X222" s="1255"/>
      <c r="Y222" s="16"/>
      <c r="Z222" s="16"/>
      <c r="AA222" s="16"/>
      <c r="AB222" s="16"/>
      <c r="AC222" s="16"/>
      <c r="AD222" s="16"/>
      <c r="AE222" s="16"/>
      <c r="AF222" s="16"/>
      <c r="AG222" s="16"/>
      <c r="AH222" s="16"/>
      <c r="AI222" s="16"/>
      <c r="AJ222" s="16"/>
      <c r="AK222" s="16"/>
    </row>
    <row r="223" spans="1:37" x14ac:dyDescent="0.2">
      <c r="A223" s="622"/>
      <c r="B223" s="1274"/>
      <c r="C223" s="606"/>
      <c r="D223" s="606" t="s">
        <v>641</v>
      </c>
      <c r="E223" s="606"/>
      <c r="F223" s="606"/>
      <c r="G223" s="606"/>
      <c r="H223" s="606"/>
      <c r="I223" s="606"/>
      <c r="J223" s="1278" t="str">
        <f>J$23</f>
        <v>2023-24</v>
      </c>
      <c r="K223" s="1278" t="str">
        <f t="shared" ref="K223:T223" si="53">K$23</f>
        <v>2024-25</v>
      </c>
      <c r="L223" s="1278" t="str">
        <f t="shared" si="53"/>
        <v>2025-26</v>
      </c>
      <c r="M223" s="1278" t="str">
        <f t="shared" si="53"/>
        <v>2026-27</v>
      </c>
      <c r="N223" s="1278" t="str">
        <f t="shared" si="53"/>
        <v>2027-28</v>
      </c>
      <c r="O223" s="1278" t="str">
        <f t="shared" si="53"/>
        <v>2028-29</v>
      </c>
      <c r="P223" s="1278" t="str">
        <f t="shared" si="53"/>
        <v>2029-30</v>
      </c>
      <c r="Q223" s="1278" t="str">
        <f t="shared" si="53"/>
        <v>2030-31</v>
      </c>
      <c r="R223" s="1278" t="str">
        <f t="shared" si="53"/>
        <v>2031-32</v>
      </c>
      <c r="S223" s="1278" t="str">
        <f t="shared" si="53"/>
        <v>2032-33</v>
      </c>
      <c r="T223" s="1278" t="str">
        <f t="shared" si="53"/>
        <v>2033-34</v>
      </c>
      <c r="U223" s="295"/>
      <c r="V223" s="295"/>
      <c r="W223" s="1275"/>
      <c r="X223" s="1276"/>
      <c r="Y223" s="16"/>
      <c r="Z223" s="16"/>
      <c r="AA223" s="16"/>
      <c r="AB223" s="16"/>
      <c r="AC223" s="16"/>
      <c r="AD223" s="16"/>
      <c r="AE223" s="16"/>
      <c r="AF223" s="16"/>
      <c r="AG223" s="16"/>
      <c r="AH223" s="16"/>
      <c r="AI223" s="16"/>
      <c r="AJ223" s="16"/>
      <c r="AK223" s="16"/>
    </row>
    <row r="224" spans="1:37" x14ac:dyDescent="0.2">
      <c r="A224" s="622"/>
      <c r="B224" s="1324" t="str">
        <f t="shared" ref="B224:B237" si="54">B78</f>
        <v>Cash flow from operating activities</v>
      </c>
      <c r="C224" s="265"/>
      <c r="D224" s="265"/>
      <c r="E224" s="265"/>
      <c r="F224" s="265"/>
      <c r="G224" s="265"/>
      <c r="H224" s="265"/>
      <c r="I224" s="265"/>
      <c r="J224" s="1315"/>
      <c r="K224" s="1293"/>
      <c r="L224" s="1316"/>
      <c r="M224" s="1317"/>
      <c r="N224" s="1316"/>
      <c r="O224" s="1316"/>
      <c r="P224" s="1316"/>
      <c r="Q224" s="1316"/>
      <c r="R224" s="1316"/>
      <c r="S224" s="1316"/>
      <c r="T224" s="1316"/>
      <c r="U224" s="1258"/>
      <c r="V224" s="1258"/>
      <c r="W224" s="1258"/>
      <c r="X224" s="1260"/>
      <c r="Y224" s="16"/>
      <c r="Z224" s="16"/>
      <c r="AA224" s="16"/>
      <c r="AB224" s="16"/>
      <c r="AC224" s="16"/>
      <c r="AD224" s="16"/>
      <c r="AE224" s="16"/>
      <c r="AF224" s="16"/>
      <c r="AG224" s="16"/>
      <c r="AH224" s="16"/>
      <c r="AI224" s="16"/>
      <c r="AJ224" s="16"/>
      <c r="AK224" s="16"/>
    </row>
    <row r="225" spans="1:37" x14ac:dyDescent="0.2">
      <c r="A225" s="622"/>
      <c r="B225" s="1223" t="str">
        <f t="shared" si="54"/>
        <v>Receipts:</v>
      </c>
      <c r="C225" s="1"/>
      <c r="D225" s="1"/>
      <c r="E225" s="1"/>
      <c r="F225" s="1"/>
      <c r="G225" s="1"/>
      <c r="H225" s="1"/>
      <c r="I225" s="1"/>
      <c r="J225" s="1295"/>
      <c r="K225" s="1295"/>
      <c r="L225" s="1295"/>
      <c r="M225" s="1295"/>
      <c r="N225" s="1295"/>
      <c r="O225" s="1295"/>
      <c r="P225" s="1295"/>
      <c r="Q225" s="1295"/>
      <c r="R225" s="1295"/>
      <c r="S225" s="1295"/>
      <c r="T225" s="1295"/>
      <c r="U225" s="16"/>
      <c r="V225" s="16"/>
      <c r="W225" s="16"/>
      <c r="X225" s="687"/>
      <c r="Y225" s="16"/>
      <c r="Z225" s="16"/>
      <c r="AA225" s="16"/>
      <c r="AB225" s="16"/>
      <c r="AC225" s="16"/>
      <c r="AD225" s="16"/>
      <c r="AE225" s="16"/>
      <c r="AF225" s="16"/>
      <c r="AG225" s="16"/>
      <c r="AH225" s="16"/>
      <c r="AI225" s="16"/>
      <c r="AJ225" s="16"/>
      <c r="AK225" s="16"/>
    </row>
    <row r="226" spans="1:37" x14ac:dyDescent="0.2">
      <c r="A226" s="622"/>
      <c r="B226" s="1337" t="str">
        <f t="shared" si="54"/>
        <v>Rates &amp; Annual Charges</v>
      </c>
      <c r="C226" s="1"/>
      <c r="D226" s="491" t="s">
        <v>116</v>
      </c>
      <c r="E226" s="1"/>
      <c r="F226" s="1"/>
      <c r="G226" s="1"/>
      <c r="H226" s="1"/>
      <c r="I226" s="1"/>
      <c r="J226" s="1232">
        <v>73248802</v>
      </c>
      <c r="K226" s="1232">
        <v>76602494</v>
      </c>
      <c r="L226" s="1232">
        <v>78896177</v>
      </c>
      <c r="M226" s="1232">
        <v>81242062</v>
      </c>
      <c r="N226" s="1232">
        <v>83658324</v>
      </c>
      <c r="O226" s="1232">
        <v>87609406</v>
      </c>
      <c r="P226" s="1232">
        <v>90237728</v>
      </c>
      <c r="Q226" s="1232">
        <v>92923860</v>
      </c>
      <c r="R226" s="1232">
        <v>95690576</v>
      </c>
      <c r="S226" s="1232">
        <v>98540293</v>
      </c>
      <c r="T226" s="1232"/>
      <c r="U226" s="151"/>
      <c r="V226" s="151"/>
      <c r="W226" s="151"/>
      <c r="X226" s="1261"/>
      <c r="Y226" s="16"/>
      <c r="Z226" s="16"/>
      <c r="AA226" s="16"/>
      <c r="AB226" s="16"/>
      <c r="AC226" s="16"/>
      <c r="AD226" s="16"/>
      <c r="AE226" s="16"/>
      <c r="AF226" s="16"/>
      <c r="AG226" s="16"/>
      <c r="AH226" s="16"/>
      <c r="AI226" s="16"/>
      <c r="AJ226" s="16"/>
      <c r="AK226" s="16"/>
    </row>
    <row r="227" spans="1:37" x14ac:dyDescent="0.2">
      <c r="A227" s="622"/>
      <c r="B227" s="1337" t="str">
        <f t="shared" si="54"/>
        <v>User Charges &amp; Fees</v>
      </c>
      <c r="C227" s="1"/>
      <c r="D227" s="491" t="s">
        <v>116</v>
      </c>
      <c r="E227" s="1"/>
      <c r="F227" s="1"/>
      <c r="G227" s="1"/>
      <c r="H227" s="1"/>
      <c r="I227" s="1"/>
      <c r="J227" s="1284">
        <v>15464692</v>
      </c>
      <c r="K227" s="1284">
        <v>20477946</v>
      </c>
      <c r="L227" s="1284">
        <v>21043663</v>
      </c>
      <c r="M227" s="1284">
        <v>21690316</v>
      </c>
      <c r="N227" s="1284">
        <v>22352252</v>
      </c>
      <c r="O227" s="1284">
        <v>23034811</v>
      </c>
      <c r="P227" s="1284">
        <v>23738272</v>
      </c>
      <c r="Q227" s="1284">
        <v>24463282</v>
      </c>
      <c r="R227" s="1284">
        <v>25210500</v>
      </c>
      <c r="S227" s="1284">
        <v>25980609</v>
      </c>
      <c r="T227" s="1284"/>
      <c r="U227" s="112"/>
      <c r="V227" s="112"/>
      <c r="W227" s="112"/>
      <c r="X227" s="1147"/>
      <c r="Y227" s="16"/>
      <c r="Z227" s="16"/>
      <c r="AA227" s="16"/>
      <c r="AB227" s="16"/>
      <c r="AC227" s="16"/>
      <c r="AD227" s="16"/>
      <c r="AE227" s="16"/>
      <c r="AF227" s="16"/>
      <c r="AG227" s="16"/>
      <c r="AH227" s="16"/>
      <c r="AI227" s="16"/>
      <c r="AJ227" s="16"/>
      <c r="AK227" s="16"/>
    </row>
    <row r="228" spans="1:37" x14ac:dyDescent="0.2">
      <c r="A228" s="622"/>
      <c r="B228" s="1337" t="str">
        <f t="shared" si="54"/>
        <v>Interest &amp; Investment Revenue Received</v>
      </c>
      <c r="C228" s="1"/>
      <c r="D228" s="491" t="s">
        <v>116</v>
      </c>
      <c r="E228" s="1"/>
      <c r="F228" s="1"/>
      <c r="G228" s="1"/>
      <c r="H228" s="1"/>
      <c r="I228" s="1"/>
      <c r="J228" s="1284">
        <v>7537139</v>
      </c>
      <c r="K228" s="1284">
        <v>6577491</v>
      </c>
      <c r="L228" s="1284">
        <v>6183606</v>
      </c>
      <c r="M228" s="1284">
        <v>6329675</v>
      </c>
      <c r="N228" s="1284">
        <v>5137306</v>
      </c>
      <c r="O228" s="1284">
        <v>4992206</v>
      </c>
      <c r="P228" s="1284">
        <v>4907474</v>
      </c>
      <c r="Q228" s="1284">
        <v>5069938</v>
      </c>
      <c r="R228" s="1284">
        <v>5225661</v>
      </c>
      <c r="S228" s="1284">
        <v>5410324</v>
      </c>
      <c r="T228" s="1284"/>
      <c r="U228" s="112"/>
      <c r="V228" s="112"/>
      <c r="W228" s="112"/>
      <c r="X228" s="1147"/>
      <c r="Y228" s="16"/>
      <c r="Z228" s="16"/>
      <c r="AA228" s="16"/>
      <c r="AB228" s="16"/>
      <c r="AC228" s="16"/>
      <c r="AD228" s="16"/>
      <c r="AE228" s="16"/>
      <c r="AF228" s="16"/>
      <c r="AG228" s="16"/>
      <c r="AH228" s="16"/>
      <c r="AI228" s="16"/>
      <c r="AJ228" s="16"/>
      <c r="AK228" s="16"/>
    </row>
    <row r="229" spans="1:37" x14ac:dyDescent="0.2">
      <c r="A229" s="622"/>
      <c r="B229" s="1337" t="str">
        <f t="shared" si="54"/>
        <v>Grants &amp; Contributions</v>
      </c>
      <c r="C229" s="1"/>
      <c r="D229" s="491" t="s">
        <v>116</v>
      </c>
      <c r="E229" s="1"/>
      <c r="F229" s="1"/>
      <c r="G229" s="1"/>
      <c r="H229" s="1"/>
      <c r="I229" s="1"/>
      <c r="J229" s="1284">
        <v>21145386</v>
      </c>
      <c r="K229" s="1284">
        <v>11183216</v>
      </c>
      <c r="L229" s="1284">
        <v>17283770</v>
      </c>
      <c r="M229" s="1284">
        <v>16720860</v>
      </c>
      <c r="N229" s="1284">
        <v>17013488</v>
      </c>
      <c r="O229" s="1284">
        <v>17314231</v>
      </c>
      <c r="P229" s="1284">
        <v>17689454</v>
      </c>
      <c r="Q229" s="1284">
        <v>14608262</v>
      </c>
      <c r="R229" s="1284">
        <v>15815314</v>
      </c>
      <c r="S229" s="1284">
        <v>16117550</v>
      </c>
      <c r="T229" s="1284"/>
      <c r="U229" s="112"/>
      <c r="V229" s="112"/>
      <c r="W229" s="112"/>
      <c r="X229" s="1147"/>
      <c r="Y229" s="16"/>
      <c r="Z229" s="16"/>
      <c r="AA229" s="16"/>
      <c r="AB229" s="16"/>
      <c r="AC229" s="16"/>
      <c r="AD229" s="16"/>
      <c r="AE229" s="16"/>
      <c r="AF229" s="16"/>
      <c r="AG229" s="16"/>
      <c r="AH229" s="16"/>
      <c r="AI229" s="16"/>
      <c r="AJ229" s="16"/>
      <c r="AK229" s="16"/>
    </row>
    <row r="230" spans="1:37" x14ac:dyDescent="0.2">
      <c r="A230" s="622"/>
      <c r="B230" s="1337" t="str">
        <f t="shared" si="54"/>
        <v>Bonds &amp; Deposits Received</v>
      </c>
      <c r="C230" s="1"/>
      <c r="D230" s="491" t="s">
        <v>116</v>
      </c>
      <c r="E230" s="1"/>
      <c r="F230" s="1"/>
      <c r="G230" s="1"/>
      <c r="H230" s="1"/>
      <c r="I230" s="1"/>
      <c r="J230" s="1195">
        <v>0</v>
      </c>
      <c r="K230" s="1195">
        <v>0</v>
      </c>
      <c r="L230" s="1195">
        <v>0</v>
      </c>
      <c r="M230" s="1195">
        <v>0</v>
      </c>
      <c r="N230" s="1195">
        <v>0</v>
      </c>
      <c r="O230" s="1195">
        <v>0</v>
      </c>
      <c r="P230" s="1195">
        <v>0</v>
      </c>
      <c r="Q230" s="1195">
        <v>0</v>
      </c>
      <c r="R230" s="1195">
        <v>0</v>
      </c>
      <c r="S230" s="1195">
        <v>0</v>
      </c>
      <c r="T230" s="1195"/>
      <c r="U230" s="240"/>
      <c r="V230" s="112"/>
      <c r="W230" s="112"/>
      <c r="X230" s="1147"/>
      <c r="Y230" s="16"/>
      <c r="Z230" s="16"/>
      <c r="AA230" s="16"/>
      <c r="AB230" s="16"/>
      <c r="AC230" s="16"/>
      <c r="AD230" s="16"/>
      <c r="AE230" s="16"/>
      <c r="AF230" s="16"/>
      <c r="AG230" s="16"/>
      <c r="AH230" s="16"/>
      <c r="AI230" s="16"/>
      <c r="AJ230" s="16"/>
      <c r="AK230" s="16"/>
    </row>
    <row r="231" spans="1:37" x14ac:dyDescent="0.2">
      <c r="A231" s="622"/>
      <c r="B231" s="1337" t="str">
        <f t="shared" si="54"/>
        <v>Other</v>
      </c>
      <c r="C231" s="1"/>
      <c r="D231" s="491" t="s">
        <v>116</v>
      </c>
      <c r="E231" s="1"/>
      <c r="F231" s="1"/>
      <c r="G231" s="1"/>
      <c r="H231" s="1"/>
      <c r="I231" s="1"/>
      <c r="J231" s="1195">
        <v>22519005</v>
      </c>
      <c r="K231" s="1195">
        <v>22794252</v>
      </c>
      <c r="L231" s="1195">
        <v>23794335</v>
      </c>
      <c r="M231" s="1195">
        <v>24503833</v>
      </c>
      <c r="N231" s="1195">
        <v>25213878</v>
      </c>
      <c r="O231" s="1195">
        <v>25944333</v>
      </c>
      <c r="P231" s="1195">
        <v>26696375</v>
      </c>
      <c r="Q231" s="1195">
        <v>27483001</v>
      </c>
      <c r="R231" s="1195">
        <v>28269221</v>
      </c>
      <c r="S231" s="1195">
        <v>29095830</v>
      </c>
      <c r="T231" s="1195"/>
      <c r="U231" s="240"/>
      <c r="V231" s="112"/>
      <c r="W231" s="112"/>
      <c r="X231" s="1147"/>
      <c r="Y231" s="16"/>
      <c r="Z231" s="16"/>
      <c r="AA231" s="16"/>
      <c r="AB231" s="16"/>
      <c r="AC231" s="16"/>
      <c r="AD231" s="16"/>
      <c r="AE231" s="16"/>
      <c r="AF231" s="16"/>
      <c r="AG231" s="16"/>
      <c r="AH231" s="16"/>
      <c r="AI231" s="16"/>
      <c r="AJ231" s="16"/>
      <c r="AK231" s="16"/>
    </row>
    <row r="232" spans="1:37" x14ac:dyDescent="0.2">
      <c r="A232" s="622"/>
      <c r="B232" s="1223" t="str">
        <f t="shared" si="54"/>
        <v>Payments:</v>
      </c>
      <c r="C232" s="1"/>
      <c r="D232" s="1"/>
      <c r="E232" s="1"/>
      <c r="F232" s="1"/>
      <c r="G232" s="1"/>
      <c r="H232" s="1"/>
      <c r="I232" s="1"/>
      <c r="J232" s="1631"/>
      <c r="K232" s="1631"/>
      <c r="L232" s="1631"/>
      <c r="M232" s="1631"/>
      <c r="N232" s="1631"/>
      <c r="O232" s="1631"/>
      <c r="P232" s="1631"/>
      <c r="Q232" s="1631"/>
      <c r="R232" s="1631"/>
      <c r="S232" s="1631"/>
      <c r="T232" s="1631"/>
      <c r="U232" s="240"/>
      <c r="V232" s="112"/>
      <c r="W232" s="112"/>
      <c r="X232" s="1147"/>
      <c r="Y232" s="16"/>
      <c r="Z232" s="16"/>
      <c r="AA232" s="16"/>
      <c r="AB232" s="16"/>
      <c r="AC232" s="16"/>
      <c r="AD232" s="16"/>
      <c r="AE232" s="16"/>
      <c r="AF232" s="16"/>
      <c r="AG232" s="16"/>
      <c r="AH232" s="16"/>
      <c r="AI232" s="16"/>
      <c r="AJ232" s="16"/>
      <c r="AK232" s="16"/>
    </row>
    <row r="233" spans="1:37" x14ac:dyDescent="0.2">
      <c r="A233" s="622"/>
      <c r="B233" s="1337" t="str">
        <f t="shared" si="54"/>
        <v>Employee Benefits &amp; On-Costs</v>
      </c>
      <c r="C233" s="1"/>
      <c r="D233" s="491" t="s">
        <v>116</v>
      </c>
      <c r="E233" s="1"/>
      <c r="F233" s="1"/>
      <c r="G233" s="1"/>
      <c r="H233" s="1"/>
      <c r="I233" s="1"/>
      <c r="J233" s="1195">
        <v>48510041</v>
      </c>
      <c r="K233" s="1195">
        <v>49655172</v>
      </c>
      <c r="L233" s="1195">
        <v>51389760</v>
      </c>
      <c r="M233" s="1195">
        <v>51776576</v>
      </c>
      <c r="N233" s="1195">
        <v>53320734</v>
      </c>
      <c r="O233" s="1195">
        <v>54920356</v>
      </c>
      <c r="P233" s="1195">
        <v>56567967</v>
      </c>
      <c r="Q233" s="1195">
        <v>58265006</v>
      </c>
      <c r="R233" s="1195">
        <v>60012956</v>
      </c>
      <c r="S233" s="1195">
        <v>61813345</v>
      </c>
      <c r="T233" s="1195"/>
      <c r="U233" s="240"/>
      <c r="V233" s="112"/>
      <c r="W233" s="112"/>
      <c r="X233" s="1147"/>
      <c r="Y233" s="16"/>
      <c r="Z233" s="16"/>
      <c r="AA233" s="16"/>
      <c r="AB233" s="16"/>
      <c r="AC233" s="16"/>
      <c r="AD233" s="16"/>
      <c r="AE233" s="16"/>
      <c r="AF233" s="16"/>
      <c r="AG233" s="16"/>
      <c r="AH233" s="16"/>
      <c r="AI233" s="16"/>
      <c r="AJ233" s="16"/>
      <c r="AK233" s="16"/>
    </row>
    <row r="234" spans="1:37" x14ac:dyDescent="0.2">
      <c r="A234" s="622"/>
      <c r="B234" s="1337" t="str">
        <f t="shared" si="54"/>
        <v>Materials &amp; Contracts</v>
      </c>
      <c r="C234" s="1"/>
      <c r="D234" s="491" t="s">
        <v>116</v>
      </c>
      <c r="E234" s="1"/>
      <c r="F234" s="1"/>
      <c r="G234" s="1"/>
      <c r="H234" s="1"/>
      <c r="I234" s="1"/>
      <c r="J234" s="1195">
        <v>54189314</v>
      </c>
      <c r="K234" s="1195">
        <v>54722656</v>
      </c>
      <c r="L234" s="1195">
        <v>54292253</v>
      </c>
      <c r="M234" s="1195">
        <v>55921111</v>
      </c>
      <c r="N234" s="1195">
        <v>57651333</v>
      </c>
      <c r="O234" s="1195">
        <v>60959788</v>
      </c>
      <c r="P234" s="1195">
        <v>62509438</v>
      </c>
      <c r="Q234" s="1195">
        <v>64068814</v>
      </c>
      <c r="R234" s="1195">
        <v>65903387</v>
      </c>
      <c r="S234" s="1195">
        <v>68333050</v>
      </c>
      <c r="T234" s="1195"/>
      <c r="U234" s="85"/>
      <c r="V234" s="151"/>
      <c r="W234" s="151"/>
      <c r="X234" s="1261"/>
      <c r="Y234" s="16"/>
      <c r="Z234" s="16"/>
      <c r="AA234" s="16"/>
      <c r="AB234" s="16"/>
      <c r="AC234" s="16"/>
      <c r="AD234" s="16"/>
      <c r="AE234" s="16"/>
      <c r="AF234" s="16"/>
      <c r="AG234" s="16"/>
      <c r="AH234" s="16"/>
      <c r="AI234" s="16"/>
      <c r="AJ234" s="16"/>
      <c r="AK234" s="16"/>
    </row>
    <row r="235" spans="1:37" x14ac:dyDescent="0.2">
      <c r="A235" s="622"/>
      <c r="B235" s="1337" t="str">
        <f t="shared" si="54"/>
        <v>Borrowing Costs</v>
      </c>
      <c r="C235" s="1"/>
      <c r="D235" s="491" t="s">
        <v>116</v>
      </c>
      <c r="E235" s="1"/>
      <c r="F235" s="1"/>
      <c r="G235" s="1"/>
      <c r="H235" s="1"/>
      <c r="I235" s="1"/>
      <c r="J235" s="1195">
        <v>1610853</v>
      </c>
      <c r="K235" s="1195">
        <v>1608876</v>
      </c>
      <c r="L235" s="1195">
        <v>1598332</v>
      </c>
      <c r="M235" s="1195">
        <v>1595501</v>
      </c>
      <c r="N235" s="1195">
        <v>1597840</v>
      </c>
      <c r="O235" s="1195">
        <v>1598611</v>
      </c>
      <c r="P235" s="1195">
        <v>1598810</v>
      </c>
      <c r="Q235" s="1195">
        <v>1603354</v>
      </c>
      <c r="R235" s="1195">
        <v>1635304</v>
      </c>
      <c r="S235" s="1195">
        <v>1670557</v>
      </c>
      <c r="T235" s="1195"/>
      <c r="U235" s="240"/>
      <c r="V235" s="112"/>
      <c r="W235" s="112"/>
      <c r="X235" s="1147"/>
      <c r="Y235" s="16"/>
      <c r="Z235" s="16"/>
      <c r="AA235" s="16"/>
      <c r="AB235" s="16"/>
      <c r="AC235" s="16"/>
      <c r="AD235" s="16"/>
      <c r="AE235" s="16"/>
      <c r="AF235" s="16"/>
      <c r="AG235" s="16"/>
      <c r="AH235" s="16"/>
      <c r="AI235" s="16"/>
      <c r="AJ235" s="16"/>
      <c r="AK235" s="16"/>
    </row>
    <row r="236" spans="1:37" x14ac:dyDescent="0.2">
      <c r="A236" s="622"/>
      <c r="B236" s="1337" t="str">
        <f t="shared" si="54"/>
        <v>Bonds &amp; Deposits Refunded</v>
      </c>
      <c r="C236" s="1"/>
      <c r="D236" s="491" t="s">
        <v>116</v>
      </c>
      <c r="E236" s="1"/>
      <c r="F236" s="1"/>
      <c r="G236" s="1"/>
      <c r="H236" s="1"/>
      <c r="I236" s="1"/>
      <c r="J236" s="1195">
        <v>0</v>
      </c>
      <c r="K236" s="1195">
        <v>0</v>
      </c>
      <c r="L236" s="1195">
        <v>0</v>
      </c>
      <c r="M236" s="1195">
        <v>0</v>
      </c>
      <c r="N236" s="1195">
        <v>0</v>
      </c>
      <c r="O236" s="1195">
        <v>0</v>
      </c>
      <c r="P236" s="1195">
        <v>0</v>
      </c>
      <c r="Q236" s="1195">
        <v>0</v>
      </c>
      <c r="R236" s="1195">
        <v>0</v>
      </c>
      <c r="S236" s="1195">
        <v>0</v>
      </c>
      <c r="T236" s="1195"/>
      <c r="U236" s="240"/>
      <c r="V236" s="112"/>
      <c r="W236" s="112"/>
      <c r="X236" s="1147"/>
      <c r="Y236" s="16"/>
      <c r="Z236" s="16"/>
      <c r="AA236" s="16"/>
      <c r="AB236" s="16"/>
      <c r="AC236" s="16"/>
      <c r="AD236" s="16"/>
      <c r="AE236" s="16"/>
      <c r="AF236" s="16"/>
      <c r="AG236" s="16"/>
      <c r="AH236" s="16"/>
      <c r="AI236" s="16"/>
      <c r="AJ236" s="16"/>
      <c r="AK236" s="16"/>
    </row>
    <row r="237" spans="1:37" x14ac:dyDescent="0.2">
      <c r="A237" s="622"/>
      <c r="B237" s="1337" t="str">
        <f t="shared" si="54"/>
        <v>Other</v>
      </c>
      <c r="C237" s="1"/>
      <c r="D237" s="491" t="s">
        <v>116</v>
      </c>
      <c r="E237" s="1"/>
      <c r="F237" s="1"/>
      <c r="G237" s="1"/>
      <c r="H237" s="1"/>
      <c r="I237" s="1"/>
      <c r="J237" s="1195">
        <v>3126725</v>
      </c>
      <c r="K237" s="1195">
        <v>3502384</v>
      </c>
      <c r="L237" s="1195">
        <v>3579884</v>
      </c>
      <c r="M237" s="1195">
        <v>3655369</v>
      </c>
      <c r="N237" s="1195">
        <v>3735358</v>
      </c>
      <c r="O237" s="1195">
        <v>3788948</v>
      </c>
      <c r="P237" s="1195">
        <v>3980337</v>
      </c>
      <c r="Q237" s="1195">
        <v>4090483</v>
      </c>
      <c r="R237" s="1195">
        <v>4205896</v>
      </c>
      <c r="S237" s="1195">
        <v>4312811</v>
      </c>
      <c r="T237" s="1195"/>
      <c r="U237" s="240"/>
      <c r="V237" s="112"/>
      <c r="W237" s="112"/>
      <c r="X237" s="1147"/>
      <c r="Y237" s="16"/>
      <c r="Z237" s="16"/>
      <c r="AA237" s="16"/>
      <c r="AB237" s="16"/>
      <c r="AC237" s="16"/>
      <c r="AD237" s="16"/>
      <c r="AE237" s="16"/>
      <c r="AF237" s="16"/>
      <c r="AG237" s="16"/>
      <c r="AH237" s="16"/>
      <c r="AI237" s="16"/>
      <c r="AJ237" s="16"/>
      <c r="AK237" s="16"/>
    </row>
    <row r="238" spans="1:37" x14ac:dyDescent="0.2">
      <c r="A238" s="622"/>
      <c r="B238" s="1304"/>
      <c r="C238" s="1"/>
      <c r="D238" s="1"/>
      <c r="E238" s="1"/>
      <c r="F238" s="1"/>
      <c r="G238" s="1"/>
      <c r="H238" s="1"/>
      <c r="I238" s="1"/>
      <c r="J238" s="1197"/>
      <c r="K238" s="1197"/>
      <c r="L238" s="1197"/>
      <c r="M238" s="1197"/>
      <c r="N238" s="1197"/>
      <c r="O238" s="1197"/>
      <c r="P238" s="1197"/>
      <c r="Q238" s="1197"/>
      <c r="R238" s="1197"/>
      <c r="S238" s="1197"/>
      <c r="T238" s="1197"/>
      <c r="U238" s="85"/>
      <c r="V238" s="151"/>
      <c r="W238" s="151"/>
      <c r="X238" s="1261"/>
      <c r="Y238" s="16"/>
      <c r="Z238" s="16"/>
      <c r="AA238" s="16"/>
      <c r="AB238" s="16"/>
      <c r="AC238" s="16"/>
      <c r="AD238" s="16"/>
      <c r="AE238" s="16"/>
      <c r="AF238" s="16"/>
      <c r="AG238" s="16"/>
      <c r="AH238" s="16"/>
      <c r="AI238" s="16"/>
      <c r="AJ238" s="16"/>
      <c r="AK238" s="16"/>
    </row>
    <row r="239" spans="1:37" x14ac:dyDescent="0.2">
      <c r="A239" s="622"/>
      <c r="B239" s="1338" t="str">
        <f>B93</f>
        <v>Net cash provided (or used in) operating activities</v>
      </c>
      <c r="C239" s="1"/>
      <c r="D239" s="491" t="s">
        <v>116</v>
      </c>
      <c r="E239" s="1"/>
      <c r="F239" s="1"/>
      <c r="G239" s="1"/>
      <c r="H239" s="1"/>
      <c r="I239" s="1"/>
      <c r="J239" s="1292">
        <f>SUM(J226:J231)-SUM(J233:J237)</f>
        <v>32478091</v>
      </c>
      <c r="K239" s="1292">
        <f t="shared" ref="K239:T239" si="55">SUM(K226:K231)-SUM(K233:K237)</f>
        <v>28146311</v>
      </c>
      <c r="L239" s="1292">
        <f t="shared" si="55"/>
        <v>36341322</v>
      </c>
      <c r="M239" s="1292">
        <f t="shared" si="55"/>
        <v>37538189</v>
      </c>
      <c r="N239" s="1292">
        <f t="shared" si="55"/>
        <v>37069983</v>
      </c>
      <c r="O239" s="1292">
        <f t="shared" si="55"/>
        <v>37627284</v>
      </c>
      <c r="P239" s="1292">
        <f t="shared" si="55"/>
        <v>38612751</v>
      </c>
      <c r="Q239" s="1292">
        <f t="shared" si="55"/>
        <v>36520686</v>
      </c>
      <c r="R239" s="1292">
        <f t="shared" si="55"/>
        <v>38453729</v>
      </c>
      <c r="S239" s="1292">
        <f t="shared" si="55"/>
        <v>39014843</v>
      </c>
      <c r="T239" s="1292">
        <f t="shared" si="55"/>
        <v>0</v>
      </c>
      <c r="U239" s="112"/>
      <c r="V239" s="16"/>
      <c r="W239" s="16"/>
      <c r="X239" s="687"/>
      <c r="Y239" s="16"/>
      <c r="Z239" s="16"/>
      <c r="AA239" s="16"/>
      <c r="AB239" s="16"/>
      <c r="AC239" s="16"/>
      <c r="AD239" s="16"/>
      <c r="AE239" s="16"/>
      <c r="AF239" s="16"/>
      <c r="AG239" s="16"/>
      <c r="AH239" s="16"/>
      <c r="AI239" s="16"/>
      <c r="AJ239" s="16"/>
      <c r="AK239" s="16"/>
    </row>
    <row r="240" spans="1:37" x14ac:dyDescent="0.2">
      <c r="A240" s="622"/>
      <c r="B240" s="1304"/>
      <c r="C240" s="1"/>
      <c r="D240" s="1"/>
      <c r="E240" s="1"/>
      <c r="F240" s="1"/>
      <c r="G240" s="1"/>
      <c r="H240" s="1"/>
      <c r="I240" s="1"/>
      <c r="J240" s="1295"/>
      <c r="K240" s="1295"/>
      <c r="L240" s="1295"/>
      <c r="M240" s="1295"/>
      <c r="N240" s="1295"/>
      <c r="O240" s="1295"/>
      <c r="P240" s="1295"/>
      <c r="Q240" s="1295"/>
      <c r="R240" s="1295"/>
      <c r="S240" s="1295"/>
      <c r="T240" s="1295"/>
      <c r="U240" s="16"/>
      <c r="V240" s="16"/>
      <c r="W240" s="16"/>
      <c r="X240" s="687"/>
      <c r="Y240" s="16"/>
      <c r="Z240" s="16"/>
      <c r="AA240" s="16"/>
      <c r="AB240" s="16"/>
      <c r="AC240" s="16"/>
      <c r="AD240" s="16"/>
      <c r="AE240" s="16"/>
      <c r="AF240" s="16"/>
      <c r="AG240" s="16"/>
      <c r="AH240" s="16"/>
      <c r="AI240" s="16"/>
      <c r="AJ240" s="16"/>
      <c r="AK240" s="16"/>
    </row>
    <row r="241" spans="1:37" x14ac:dyDescent="0.2">
      <c r="A241" s="622"/>
      <c r="B241" s="1324" t="str">
        <f t="shared" ref="B241:B246" si="56">B95</f>
        <v>Cashflow from investing activities</v>
      </c>
      <c r="C241" s="265"/>
      <c r="D241" s="265"/>
      <c r="E241" s="265"/>
      <c r="F241" s="265"/>
      <c r="G241" s="265"/>
      <c r="H241" s="265"/>
      <c r="I241" s="265"/>
      <c r="J241" s="1315"/>
      <c r="K241" s="1293"/>
      <c r="L241" s="1316"/>
      <c r="M241" s="1317"/>
      <c r="N241" s="1316"/>
      <c r="O241" s="1316"/>
      <c r="P241" s="1316"/>
      <c r="Q241" s="1316"/>
      <c r="R241" s="1316"/>
      <c r="S241" s="1316"/>
      <c r="T241" s="1316"/>
      <c r="U241" s="1258"/>
      <c r="V241" s="1258"/>
      <c r="W241" s="1258"/>
      <c r="X241" s="1260"/>
      <c r="Y241" s="16"/>
      <c r="Z241" s="16"/>
      <c r="AA241" s="16"/>
      <c r="AB241" s="16"/>
      <c r="AC241" s="16"/>
      <c r="AD241" s="16"/>
      <c r="AE241" s="16"/>
      <c r="AF241" s="16"/>
      <c r="AG241" s="16"/>
      <c r="AH241" s="16"/>
      <c r="AI241" s="16"/>
      <c r="AJ241" s="16"/>
      <c r="AK241" s="16"/>
    </row>
    <row r="242" spans="1:37" x14ac:dyDescent="0.2">
      <c r="A242" s="622"/>
      <c r="B242" s="1223" t="str">
        <f t="shared" si="56"/>
        <v>Receipts:</v>
      </c>
      <c r="C242" s="1"/>
      <c r="D242" s="1"/>
      <c r="E242" s="1"/>
      <c r="F242" s="1"/>
      <c r="G242" s="1"/>
      <c r="H242" s="1"/>
      <c r="I242" s="1"/>
      <c r="J242" s="1295"/>
      <c r="K242" s="1318"/>
      <c r="L242" s="1318"/>
      <c r="M242" s="1318"/>
      <c r="N242" s="1318"/>
      <c r="O242" s="1318"/>
      <c r="P242" s="1318"/>
      <c r="Q242" s="1318"/>
      <c r="R242" s="1318"/>
      <c r="S242" s="1318"/>
      <c r="T242" s="1318"/>
      <c r="U242" s="16"/>
      <c r="V242" s="16"/>
      <c r="W242" s="16"/>
      <c r="X242" s="687"/>
      <c r="Y242" s="16"/>
      <c r="Z242" s="16"/>
      <c r="AA242" s="16"/>
      <c r="AB242" s="16"/>
      <c r="AC242" s="16"/>
      <c r="AD242" s="16"/>
      <c r="AE242" s="16"/>
      <c r="AF242" s="16"/>
      <c r="AG242" s="16"/>
      <c r="AH242" s="16"/>
      <c r="AI242" s="16"/>
      <c r="AJ242" s="16"/>
      <c r="AK242" s="16"/>
    </row>
    <row r="243" spans="1:37" x14ac:dyDescent="0.2">
      <c r="A243" s="622"/>
      <c r="B243" s="1337" t="str">
        <f t="shared" si="56"/>
        <v>Sale of investment securities</v>
      </c>
      <c r="C243" s="1"/>
      <c r="D243" s="491" t="s">
        <v>116</v>
      </c>
      <c r="E243" s="1"/>
      <c r="F243" s="1"/>
      <c r="G243" s="1"/>
      <c r="H243" s="1"/>
      <c r="I243" s="1"/>
      <c r="J243" s="1625">
        <v>27737488</v>
      </c>
      <c r="K243" s="1625">
        <v>9500395</v>
      </c>
      <c r="L243" s="1625">
        <v>0</v>
      </c>
      <c r="M243" s="1625">
        <v>19469626</v>
      </c>
      <c r="N243" s="1625">
        <v>0</v>
      </c>
      <c r="O243" s="1625">
        <v>0</v>
      </c>
      <c r="P243" s="1625">
        <v>0</v>
      </c>
      <c r="Q243" s="1625">
        <v>0</v>
      </c>
      <c r="R243" s="1625">
        <v>0</v>
      </c>
      <c r="S243" s="1625">
        <v>0</v>
      </c>
      <c r="T243" s="1625"/>
      <c r="U243" s="112"/>
      <c r="V243" s="16"/>
      <c r="W243" s="16"/>
      <c r="X243" s="687"/>
      <c r="Y243" s="16"/>
      <c r="Z243" s="16"/>
      <c r="AA243" s="16"/>
      <c r="AB243" s="16"/>
      <c r="AC243" s="16"/>
      <c r="AD243" s="16"/>
      <c r="AE243" s="16"/>
      <c r="AF243" s="16"/>
      <c r="AG243" s="16"/>
      <c r="AH243" s="16"/>
      <c r="AI243" s="16"/>
      <c r="AJ243" s="16"/>
      <c r="AK243" s="16"/>
    </row>
    <row r="244" spans="1:37" x14ac:dyDescent="0.2">
      <c r="A244" s="622"/>
      <c r="B244" s="1337" t="str">
        <f t="shared" si="56"/>
        <v>Sale of Infrastructure, Property, Plant &amp; Equipment</v>
      </c>
      <c r="C244" s="1"/>
      <c r="D244" s="491" t="s">
        <v>116</v>
      </c>
      <c r="E244" s="1"/>
      <c r="F244" s="1"/>
      <c r="G244" s="1"/>
      <c r="H244" s="1"/>
      <c r="I244" s="1"/>
      <c r="J244" s="1625"/>
      <c r="K244" s="1625"/>
      <c r="L244" s="1625"/>
      <c r="M244" s="1625"/>
      <c r="N244" s="1625"/>
      <c r="O244" s="1625"/>
      <c r="P244" s="1625"/>
      <c r="Q244" s="1625"/>
      <c r="R244" s="1625"/>
      <c r="S244" s="1625"/>
      <c r="T244" s="1625"/>
      <c r="U244" s="112"/>
      <c r="V244" s="16"/>
      <c r="W244" s="16"/>
      <c r="X244" s="687"/>
      <c r="Y244" s="16"/>
      <c r="Z244" s="16"/>
      <c r="AA244" s="16"/>
      <c r="AB244" s="16"/>
      <c r="AC244" s="16"/>
      <c r="AD244" s="16"/>
      <c r="AE244" s="16"/>
      <c r="AF244" s="16"/>
      <c r="AG244" s="16"/>
      <c r="AH244" s="16"/>
      <c r="AI244" s="16"/>
      <c r="AJ244" s="16"/>
      <c r="AK244" s="16"/>
    </row>
    <row r="245" spans="1:37" x14ac:dyDescent="0.2">
      <c r="A245" s="622"/>
      <c r="B245" s="1337" t="str">
        <f t="shared" si="56"/>
        <v>Sale of real estate assets</v>
      </c>
      <c r="C245" s="1"/>
      <c r="D245" s="491" t="s">
        <v>116</v>
      </c>
      <c r="E245" s="1"/>
      <c r="F245" s="1"/>
      <c r="G245" s="1"/>
      <c r="H245" s="1"/>
      <c r="I245" s="1"/>
      <c r="J245" s="1625"/>
      <c r="K245" s="1625"/>
      <c r="L245" s="1625"/>
      <c r="M245" s="1625"/>
      <c r="N245" s="1625"/>
      <c r="O245" s="1625"/>
      <c r="P245" s="1625"/>
      <c r="Q245" s="1625"/>
      <c r="R245" s="1625"/>
      <c r="S245" s="1625"/>
      <c r="T245" s="1625"/>
      <c r="U245" s="112"/>
      <c r="V245" s="16"/>
      <c r="W245" s="16"/>
      <c r="X245" s="687"/>
      <c r="Y245" s="16"/>
      <c r="Z245" s="16"/>
      <c r="AA245" s="16"/>
      <c r="AB245" s="16"/>
      <c r="AC245" s="16"/>
      <c r="AD245" s="16"/>
      <c r="AE245" s="16"/>
      <c r="AF245" s="16"/>
      <c r="AG245" s="16"/>
      <c r="AH245" s="16"/>
      <c r="AI245" s="16"/>
      <c r="AJ245" s="16"/>
      <c r="AK245" s="16"/>
    </row>
    <row r="246" spans="1:37" x14ac:dyDescent="0.2">
      <c r="A246" s="622"/>
      <c r="B246" s="1337" t="str">
        <f t="shared" si="56"/>
        <v>Sale of investment properties</v>
      </c>
      <c r="C246" s="1"/>
      <c r="D246" s="491" t="s">
        <v>116</v>
      </c>
      <c r="E246" s="1"/>
      <c r="F246" s="1"/>
      <c r="G246" s="1"/>
      <c r="H246" s="1"/>
      <c r="I246" s="1"/>
      <c r="J246" s="1625"/>
      <c r="K246" s="1625"/>
      <c r="L246" s="1625"/>
      <c r="M246" s="1625"/>
      <c r="N246" s="1625"/>
      <c r="O246" s="1625"/>
      <c r="P246" s="1625"/>
      <c r="Q246" s="1625"/>
      <c r="R246" s="1625"/>
      <c r="S246" s="1625"/>
      <c r="T246" s="1625"/>
      <c r="U246" s="112"/>
      <c r="V246" s="16"/>
      <c r="W246" s="16"/>
      <c r="X246" s="687"/>
      <c r="Y246" s="16"/>
      <c r="Z246" s="16"/>
      <c r="AA246" s="16"/>
      <c r="AB246" s="16"/>
      <c r="AC246" s="16"/>
      <c r="AD246" s="16"/>
      <c r="AE246" s="16"/>
      <c r="AF246" s="16"/>
      <c r="AG246" s="16"/>
      <c r="AH246" s="16"/>
      <c r="AI246" s="16"/>
      <c r="AJ246" s="16"/>
      <c r="AK246" s="16"/>
    </row>
    <row r="247" spans="1:37" x14ac:dyDescent="0.2">
      <c r="A247" s="622"/>
      <c r="B247" s="1472" t="s">
        <v>804</v>
      </c>
      <c r="C247" s="1"/>
      <c r="D247" s="491" t="s">
        <v>116</v>
      </c>
      <c r="E247" s="1"/>
      <c r="F247" s="1"/>
      <c r="G247" s="1"/>
      <c r="H247" s="1"/>
      <c r="I247" s="1"/>
      <c r="J247" s="1625"/>
      <c r="K247" s="1625"/>
      <c r="L247" s="1625"/>
      <c r="M247" s="1625"/>
      <c r="N247" s="1625"/>
      <c r="O247" s="1625"/>
      <c r="P247" s="1625"/>
      <c r="Q247" s="1625"/>
      <c r="R247" s="1625"/>
      <c r="S247" s="1625"/>
      <c r="T247" s="1625"/>
      <c r="U247" s="112"/>
      <c r="V247" s="16"/>
      <c r="W247" s="16"/>
      <c r="X247" s="687"/>
      <c r="Y247" s="16"/>
      <c r="Z247" s="16"/>
      <c r="AA247" s="16"/>
      <c r="AB247" s="16"/>
      <c r="AC247" s="16"/>
      <c r="AD247" s="16"/>
      <c r="AE247" s="16"/>
      <c r="AF247" s="16"/>
      <c r="AG247" s="16"/>
      <c r="AH247" s="16"/>
      <c r="AI247" s="16"/>
      <c r="AJ247" s="16"/>
      <c r="AK247" s="16"/>
    </row>
    <row r="248" spans="1:37" x14ac:dyDescent="0.2">
      <c r="A248" s="622"/>
      <c r="B248" s="1472" t="s">
        <v>804</v>
      </c>
      <c r="C248" s="1"/>
      <c r="D248" s="491" t="s">
        <v>116</v>
      </c>
      <c r="E248" s="1"/>
      <c r="F248" s="1"/>
      <c r="G248" s="1"/>
      <c r="H248" s="1"/>
      <c r="I248" s="1"/>
      <c r="J248" s="1625"/>
      <c r="K248" s="1625"/>
      <c r="L248" s="1625"/>
      <c r="M248" s="1625"/>
      <c r="N248" s="1625"/>
      <c r="O248" s="1625"/>
      <c r="P248" s="1625"/>
      <c r="Q248" s="1625"/>
      <c r="R248" s="1625"/>
      <c r="S248" s="1625"/>
      <c r="T248" s="1625"/>
      <c r="U248" s="112"/>
      <c r="V248" s="16"/>
      <c r="W248" s="16"/>
      <c r="X248" s="687"/>
      <c r="Y248" s="16"/>
      <c r="Z248" s="16"/>
      <c r="AA248" s="16"/>
      <c r="AB248" s="16"/>
      <c r="AC248" s="16"/>
      <c r="AD248" s="16"/>
      <c r="AE248" s="16"/>
      <c r="AF248" s="16"/>
      <c r="AG248" s="16"/>
      <c r="AH248" s="16"/>
      <c r="AI248" s="16"/>
      <c r="AJ248" s="16"/>
      <c r="AK248" s="16"/>
    </row>
    <row r="249" spans="1:37" x14ac:dyDescent="0.2">
      <c r="A249" s="622"/>
      <c r="B249" s="1472" t="s">
        <v>804</v>
      </c>
      <c r="C249" s="1"/>
      <c r="D249" s="491" t="s">
        <v>116</v>
      </c>
      <c r="E249" s="1"/>
      <c r="F249" s="1"/>
      <c r="G249" s="1"/>
      <c r="H249" s="1"/>
      <c r="I249" s="1"/>
      <c r="J249" s="1625"/>
      <c r="K249" s="1625"/>
      <c r="L249" s="1625"/>
      <c r="M249" s="1625"/>
      <c r="N249" s="1625"/>
      <c r="O249" s="1625"/>
      <c r="P249" s="1625"/>
      <c r="Q249" s="1625"/>
      <c r="R249" s="1625"/>
      <c r="S249" s="1625"/>
      <c r="T249" s="1625"/>
      <c r="U249" s="112"/>
      <c r="V249" s="16"/>
      <c r="W249" s="16"/>
      <c r="X249" s="687"/>
      <c r="Y249" s="16"/>
      <c r="Z249" s="16"/>
      <c r="AA249" s="16"/>
      <c r="AB249" s="16"/>
      <c r="AC249" s="16"/>
      <c r="AD249" s="16"/>
      <c r="AE249" s="16"/>
      <c r="AF249" s="16"/>
      <c r="AG249" s="16"/>
      <c r="AH249" s="16"/>
      <c r="AI249" s="16"/>
      <c r="AJ249" s="16"/>
      <c r="AK249" s="16"/>
    </row>
    <row r="250" spans="1:37" x14ac:dyDescent="0.2">
      <c r="A250" s="622"/>
      <c r="B250" s="1472" t="s">
        <v>804</v>
      </c>
      <c r="C250" s="1"/>
      <c r="D250" s="491" t="s">
        <v>116</v>
      </c>
      <c r="E250" s="1"/>
      <c r="F250" s="1"/>
      <c r="G250" s="1"/>
      <c r="H250" s="1"/>
      <c r="I250" s="1"/>
      <c r="J250" s="1625"/>
      <c r="K250" s="1625"/>
      <c r="L250" s="1625"/>
      <c r="M250" s="1625"/>
      <c r="N250" s="1625"/>
      <c r="O250" s="1625"/>
      <c r="P250" s="1625"/>
      <c r="Q250" s="1625"/>
      <c r="R250" s="1625"/>
      <c r="S250" s="1625"/>
      <c r="T250" s="1625"/>
      <c r="U250" s="112"/>
      <c r="V250" s="16"/>
      <c r="W250" s="16"/>
      <c r="X250" s="687"/>
      <c r="Y250" s="16"/>
      <c r="Z250" s="16"/>
      <c r="AA250" s="16"/>
      <c r="AB250" s="16"/>
      <c r="AC250" s="16"/>
      <c r="AD250" s="16"/>
      <c r="AE250" s="16"/>
      <c r="AF250" s="16"/>
      <c r="AG250" s="16"/>
      <c r="AH250" s="16"/>
      <c r="AI250" s="16"/>
      <c r="AJ250" s="16"/>
      <c r="AK250" s="16"/>
    </row>
    <row r="251" spans="1:37" x14ac:dyDescent="0.2">
      <c r="A251" s="622"/>
      <c r="B251" s="1223" t="str">
        <f>B105</f>
        <v>Payments:</v>
      </c>
      <c r="C251" s="1"/>
      <c r="D251" s="1"/>
      <c r="E251" s="1"/>
      <c r="F251" s="1"/>
      <c r="G251" s="1"/>
      <c r="H251" s="1"/>
      <c r="I251" s="1"/>
      <c r="J251" s="1295"/>
      <c r="K251" s="1318"/>
      <c r="L251" s="1318"/>
      <c r="M251" s="1318"/>
      <c r="N251" s="1318"/>
      <c r="O251" s="1318"/>
      <c r="P251" s="1318"/>
      <c r="Q251" s="1318"/>
      <c r="R251" s="1318"/>
      <c r="S251" s="1318"/>
      <c r="T251" s="1318"/>
      <c r="U251" s="16"/>
      <c r="V251" s="16"/>
      <c r="W251" s="16"/>
      <c r="X251" s="687"/>
      <c r="Y251" s="16"/>
      <c r="Z251" s="16"/>
      <c r="AA251" s="16"/>
      <c r="AB251" s="16"/>
      <c r="AC251" s="16"/>
      <c r="AD251" s="16"/>
      <c r="AE251" s="16"/>
      <c r="AF251" s="16"/>
      <c r="AG251" s="16"/>
      <c r="AH251" s="16"/>
      <c r="AI251" s="16"/>
      <c r="AJ251" s="16"/>
      <c r="AK251" s="16"/>
    </row>
    <row r="252" spans="1:37" x14ac:dyDescent="0.2">
      <c r="A252" s="622"/>
      <c r="B252" s="1337" t="str">
        <f>B106</f>
        <v>Purchase of Investment Securities</v>
      </c>
      <c r="C252" s="1"/>
      <c r="D252" s="491" t="s">
        <v>116</v>
      </c>
      <c r="E252" s="1"/>
      <c r="F252" s="1"/>
      <c r="G252" s="1"/>
      <c r="H252" s="1"/>
      <c r="I252" s="1"/>
      <c r="J252" s="1625">
        <v>0</v>
      </c>
      <c r="K252" s="1625">
        <v>0</v>
      </c>
      <c r="L252" s="1625">
        <v>0</v>
      </c>
      <c r="M252" s="1625">
        <v>0</v>
      </c>
      <c r="N252" s="1625">
        <v>0</v>
      </c>
      <c r="O252" s="1625">
        <v>0</v>
      </c>
      <c r="P252" s="1625">
        <v>8896692</v>
      </c>
      <c r="Q252" s="1625">
        <v>9020489</v>
      </c>
      <c r="R252" s="1625">
        <v>9812732</v>
      </c>
      <c r="S252" s="1625">
        <v>10630501</v>
      </c>
      <c r="T252" s="1625"/>
      <c r="U252" s="112"/>
      <c r="V252" s="16"/>
      <c r="W252" s="16"/>
      <c r="X252" s="687"/>
      <c r="Y252" s="16"/>
      <c r="Z252" s="16"/>
      <c r="AA252" s="16"/>
      <c r="AB252" s="16"/>
      <c r="AC252" s="16"/>
      <c r="AD252" s="16"/>
      <c r="AE252" s="16"/>
      <c r="AF252" s="16"/>
      <c r="AG252" s="16"/>
      <c r="AH252" s="16"/>
      <c r="AI252" s="16"/>
      <c r="AJ252" s="16"/>
      <c r="AK252" s="16"/>
    </row>
    <row r="253" spans="1:37" x14ac:dyDescent="0.2">
      <c r="A253" s="622"/>
      <c r="B253" s="1337" t="str">
        <f>B107</f>
        <v>Purchase of Investment Properties</v>
      </c>
      <c r="C253" s="1"/>
      <c r="D253" s="491" t="s">
        <v>116</v>
      </c>
      <c r="E253" s="1"/>
      <c r="F253" s="1"/>
      <c r="G253" s="1"/>
      <c r="H253" s="1"/>
      <c r="I253" s="1"/>
      <c r="J253" s="1625"/>
      <c r="K253" s="1625"/>
      <c r="L253" s="1625"/>
      <c r="M253" s="1625"/>
      <c r="N253" s="1625"/>
      <c r="O253" s="1625"/>
      <c r="P253" s="1625"/>
      <c r="Q253" s="1625"/>
      <c r="R253" s="1625"/>
      <c r="S253" s="1625"/>
      <c r="T253" s="1625"/>
      <c r="U253" s="112"/>
      <c r="V253" s="16"/>
      <c r="W253" s="16"/>
      <c r="X253" s="687"/>
      <c r="Y253" s="16"/>
      <c r="Z253" s="16"/>
      <c r="AA253" s="16"/>
      <c r="AB253" s="16"/>
      <c r="AC253" s="16"/>
      <c r="AD253" s="16"/>
      <c r="AE253" s="16"/>
      <c r="AF253" s="16"/>
      <c r="AG253" s="16"/>
      <c r="AH253" s="16"/>
      <c r="AI253" s="16"/>
      <c r="AJ253" s="16"/>
      <c r="AK253" s="16"/>
    </row>
    <row r="254" spans="1:37" x14ac:dyDescent="0.2">
      <c r="A254" s="622"/>
      <c r="B254" s="1337" t="str">
        <f>B108</f>
        <v>Purchase of Infrastructure, Property, Plant &amp; Equipment</v>
      </c>
      <c r="C254" s="1"/>
      <c r="D254" s="491" t="s">
        <v>116</v>
      </c>
      <c r="E254" s="1"/>
      <c r="F254" s="1"/>
      <c r="G254" s="1"/>
      <c r="H254" s="1"/>
      <c r="I254" s="1"/>
      <c r="J254" s="1625">
        <v>58735310</v>
      </c>
      <c r="K254" s="1625">
        <v>36211037</v>
      </c>
      <c r="L254" s="1625">
        <v>32880664</v>
      </c>
      <c r="M254" s="1625">
        <v>57639780</v>
      </c>
      <c r="N254" s="1625">
        <v>34512278</v>
      </c>
      <c r="O254" s="1625">
        <v>34451370</v>
      </c>
      <c r="P254" s="1625">
        <v>25964648</v>
      </c>
      <c r="Q254" s="1625">
        <v>26531422</v>
      </c>
      <c r="R254" s="1625">
        <v>27844033</v>
      </c>
      <c r="S254" s="1625">
        <v>27561813</v>
      </c>
      <c r="T254" s="1625"/>
      <c r="U254" s="112"/>
      <c r="V254" s="16"/>
      <c r="W254" s="16"/>
      <c r="X254" s="687"/>
      <c r="Y254" s="16"/>
      <c r="Z254" s="16"/>
      <c r="AA254" s="16"/>
      <c r="AB254" s="16"/>
      <c r="AC254" s="16"/>
      <c r="AD254" s="16"/>
      <c r="AE254" s="16"/>
      <c r="AF254" s="16"/>
      <c r="AG254" s="16"/>
      <c r="AH254" s="16"/>
      <c r="AI254" s="16"/>
      <c r="AJ254" s="16"/>
      <c r="AK254" s="16"/>
    </row>
    <row r="255" spans="1:37" x14ac:dyDescent="0.2">
      <c r="A255" s="622"/>
      <c r="B255" s="1337" t="str">
        <f>B109</f>
        <v>Purchase of real estate assets</v>
      </c>
      <c r="C255" s="1"/>
      <c r="D255" s="491" t="s">
        <v>116</v>
      </c>
      <c r="E255" s="1"/>
      <c r="F255" s="1"/>
      <c r="G255" s="1"/>
      <c r="H255" s="1"/>
      <c r="I255" s="1"/>
      <c r="J255" s="1625"/>
      <c r="K255" s="1625"/>
      <c r="L255" s="1625"/>
      <c r="M255" s="1625"/>
      <c r="N255" s="1625"/>
      <c r="O255" s="1625"/>
      <c r="P255" s="1625"/>
      <c r="Q255" s="1625"/>
      <c r="R255" s="1625"/>
      <c r="S255" s="1625"/>
      <c r="T255" s="1625"/>
      <c r="U255" s="112"/>
      <c r="V255" s="16"/>
      <c r="W255" s="16"/>
      <c r="X255" s="687"/>
      <c r="Y255" s="16"/>
      <c r="Z255" s="16"/>
      <c r="AA255" s="16"/>
      <c r="AB255" s="16"/>
      <c r="AC255" s="16"/>
      <c r="AD255" s="16"/>
      <c r="AE255" s="16"/>
      <c r="AF255" s="16"/>
      <c r="AG255" s="16"/>
      <c r="AH255" s="16"/>
      <c r="AI255" s="16"/>
      <c r="AJ255" s="16"/>
      <c r="AK255" s="16"/>
    </row>
    <row r="256" spans="1:37" x14ac:dyDescent="0.2">
      <c r="A256" s="622"/>
      <c r="B256" s="1472" t="s">
        <v>804</v>
      </c>
      <c r="C256" s="1"/>
      <c r="D256" s="491" t="s">
        <v>116</v>
      </c>
      <c r="E256" s="1"/>
      <c r="F256" s="1"/>
      <c r="G256" s="1"/>
      <c r="H256" s="1"/>
      <c r="I256" s="1"/>
      <c r="J256" s="1625"/>
      <c r="K256" s="1625"/>
      <c r="L256" s="1625"/>
      <c r="M256" s="1625"/>
      <c r="N256" s="1625"/>
      <c r="O256" s="1625"/>
      <c r="P256" s="1625"/>
      <c r="Q256" s="1625"/>
      <c r="R256" s="1625"/>
      <c r="S256" s="1625"/>
      <c r="T256" s="1625"/>
      <c r="U256" s="112"/>
      <c r="V256" s="16"/>
      <c r="W256" s="16"/>
      <c r="X256" s="687"/>
      <c r="Y256" s="16"/>
      <c r="Z256" s="16"/>
      <c r="AA256" s="16"/>
      <c r="AB256" s="16"/>
      <c r="AC256" s="16"/>
      <c r="AD256" s="16"/>
      <c r="AE256" s="16"/>
      <c r="AF256" s="16"/>
      <c r="AG256" s="16"/>
      <c r="AH256" s="16"/>
      <c r="AI256" s="16"/>
      <c r="AJ256" s="16"/>
      <c r="AK256" s="16"/>
    </row>
    <row r="257" spans="1:37" x14ac:dyDescent="0.2">
      <c r="A257" s="622"/>
      <c r="B257" s="1472" t="s">
        <v>804</v>
      </c>
      <c r="C257" s="1"/>
      <c r="D257" s="491" t="s">
        <v>116</v>
      </c>
      <c r="E257" s="1"/>
      <c r="F257" s="1"/>
      <c r="G257" s="1"/>
      <c r="H257" s="1"/>
      <c r="I257" s="1"/>
      <c r="J257" s="1625"/>
      <c r="K257" s="1625"/>
      <c r="L257" s="1625"/>
      <c r="M257" s="1625"/>
      <c r="N257" s="1625"/>
      <c r="O257" s="1625"/>
      <c r="P257" s="1625"/>
      <c r="Q257" s="1625"/>
      <c r="R257" s="1625"/>
      <c r="S257" s="1625"/>
      <c r="T257" s="1625"/>
      <c r="U257" s="112"/>
      <c r="V257" s="16"/>
      <c r="W257" s="16"/>
      <c r="X257" s="687"/>
      <c r="Y257" s="16"/>
      <c r="Z257" s="16"/>
      <c r="AA257" s="16"/>
      <c r="AB257" s="16"/>
      <c r="AC257" s="16"/>
      <c r="AD257" s="16"/>
      <c r="AE257" s="16"/>
      <c r="AF257" s="16"/>
      <c r="AG257" s="16"/>
      <c r="AH257" s="16"/>
      <c r="AI257" s="16"/>
      <c r="AJ257" s="16"/>
      <c r="AK257" s="16"/>
    </row>
    <row r="258" spans="1:37" x14ac:dyDescent="0.2">
      <c r="A258" s="622"/>
      <c r="B258" s="1472" t="s">
        <v>804</v>
      </c>
      <c r="C258" s="1"/>
      <c r="D258" s="491" t="s">
        <v>116</v>
      </c>
      <c r="E258" s="1"/>
      <c r="F258" s="1"/>
      <c r="G258" s="1"/>
      <c r="H258" s="1"/>
      <c r="I258" s="1"/>
      <c r="J258" s="1625"/>
      <c r="K258" s="1625"/>
      <c r="L258" s="1625"/>
      <c r="M258" s="1625"/>
      <c r="N258" s="1625"/>
      <c r="O258" s="1625"/>
      <c r="P258" s="1625"/>
      <c r="Q258" s="1625"/>
      <c r="R258" s="1625"/>
      <c r="S258" s="1625"/>
      <c r="T258" s="1625"/>
      <c r="U258" s="112"/>
      <c r="V258" s="16"/>
      <c r="W258" s="16"/>
      <c r="X258" s="687"/>
      <c r="Y258" s="16"/>
      <c r="Z258" s="16"/>
      <c r="AA258" s="16"/>
      <c r="AB258" s="16"/>
      <c r="AC258" s="16"/>
      <c r="AD258" s="16"/>
      <c r="AE258" s="16"/>
      <c r="AF258" s="16"/>
      <c r="AG258" s="16"/>
      <c r="AH258" s="16"/>
      <c r="AI258" s="16"/>
      <c r="AJ258" s="16"/>
      <c r="AK258" s="16"/>
    </row>
    <row r="259" spans="1:37" x14ac:dyDescent="0.2">
      <c r="A259" s="622"/>
      <c r="B259" s="1472" t="s">
        <v>804</v>
      </c>
      <c r="C259" s="1"/>
      <c r="D259" s="491" t="s">
        <v>116</v>
      </c>
      <c r="E259" s="1"/>
      <c r="F259" s="1"/>
      <c r="G259" s="1"/>
      <c r="H259" s="1"/>
      <c r="I259" s="1"/>
      <c r="J259" s="1625"/>
      <c r="K259" s="1625"/>
      <c r="L259" s="1625"/>
      <c r="M259" s="1625"/>
      <c r="N259" s="1625"/>
      <c r="O259" s="1625"/>
      <c r="P259" s="1625"/>
      <c r="Q259" s="1625"/>
      <c r="R259" s="1625"/>
      <c r="S259" s="1625"/>
      <c r="T259" s="1625"/>
      <c r="U259" s="112"/>
      <c r="V259" s="16"/>
      <c r="W259" s="16"/>
      <c r="X259" s="687"/>
      <c r="Y259" s="16"/>
      <c r="Z259" s="16"/>
      <c r="AA259" s="16"/>
      <c r="AB259" s="16"/>
      <c r="AC259" s="16"/>
      <c r="AD259" s="16"/>
      <c r="AE259" s="16"/>
      <c r="AF259" s="16"/>
      <c r="AG259" s="16"/>
      <c r="AH259" s="16"/>
      <c r="AI259" s="16"/>
      <c r="AJ259" s="16"/>
      <c r="AK259" s="16"/>
    </row>
    <row r="260" spans="1:37" x14ac:dyDescent="0.2">
      <c r="A260" s="622"/>
      <c r="B260" s="1304"/>
      <c r="C260" s="1"/>
      <c r="D260" s="1"/>
      <c r="E260" s="1"/>
      <c r="F260" s="1"/>
      <c r="G260" s="1"/>
      <c r="H260" s="1"/>
      <c r="I260" s="1"/>
      <c r="J260" s="1295"/>
      <c r="K260" s="1318"/>
      <c r="L260" s="1318"/>
      <c r="M260" s="1318"/>
      <c r="N260" s="1318"/>
      <c r="O260" s="1318"/>
      <c r="P260" s="1318"/>
      <c r="Q260" s="1318"/>
      <c r="R260" s="1318"/>
      <c r="S260" s="1318"/>
      <c r="T260" s="1318"/>
      <c r="U260" s="16"/>
      <c r="V260" s="16"/>
      <c r="W260" s="16"/>
      <c r="X260" s="687"/>
      <c r="Y260" s="16"/>
      <c r="Z260" s="16"/>
      <c r="AA260" s="16"/>
      <c r="AB260" s="16"/>
      <c r="AC260" s="16"/>
      <c r="AD260" s="16"/>
      <c r="AE260" s="16"/>
      <c r="AF260" s="16"/>
      <c r="AG260" s="16"/>
      <c r="AH260" s="16"/>
      <c r="AI260" s="16"/>
      <c r="AJ260" s="16"/>
      <c r="AK260" s="16"/>
    </row>
    <row r="261" spans="1:37" x14ac:dyDescent="0.2">
      <c r="A261" s="622"/>
      <c r="B261" s="1338" t="str">
        <f>B115</f>
        <v>Net cash provided (or used in) investing activities</v>
      </c>
      <c r="C261" s="1"/>
      <c r="D261" s="491" t="s">
        <v>116</v>
      </c>
      <c r="E261" s="1"/>
      <c r="F261" s="1"/>
      <c r="G261" s="1"/>
      <c r="H261" s="1"/>
      <c r="I261" s="1"/>
      <c r="J261" s="1292">
        <f t="shared" ref="J261:T261" si="57">SUM(J243:J250)-SUM(J252:J259)</f>
        <v>-30997822</v>
      </c>
      <c r="K261" s="1292">
        <f t="shared" si="57"/>
        <v>-26710642</v>
      </c>
      <c r="L261" s="1292">
        <f t="shared" si="57"/>
        <v>-32880664</v>
      </c>
      <c r="M261" s="1292">
        <f t="shared" si="57"/>
        <v>-38170154</v>
      </c>
      <c r="N261" s="1292">
        <f t="shared" si="57"/>
        <v>-34512278</v>
      </c>
      <c r="O261" s="1292">
        <f t="shared" si="57"/>
        <v>-34451370</v>
      </c>
      <c r="P261" s="1292">
        <f t="shared" si="57"/>
        <v>-34861340</v>
      </c>
      <c r="Q261" s="1292">
        <f t="shared" si="57"/>
        <v>-35551911</v>
      </c>
      <c r="R261" s="1292">
        <f t="shared" si="57"/>
        <v>-37656765</v>
      </c>
      <c r="S261" s="1292">
        <f t="shared" si="57"/>
        <v>-38192314</v>
      </c>
      <c r="T261" s="1292">
        <f t="shared" si="57"/>
        <v>0</v>
      </c>
      <c r="U261" s="112"/>
      <c r="V261" s="16"/>
      <c r="W261" s="16"/>
      <c r="X261" s="687"/>
      <c r="Y261" s="16"/>
      <c r="Z261" s="16"/>
      <c r="AA261" s="16"/>
      <c r="AB261" s="16"/>
      <c r="AC261" s="16"/>
      <c r="AD261" s="16"/>
      <c r="AE261" s="16"/>
      <c r="AF261" s="16"/>
      <c r="AG261" s="16"/>
      <c r="AH261" s="16"/>
      <c r="AI261" s="16"/>
      <c r="AJ261" s="16"/>
      <c r="AK261" s="16"/>
    </row>
    <row r="262" spans="1:37" x14ac:dyDescent="0.2">
      <c r="A262" s="622"/>
      <c r="B262" s="1304"/>
      <c r="C262" s="1"/>
      <c r="D262" s="1"/>
      <c r="E262" s="1"/>
      <c r="F262" s="1"/>
      <c r="G262" s="1"/>
      <c r="H262" s="1"/>
      <c r="I262" s="1"/>
      <c r="J262" s="1295"/>
      <c r="K262" s="1318"/>
      <c r="L262" s="1318"/>
      <c r="M262" s="1318"/>
      <c r="N262" s="1318"/>
      <c r="O262" s="1318"/>
      <c r="P262" s="1318"/>
      <c r="Q262" s="1318"/>
      <c r="R262" s="1318"/>
      <c r="S262" s="1318"/>
      <c r="T262" s="1318"/>
      <c r="U262" s="16"/>
      <c r="V262" s="16"/>
      <c r="W262" s="16"/>
      <c r="X262" s="687"/>
      <c r="Y262" s="16"/>
      <c r="Z262" s="16"/>
      <c r="AA262" s="16"/>
      <c r="AB262" s="16"/>
      <c r="AC262" s="16"/>
      <c r="AD262" s="16"/>
      <c r="AE262" s="16"/>
      <c r="AF262" s="16"/>
      <c r="AG262" s="16"/>
      <c r="AH262" s="16"/>
      <c r="AI262" s="16"/>
      <c r="AJ262" s="16"/>
      <c r="AK262" s="16"/>
    </row>
    <row r="263" spans="1:37" x14ac:dyDescent="0.2">
      <c r="A263" s="622"/>
      <c r="B263" s="1324" t="str">
        <f t="shared" ref="B263:B272" si="58">B117</f>
        <v>Cashflow from financing activities</v>
      </c>
      <c r="C263" s="265"/>
      <c r="D263" s="265"/>
      <c r="E263" s="265"/>
      <c r="F263" s="265"/>
      <c r="G263" s="265"/>
      <c r="H263" s="265"/>
      <c r="I263" s="265"/>
      <c r="J263" s="1315"/>
      <c r="K263" s="1293"/>
      <c r="L263" s="1316"/>
      <c r="M263" s="1317"/>
      <c r="N263" s="1316"/>
      <c r="O263" s="1316"/>
      <c r="P263" s="1316"/>
      <c r="Q263" s="1316"/>
      <c r="R263" s="1316"/>
      <c r="S263" s="1316"/>
      <c r="T263" s="1316"/>
      <c r="U263" s="1258"/>
      <c r="V263" s="1258"/>
      <c r="W263" s="1258"/>
      <c r="X263" s="1260"/>
      <c r="Y263" s="16"/>
      <c r="Z263" s="16"/>
      <c r="AA263" s="16"/>
      <c r="AB263" s="16"/>
      <c r="AC263" s="16"/>
      <c r="AD263" s="16"/>
      <c r="AE263" s="16"/>
      <c r="AF263" s="16"/>
      <c r="AG263" s="16"/>
      <c r="AH263" s="16"/>
      <c r="AI263" s="16"/>
      <c r="AJ263" s="16"/>
      <c r="AK263" s="16"/>
    </row>
    <row r="264" spans="1:37" x14ac:dyDescent="0.2">
      <c r="A264" s="622"/>
      <c r="B264" s="1038" t="str">
        <f t="shared" si="58"/>
        <v>Receipts:</v>
      </c>
      <c r="C264" s="2"/>
      <c r="D264" s="2"/>
      <c r="E264" s="2"/>
      <c r="F264" s="2"/>
      <c r="G264" s="2"/>
      <c r="H264" s="2"/>
      <c r="I264" s="2"/>
      <c r="J264" s="1473"/>
      <c r="K264" s="810"/>
      <c r="L264" s="1474"/>
      <c r="M264" s="1475"/>
      <c r="N264" s="1474"/>
      <c r="O264" s="1474"/>
      <c r="P264" s="1474"/>
      <c r="Q264" s="1474"/>
      <c r="R264" s="1474"/>
      <c r="S264" s="1474"/>
      <c r="T264" s="1474"/>
      <c r="U264" s="633"/>
      <c r="V264" s="633"/>
      <c r="W264" s="633"/>
      <c r="X264" s="1476"/>
      <c r="Y264" s="16"/>
      <c r="Z264" s="16"/>
      <c r="AA264" s="16"/>
      <c r="AB264" s="16"/>
      <c r="AC264" s="16"/>
      <c r="AD264" s="16"/>
      <c r="AE264" s="16"/>
      <c r="AF264" s="16"/>
      <c r="AG264" s="16"/>
      <c r="AH264" s="16"/>
      <c r="AI264" s="16"/>
      <c r="AJ264" s="16"/>
      <c r="AK264" s="16"/>
    </row>
    <row r="265" spans="1:37" x14ac:dyDescent="0.2">
      <c r="A265" s="622"/>
      <c r="B265" s="1077" t="str">
        <f t="shared" si="58"/>
        <v>Proceeds from borrowings &amp; advances</v>
      </c>
      <c r="C265" s="2"/>
      <c r="D265" s="491" t="s">
        <v>116</v>
      </c>
      <c r="E265" s="2"/>
      <c r="F265" s="2"/>
      <c r="G265" s="2"/>
      <c r="H265" s="2"/>
      <c r="I265" s="2"/>
      <c r="J265" s="1232"/>
      <c r="K265" s="1626"/>
      <c r="L265" s="1232"/>
      <c r="M265" s="1625"/>
      <c r="N265" s="1232"/>
      <c r="O265" s="1232"/>
      <c r="P265" s="1232"/>
      <c r="Q265" s="1232"/>
      <c r="R265" s="1232"/>
      <c r="S265" s="1232"/>
      <c r="T265" s="1232"/>
      <c r="U265" s="633"/>
      <c r="V265" s="633"/>
      <c r="W265" s="633"/>
      <c r="X265" s="1476"/>
      <c r="Y265" s="16"/>
      <c r="Z265" s="16"/>
      <c r="AA265" s="16"/>
      <c r="AB265" s="16"/>
      <c r="AC265" s="16"/>
      <c r="AD265" s="16"/>
      <c r="AE265" s="16"/>
      <c r="AF265" s="16"/>
      <c r="AG265" s="16"/>
      <c r="AH265" s="16"/>
      <c r="AI265" s="16"/>
      <c r="AJ265" s="16"/>
      <c r="AK265" s="16"/>
    </row>
    <row r="266" spans="1:37" x14ac:dyDescent="0.2">
      <c r="A266" s="622"/>
      <c r="B266" s="1077" t="str">
        <f t="shared" si="58"/>
        <v>Proceeds from finance lease</v>
      </c>
      <c r="C266" s="2"/>
      <c r="D266" s="491" t="s">
        <v>116</v>
      </c>
      <c r="E266" s="2"/>
      <c r="F266" s="2"/>
      <c r="G266" s="2"/>
      <c r="H266" s="2"/>
      <c r="I266" s="2"/>
      <c r="J266" s="1232"/>
      <c r="K266" s="1626"/>
      <c r="L266" s="1232"/>
      <c r="M266" s="1625"/>
      <c r="N266" s="1232"/>
      <c r="O266" s="1232"/>
      <c r="P266" s="1232"/>
      <c r="Q266" s="1232"/>
      <c r="R266" s="1232"/>
      <c r="S266" s="1232"/>
      <c r="T266" s="1232"/>
      <c r="U266" s="633"/>
      <c r="V266" s="633"/>
      <c r="W266" s="633"/>
      <c r="X266" s="1476"/>
      <c r="Y266" s="16"/>
      <c r="Z266" s="16"/>
      <c r="AA266" s="16"/>
      <c r="AB266" s="16"/>
      <c r="AC266" s="16"/>
      <c r="AD266" s="16"/>
      <c r="AE266" s="16"/>
      <c r="AF266" s="16"/>
      <c r="AG266" s="16"/>
      <c r="AH266" s="16"/>
      <c r="AI266" s="16"/>
      <c r="AJ266" s="16"/>
      <c r="AK266" s="16"/>
    </row>
    <row r="267" spans="1:37" x14ac:dyDescent="0.2">
      <c r="A267" s="622"/>
      <c r="B267" s="1472" t="s">
        <v>804</v>
      </c>
      <c r="C267" s="2"/>
      <c r="D267" s="491" t="s">
        <v>116</v>
      </c>
      <c r="E267" s="2"/>
      <c r="F267" s="2"/>
      <c r="G267" s="2"/>
      <c r="H267" s="2"/>
      <c r="I267" s="2"/>
      <c r="J267" s="1232"/>
      <c r="K267" s="1626"/>
      <c r="L267" s="1232"/>
      <c r="M267" s="1625"/>
      <c r="N267" s="1232"/>
      <c r="O267" s="1232"/>
      <c r="P267" s="1232"/>
      <c r="Q267" s="1232"/>
      <c r="R267" s="1232"/>
      <c r="S267" s="1232"/>
      <c r="T267" s="1232"/>
      <c r="U267" s="633"/>
      <c r="V267" s="633"/>
      <c r="W267" s="633"/>
      <c r="X267" s="1476"/>
      <c r="Y267" s="16"/>
      <c r="Z267" s="16"/>
      <c r="AA267" s="16"/>
      <c r="AB267" s="16"/>
      <c r="AC267" s="16"/>
      <c r="AD267" s="16"/>
      <c r="AE267" s="16"/>
      <c r="AF267" s="16"/>
      <c r="AG267" s="16"/>
      <c r="AH267" s="16"/>
      <c r="AI267" s="16"/>
      <c r="AJ267" s="16"/>
      <c r="AK267" s="16"/>
    </row>
    <row r="268" spans="1:37" x14ac:dyDescent="0.2">
      <c r="A268" s="622"/>
      <c r="B268" s="1472" t="s">
        <v>804</v>
      </c>
      <c r="C268" s="2"/>
      <c r="D268" s="491" t="s">
        <v>116</v>
      </c>
      <c r="E268" s="2"/>
      <c r="F268" s="2"/>
      <c r="G268" s="2"/>
      <c r="H268" s="2"/>
      <c r="I268" s="2"/>
      <c r="J268" s="1232"/>
      <c r="K268" s="1626"/>
      <c r="L268" s="1232"/>
      <c r="M268" s="1625"/>
      <c r="N268" s="1232"/>
      <c r="O268" s="1232"/>
      <c r="P268" s="1232"/>
      <c r="Q268" s="1232"/>
      <c r="R268" s="1232"/>
      <c r="S268" s="1232"/>
      <c r="T268" s="1232"/>
      <c r="U268" s="633"/>
      <c r="V268" s="633"/>
      <c r="W268" s="633"/>
      <c r="X268" s="1476"/>
      <c r="Y268" s="16"/>
      <c r="Z268" s="16"/>
      <c r="AA268" s="16"/>
      <c r="AB268" s="16"/>
      <c r="AC268" s="16"/>
      <c r="AD268" s="16"/>
      <c r="AE268" s="16"/>
      <c r="AF268" s="16"/>
      <c r="AG268" s="16"/>
      <c r="AH268" s="16"/>
      <c r="AI268" s="16"/>
      <c r="AJ268" s="16"/>
      <c r="AK268" s="16"/>
    </row>
    <row r="269" spans="1:37" x14ac:dyDescent="0.2">
      <c r="A269" s="622"/>
      <c r="B269" s="1472" t="s">
        <v>804</v>
      </c>
      <c r="C269" s="2"/>
      <c r="D269" s="491" t="s">
        <v>116</v>
      </c>
      <c r="E269" s="2"/>
      <c r="F269" s="2"/>
      <c r="G269" s="2"/>
      <c r="H269" s="2"/>
      <c r="I269" s="2"/>
      <c r="J269" s="1232"/>
      <c r="K269" s="1626"/>
      <c r="L269" s="1232"/>
      <c r="M269" s="1625"/>
      <c r="N269" s="1232"/>
      <c r="O269" s="1232"/>
      <c r="P269" s="1232"/>
      <c r="Q269" s="1232"/>
      <c r="R269" s="1232"/>
      <c r="S269" s="1232"/>
      <c r="T269" s="1232"/>
      <c r="U269" s="633"/>
      <c r="V269" s="633"/>
      <c r="W269" s="633"/>
      <c r="X269" s="1476"/>
      <c r="Y269" s="16"/>
      <c r="Z269" s="16"/>
      <c r="AA269" s="16"/>
      <c r="AB269" s="16"/>
      <c r="AC269" s="16"/>
      <c r="AD269" s="16"/>
      <c r="AE269" s="16"/>
      <c r="AF269" s="16"/>
      <c r="AG269" s="16"/>
      <c r="AH269" s="16"/>
      <c r="AI269" s="16"/>
      <c r="AJ269" s="16"/>
      <c r="AK269" s="16"/>
    </row>
    <row r="270" spans="1:37" x14ac:dyDescent="0.2">
      <c r="A270" s="622"/>
      <c r="B270" s="1223" t="str">
        <f t="shared" si="58"/>
        <v>Payments:</v>
      </c>
      <c r="C270" s="1"/>
      <c r="D270" s="491" t="s">
        <v>116</v>
      </c>
      <c r="E270" s="1"/>
      <c r="F270" s="1"/>
      <c r="G270" s="1"/>
      <c r="H270" s="1"/>
      <c r="I270" s="1"/>
      <c r="J270" s="1295"/>
      <c r="K270" s="1318"/>
      <c r="L270" s="1318"/>
      <c r="M270" s="1318"/>
      <c r="N270" s="1318"/>
      <c r="O270" s="1318"/>
      <c r="P270" s="1318"/>
      <c r="Q270" s="1318"/>
      <c r="R270" s="1318"/>
      <c r="S270" s="1318"/>
      <c r="T270" s="1318"/>
      <c r="U270" s="16"/>
      <c r="V270" s="16"/>
      <c r="W270" s="16"/>
      <c r="X270" s="687"/>
      <c r="Y270" s="16"/>
      <c r="Z270" s="16"/>
      <c r="AA270" s="16"/>
      <c r="AB270" s="16"/>
      <c r="AC270" s="16"/>
      <c r="AD270" s="16"/>
      <c r="AE270" s="16"/>
      <c r="AF270" s="16"/>
      <c r="AG270" s="16"/>
      <c r="AH270" s="16"/>
      <c r="AI270" s="16"/>
      <c r="AJ270" s="16"/>
      <c r="AK270" s="16"/>
    </row>
    <row r="271" spans="1:37" x14ac:dyDescent="0.2">
      <c r="A271" s="622"/>
      <c r="B271" s="1337" t="str">
        <f t="shared" si="58"/>
        <v>Repayment of Borrowings &amp; Advances</v>
      </c>
      <c r="C271" s="1"/>
      <c r="D271" s="491" t="s">
        <v>116</v>
      </c>
      <c r="E271" s="1"/>
      <c r="F271" s="1"/>
      <c r="G271" s="1"/>
      <c r="H271" s="1"/>
      <c r="I271" s="1"/>
      <c r="J271" s="1625">
        <v>1280651</v>
      </c>
      <c r="K271" s="1625">
        <v>1326556</v>
      </c>
      <c r="L271" s="1625">
        <v>1376224</v>
      </c>
      <c r="M271" s="1625">
        <v>1426209</v>
      </c>
      <c r="N271" s="1625">
        <v>1477691</v>
      </c>
      <c r="O271" s="1625">
        <v>1494359</v>
      </c>
      <c r="P271" s="1625">
        <v>1512981</v>
      </c>
      <c r="Q271" s="1625">
        <v>968776</v>
      </c>
      <c r="R271" s="1625">
        <v>796964</v>
      </c>
      <c r="S271" s="1625">
        <v>822530</v>
      </c>
      <c r="T271" s="1625"/>
      <c r="U271" s="112"/>
      <c r="V271" s="16"/>
      <c r="W271" s="16"/>
      <c r="X271" s="687"/>
      <c r="Y271" s="16"/>
      <c r="Z271" s="16"/>
      <c r="AA271" s="16"/>
      <c r="AB271" s="16"/>
      <c r="AC271" s="16"/>
      <c r="AD271" s="16"/>
      <c r="AE271" s="16"/>
      <c r="AF271" s="16"/>
      <c r="AG271" s="16"/>
      <c r="AH271" s="16"/>
      <c r="AI271" s="16"/>
      <c r="AJ271" s="16"/>
      <c r="AK271" s="16"/>
    </row>
    <row r="272" spans="1:37" x14ac:dyDescent="0.2">
      <c r="A272" s="622"/>
      <c r="B272" s="1337" t="str">
        <f t="shared" si="58"/>
        <v>Repayment of lease liabilities (principal repayments)</v>
      </c>
      <c r="C272" s="1"/>
      <c r="D272" s="491" t="s">
        <v>116</v>
      </c>
      <c r="E272" s="1"/>
      <c r="F272" s="1"/>
      <c r="G272" s="1"/>
      <c r="H272" s="1"/>
      <c r="I272" s="1"/>
      <c r="J272" s="1625">
        <v>199618</v>
      </c>
      <c r="K272" s="1625">
        <v>109114</v>
      </c>
      <c r="L272" s="1625">
        <v>26260</v>
      </c>
      <c r="M272" s="1625">
        <v>0</v>
      </c>
      <c r="N272" s="1625">
        <v>0</v>
      </c>
      <c r="O272" s="1625">
        <v>0</v>
      </c>
      <c r="P272" s="1625">
        <v>0</v>
      </c>
      <c r="Q272" s="1625">
        <v>0</v>
      </c>
      <c r="R272" s="1625">
        <v>0</v>
      </c>
      <c r="S272" s="1625">
        <v>0</v>
      </c>
      <c r="T272" s="1625"/>
      <c r="U272" s="112"/>
      <c r="V272" s="16"/>
      <c r="W272" s="16"/>
      <c r="X272" s="687"/>
      <c r="Y272" s="16"/>
      <c r="Z272" s="16"/>
      <c r="AA272" s="16"/>
      <c r="AB272" s="16"/>
      <c r="AC272" s="16"/>
      <c r="AD272" s="16"/>
      <c r="AE272" s="16"/>
      <c r="AF272" s="16"/>
      <c r="AG272" s="16"/>
      <c r="AH272" s="16"/>
      <c r="AI272" s="16"/>
      <c r="AJ272" s="16"/>
      <c r="AK272" s="16"/>
    </row>
    <row r="273" spans="1:37" x14ac:dyDescent="0.2">
      <c r="A273" s="622"/>
      <c r="B273" s="1472" t="s">
        <v>804</v>
      </c>
      <c r="C273" s="1"/>
      <c r="D273" s="491" t="s">
        <v>116</v>
      </c>
      <c r="E273" s="1"/>
      <c r="F273" s="1"/>
      <c r="G273" s="1"/>
      <c r="H273" s="1"/>
      <c r="I273" s="1"/>
      <c r="J273" s="1625"/>
      <c r="K273" s="1625"/>
      <c r="L273" s="1625"/>
      <c r="M273" s="1625"/>
      <c r="N273" s="1625"/>
      <c r="O273" s="1625"/>
      <c r="P273" s="1625"/>
      <c r="Q273" s="1625"/>
      <c r="R273" s="1625"/>
      <c r="S273" s="1625"/>
      <c r="T273" s="1625"/>
      <c r="U273" s="112"/>
      <c r="V273" s="16"/>
      <c r="W273" s="16"/>
      <c r="X273" s="687"/>
      <c r="Y273" s="16"/>
      <c r="Z273" s="16"/>
      <c r="AA273" s="16"/>
      <c r="AB273" s="16"/>
      <c r="AC273" s="16"/>
      <c r="AD273" s="16"/>
      <c r="AE273" s="16"/>
      <c r="AF273" s="16"/>
      <c r="AG273" s="16"/>
      <c r="AH273" s="16"/>
      <c r="AI273" s="16"/>
      <c r="AJ273" s="16"/>
      <c r="AK273" s="16"/>
    </row>
    <row r="274" spans="1:37" x14ac:dyDescent="0.2">
      <c r="A274" s="622"/>
      <c r="B274" s="1472" t="s">
        <v>804</v>
      </c>
      <c r="C274" s="1"/>
      <c r="D274" s="491" t="s">
        <v>116</v>
      </c>
      <c r="E274" s="1"/>
      <c r="F274" s="1"/>
      <c r="G274" s="1"/>
      <c r="H274" s="1"/>
      <c r="I274" s="1"/>
      <c r="J274" s="1625"/>
      <c r="K274" s="1625"/>
      <c r="L274" s="1625"/>
      <c r="M274" s="1625"/>
      <c r="N274" s="1625"/>
      <c r="O274" s="1625"/>
      <c r="P274" s="1625"/>
      <c r="Q274" s="1625"/>
      <c r="R274" s="1625"/>
      <c r="S274" s="1625"/>
      <c r="T274" s="1625"/>
      <c r="U274" s="112"/>
      <c r="V274" s="16"/>
      <c r="W274" s="16"/>
      <c r="X274" s="687"/>
      <c r="Y274" s="16"/>
      <c r="Z274" s="16"/>
      <c r="AA274" s="16"/>
      <c r="AB274" s="16"/>
      <c r="AC274" s="16"/>
      <c r="AD274" s="16"/>
      <c r="AE274" s="16"/>
      <c r="AF274" s="16"/>
      <c r="AG274" s="16"/>
      <c r="AH274" s="16"/>
      <c r="AI274" s="16"/>
      <c r="AJ274" s="16"/>
      <c r="AK274" s="16"/>
    </row>
    <row r="275" spans="1:37" x14ac:dyDescent="0.2">
      <c r="A275" s="622"/>
      <c r="B275" s="1472" t="s">
        <v>804</v>
      </c>
      <c r="C275" s="1"/>
      <c r="D275" s="491" t="s">
        <v>116</v>
      </c>
      <c r="E275" s="1"/>
      <c r="F275" s="1"/>
      <c r="G275" s="1"/>
      <c r="H275" s="1"/>
      <c r="I275" s="1"/>
      <c r="J275" s="1625"/>
      <c r="K275" s="1625"/>
      <c r="L275" s="1625"/>
      <c r="M275" s="1625"/>
      <c r="N275" s="1625"/>
      <c r="O275" s="1625"/>
      <c r="P275" s="1625"/>
      <c r="Q275" s="1625"/>
      <c r="R275" s="1625"/>
      <c r="S275" s="1625"/>
      <c r="T275" s="1625"/>
      <c r="U275" s="112"/>
      <c r="V275" s="16"/>
      <c r="W275" s="16"/>
      <c r="X275" s="687"/>
      <c r="Y275" s="16"/>
      <c r="Z275" s="16"/>
      <c r="AA275" s="16"/>
      <c r="AB275" s="16"/>
      <c r="AC275" s="16"/>
      <c r="AD275" s="16"/>
      <c r="AE275" s="16"/>
      <c r="AF275" s="16"/>
      <c r="AG275" s="16"/>
      <c r="AH275" s="16"/>
      <c r="AI275" s="16"/>
      <c r="AJ275" s="16"/>
      <c r="AK275" s="16"/>
    </row>
    <row r="276" spans="1:37" x14ac:dyDescent="0.2">
      <c r="A276" s="622"/>
      <c r="B276" s="1304"/>
      <c r="C276" s="1"/>
      <c r="D276" s="1"/>
      <c r="E276" s="1"/>
      <c r="F276" s="1"/>
      <c r="G276" s="1"/>
      <c r="H276" s="1"/>
      <c r="I276" s="1"/>
      <c r="J276" s="1319"/>
      <c r="K276" s="1319"/>
      <c r="L276" s="1319"/>
      <c r="M276" s="1319"/>
      <c r="N276" s="1319"/>
      <c r="O276" s="1319"/>
      <c r="P276" s="1319"/>
      <c r="Q276" s="1319"/>
      <c r="R276" s="1319"/>
      <c r="S276" s="1319"/>
      <c r="T276" s="1319"/>
      <c r="U276" s="16"/>
      <c r="V276" s="16"/>
      <c r="W276" s="16"/>
      <c r="X276" s="687"/>
      <c r="Y276" s="16"/>
      <c r="Z276" s="16"/>
      <c r="AA276" s="16"/>
      <c r="AB276" s="16"/>
      <c r="AC276" s="16"/>
      <c r="AD276" s="16"/>
      <c r="AE276" s="16"/>
      <c r="AF276" s="16"/>
      <c r="AG276" s="16"/>
      <c r="AH276" s="16"/>
      <c r="AI276" s="16"/>
      <c r="AJ276" s="16"/>
      <c r="AK276" s="16"/>
    </row>
    <row r="277" spans="1:37" x14ac:dyDescent="0.2">
      <c r="A277" s="622"/>
      <c r="B277" s="1338" t="str">
        <f>B131</f>
        <v>Net cash provided (or used in) financing activities</v>
      </c>
      <c r="C277" s="1"/>
      <c r="D277" s="491" t="s">
        <v>116</v>
      </c>
      <c r="E277" s="1"/>
      <c r="F277" s="1"/>
      <c r="G277" s="1"/>
      <c r="H277" s="1"/>
      <c r="I277" s="1"/>
      <c r="J277" s="1199">
        <f>SUM(J265:J269)-SUM(J271:J275)</f>
        <v>-1480269</v>
      </c>
      <c r="K277" s="1199">
        <f t="shared" ref="K277:T277" si="59">SUM(K265:K269)-SUM(K271:K275)</f>
        <v>-1435670</v>
      </c>
      <c r="L277" s="1199">
        <f t="shared" si="59"/>
        <v>-1402484</v>
      </c>
      <c r="M277" s="1199">
        <f t="shared" si="59"/>
        <v>-1426209</v>
      </c>
      <c r="N277" s="1199">
        <f t="shared" si="59"/>
        <v>-1477691</v>
      </c>
      <c r="O277" s="1199">
        <f t="shared" si="59"/>
        <v>-1494359</v>
      </c>
      <c r="P277" s="1199">
        <f t="shared" si="59"/>
        <v>-1512981</v>
      </c>
      <c r="Q277" s="1199">
        <f t="shared" si="59"/>
        <v>-968776</v>
      </c>
      <c r="R277" s="1199">
        <f t="shared" si="59"/>
        <v>-796964</v>
      </c>
      <c r="S277" s="1199">
        <f t="shared" si="59"/>
        <v>-822530</v>
      </c>
      <c r="T277" s="1199">
        <f t="shared" si="59"/>
        <v>0</v>
      </c>
      <c r="U277" s="112"/>
      <c r="V277" s="16"/>
      <c r="W277" s="16"/>
      <c r="X277" s="687"/>
      <c r="Y277" s="16"/>
      <c r="Z277" s="16"/>
      <c r="AA277" s="16"/>
      <c r="AB277" s="16"/>
      <c r="AC277" s="16"/>
      <c r="AD277" s="16"/>
      <c r="AE277" s="16"/>
      <c r="AF277" s="16"/>
      <c r="AG277" s="16"/>
      <c r="AH277" s="16"/>
      <c r="AI277" s="16"/>
      <c r="AJ277" s="16"/>
      <c r="AK277" s="16"/>
    </row>
    <row r="278" spans="1:37" x14ac:dyDescent="0.2">
      <c r="A278" s="622"/>
      <c r="B278" s="1304"/>
      <c r="C278" s="1"/>
      <c r="D278" s="1"/>
      <c r="E278" s="1"/>
      <c r="F278" s="1"/>
      <c r="G278" s="1"/>
      <c r="H278" s="1"/>
      <c r="I278" s="1"/>
      <c r="J278" s="1295"/>
      <c r="K278" s="1318"/>
      <c r="L278" s="1318"/>
      <c r="M278" s="1318"/>
      <c r="N278" s="1318"/>
      <c r="O278" s="1318"/>
      <c r="P278" s="1318"/>
      <c r="Q278" s="1318"/>
      <c r="R278" s="1318"/>
      <c r="S278" s="1318"/>
      <c r="T278" s="1318"/>
      <c r="U278" s="16"/>
      <c r="V278" s="16"/>
      <c r="W278" s="16"/>
      <c r="X278" s="687"/>
      <c r="Y278" s="16"/>
      <c r="Z278" s="16"/>
      <c r="AA278" s="16"/>
      <c r="AB278" s="16"/>
      <c r="AC278" s="16"/>
      <c r="AD278" s="16"/>
      <c r="AE278" s="16"/>
      <c r="AF278" s="16"/>
      <c r="AG278" s="16"/>
      <c r="AH278" s="16"/>
      <c r="AI278" s="16"/>
      <c r="AJ278" s="16"/>
      <c r="AK278" s="16"/>
    </row>
    <row r="279" spans="1:37" x14ac:dyDescent="0.2">
      <c r="A279" s="622"/>
      <c r="B279" s="1338" t="str">
        <f>B133</f>
        <v>Net Increase/(Decrease) in Cash &amp; Cash Equivalents</v>
      </c>
      <c r="C279" s="1"/>
      <c r="D279" s="491" t="s">
        <v>116</v>
      </c>
      <c r="E279" s="1"/>
      <c r="F279" s="1"/>
      <c r="G279" s="1"/>
      <c r="H279" s="1"/>
      <c r="I279" s="1"/>
      <c r="J279" s="1199">
        <f t="shared" ref="J279:T279" si="60">SUM(J239,J261,J277)</f>
        <v>0</v>
      </c>
      <c r="K279" s="1199">
        <f t="shared" si="60"/>
        <v>-1</v>
      </c>
      <c r="L279" s="1199">
        <f t="shared" si="60"/>
        <v>2058174</v>
      </c>
      <c r="M279" s="1199">
        <f t="shared" si="60"/>
        <v>-2058174</v>
      </c>
      <c r="N279" s="1199">
        <f t="shared" si="60"/>
        <v>1080014</v>
      </c>
      <c r="O279" s="1199">
        <f t="shared" si="60"/>
        <v>1681555</v>
      </c>
      <c r="P279" s="1199">
        <f t="shared" si="60"/>
        <v>2238430</v>
      </c>
      <c r="Q279" s="1199">
        <f t="shared" si="60"/>
        <v>-1</v>
      </c>
      <c r="R279" s="1199">
        <f t="shared" si="60"/>
        <v>0</v>
      </c>
      <c r="S279" s="1199">
        <f t="shared" si="60"/>
        <v>-1</v>
      </c>
      <c r="T279" s="1199">
        <f t="shared" si="60"/>
        <v>0</v>
      </c>
      <c r="U279" s="16"/>
      <c r="V279" s="16"/>
      <c r="W279" s="16"/>
      <c r="X279" s="687"/>
      <c r="Y279" s="16"/>
      <c r="Z279" s="16"/>
      <c r="AA279" s="16"/>
      <c r="AB279" s="16"/>
      <c r="AC279" s="16"/>
      <c r="AD279" s="16"/>
      <c r="AE279" s="16"/>
      <c r="AF279" s="16"/>
      <c r="AG279" s="16"/>
      <c r="AH279" s="16"/>
      <c r="AI279" s="16"/>
      <c r="AJ279" s="16"/>
      <c r="AK279" s="16"/>
    </row>
    <row r="280" spans="1:37" x14ac:dyDescent="0.2">
      <c r="A280" s="622"/>
      <c r="B280" s="1304"/>
      <c r="C280" s="1"/>
      <c r="D280" s="1"/>
      <c r="E280" s="1"/>
      <c r="F280" s="1"/>
      <c r="G280" s="1"/>
      <c r="H280" s="1"/>
      <c r="I280" s="1"/>
      <c r="J280" s="1295"/>
      <c r="K280" s="1318"/>
      <c r="L280" s="1318"/>
      <c r="M280" s="1318"/>
      <c r="N280" s="1318"/>
      <c r="O280" s="1318"/>
      <c r="P280" s="1318"/>
      <c r="Q280" s="1318"/>
      <c r="R280" s="1318"/>
      <c r="S280" s="1318"/>
      <c r="T280" s="1318"/>
      <c r="U280" s="16"/>
      <c r="V280" s="16"/>
      <c r="W280" s="16"/>
      <c r="X280" s="687"/>
      <c r="Y280" s="16"/>
      <c r="Z280" s="16"/>
      <c r="AA280" s="16"/>
      <c r="AB280" s="16"/>
      <c r="AC280" s="16"/>
      <c r="AD280" s="16"/>
      <c r="AE280" s="16"/>
      <c r="AF280" s="16"/>
      <c r="AG280" s="16"/>
      <c r="AH280" s="16"/>
      <c r="AI280" s="16"/>
      <c r="AJ280" s="16"/>
      <c r="AK280" s="16"/>
    </row>
    <row r="281" spans="1:37" x14ac:dyDescent="0.2">
      <c r="A281" s="622"/>
      <c r="B281" s="1338" t="str">
        <f>B135</f>
        <v>Cash &amp; Cash Equivalents - beginning of year</v>
      </c>
      <c r="C281" s="1"/>
      <c r="D281" s="491" t="s">
        <v>116</v>
      </c>
      <c r="E281" s="1"/>
      <c r="F281" s="1"/>
      <c r="G281" s="1"/>
      <c r="H281" s="1"/>
      <c r="I281" s="1"/>
      <c r="J281" s="1627">
        <v>10000000</v>
      </c>
      <c r="K281" s="1320">
        <f>J283</f>
        <v>10000000</v>
      </c>
      <c r="L281" s="1320">
        <f>K283</f>
        <v>9999999</v>
      </c>
      <c r="M281" s="1320">
        <f t="shared" ref="M281" si="61">L283</f>
        <v>12058173</v>
      </c>
      <c r="N281" s="1320">
        <f t="shared" ref="N281" si="62">M283</f>
        <v>9999999</v>
      </c>
      <c r="O281" s="1320">
        <f t="shared" ref="O281" si="63">N283</f>
        <v>11080013</v>
      </c>
      <c r="P281" s="1320">
        <f t="shared" ref="P281" si="64">O283</f>
        <v>12761568</v>
      </c>
      <c r="Q281" s="1320">
        <f t="shared" ref="Q281" si="65">P283</f>
        <v>14999998</v>
      </c>
      <c r="R281" s="1320">
        <f t="shared" ref="R281" si="66">Q283</f>
        <v>14999997</v>
      </c>
      <c r="S281" s="1320">
        <f t="shared" ref="S281" si="67">R283</f>
        <v>14999997</v>
      </c>
      <c r="T281" s="1320">
        <f t="shared" ref="T281" si="68">S283</f>
        <v>14999996</v>
      </c>
      <c r="U281" s="16"/>
      <c r="V281" s="16"/>
      <c r="W281" s="16"/>
      <c r="X281" s="687"/>
      <c r="Y281" s="16"/>
      <c r="Z281" s="16"/>
      <c r="AA281" s="16"/>
      <c r="AB281" s="16"/>
      <c r="AC281" s="16"/>
      <c r="AD281" s="16"/>
      <c r="AE281" s="16"/>
      <c r="AF281" s="16"/>
      <c r="AG281" s="16"/>
      <c r="AH281" s="16"/>
      <c r="AI281" s="16"/>
      <c r="AJ281" s="16"/>
      <c r="AK281" s="16"/>
    </row>
    <row r="282" spans="1:37" x14ac:dyDescent="0.2">
      <c r="A282" s="622"/>
      <c r="B282" s="1304"/>
      <c r="C282" s="1"/>
      <c r="D282" s="1"/>
      <c r="E282" s="1"/>
      <c r="F282" s="1"/>
      <c r="G282" s="1"/>
      <c r="H282" s="1"/>
      <c r="I282" s="1"/>
      <c r="J282" s="1295"/>
      <c r="K282" s="1318"/>
      <c r="L282" s="1318"/>
      <c r="M282" s="1318"/>
      <c r="N282" s="1318"/>
      <c r="O282" s="1318"/>
      <c r="P282" s="1318"/>
      <c r="Q282" s="1318"/>
      <c r="R282" s="1318"/>
      <c r="S282" s="1318"/>
      <c r="T282" s="1318"/>
      <c r="U282" s="16"/>
      <c r="V282" s="16"/>
      <c r="W282" s="16"/>
      <c r="X282" s="687"/>
      <c r="Y282" s="16"/>
      <c r="Z282" s="16"/>
      <c r="AA282" s="16"/>
      <c r="AB282" s="16"/>
      <c r="AC282" s="16"/>
      <c r="AD282" s="16"/>
      <c r="AE282" s="16"/>
      <c r="AF282" s="16"/>
      <c r="AG282" s="16"/>
      <c r="AH282" s="16"/>
      <c r="AI282" s="16"/>
      <c r="AJ282" s="16"/>
      <c r="AK282" s="16"/>
    </row>
    <row r="283" spans="1:37" x14ac:dyDescent="0.2">
      <c r="A283" s="622"/>
      <c r="B283" s="1338" t="str">
        <f>B137</f>
        <v>Cash &amp; Cash Equivalents - end of year</v>
      </c>
      <c r="C283" s="1"/>
      <c r="D283" s="491" t="s">
        <v>116</v>
      </c>
      <c r="E283" s="1"/>
      <c r="F283" s="1"/>
      <c r="G283" s="1"/>
      <c r="H283" s="1"/>
      <c r="I283" s="1"/>
      <c r="J283" s="1292">
        <f>J279+J281</f>
        <v>10000000</v>
      </c>
      <c r="K283" s="1292">
        <f>K279+K281</f>
        <v>9999999</v>
      </c>
      <c r="L283" s="1292">
        <f t="shared" ref="L283:T283" si="69">L279+L281</f>
        <v>12058173</v>
      </c>
      <c r="M283" s="1292">
        <f t="shared" si="69"/>
        <v>9999999</v>
      </c>
      <c r="N283" s="1292">
        <f t="shared" si="69"/>
        <v>11080013</v>
      </c>
      <c r="O283" s="1292">
        <f t="shared" si="69"/>
        <v>12761568</v>
      </c>
      <c r="P283" s="1292">
        <f t="shared" si="69"/>
        <v>14999998</v>
      </c>
      <c r="Q283" s="1292">
        <f t="shared" si="69"/>
        <v>14999997</v>
      </c>
      <c r="R283" s="1292">
        <f t="shared" si="69"/>
        <v>14999997</v>
      </c>
      <c r="S283" s="1292">
        <f t="shared" si="69"/>
        <v>14999996</v>
      </c>
      <c r="T283" s="1292">
        <f t="shared" si="69"/>
        <v>14999996</v>
      </c>
      <c r="U283" s="16"/>
      <c r="V283" s="16"/>
      <c r="W283" s="16"/>
      <c r="X283" s="687"/>
      <c r="Y283" s="16"/>
      <c r="Z283" s="16"/>
      <c r="AA283" s="16"/>
      <c r="AB283" s="16"/>
      <c r="AC283" s="16"/>
      <c r="AD283" s="16"/>
      <c r="AE283" s="16"/>
      <c r="AF283" s="16"/>
      <c r="AG283" s="16"/>
      <c r="AH283" s="16"/>
      <c r="AI283" s="16"/>
      <c r="AJ283" s="16"/>
      <c r="AK283" s="16"/>
    </row>
    <row r="284" spans="1:37" x14ac:dyDescent="0.2">
      <c r="A284" s="622"/>
      <c r="B284" s="1306"/>
      <c r="C284" s="492"/>
      <c r="D284" s="492"/>
      <c r="E284" s="492"/>
      <c r="F284" s="492"/>
      <c r="G284" s="492"/>
      <c r="H284" s="492"/>
      <c r="I284" s="492"/>
      <c r="J284" s="1321"/>
      <c r="K284" s="1322"/>
      <c r="L284" s="1322"/>
      <c r="M284" s="1322"/>
      <c r="N284" s="1322"/>
      <c r="O284" s="1322"/>
      <c r="P284" s="1322"/>
      <c r="Q284" s="1322"/>
      <c r="R284" s="1322"/>
      <c r="S284" s="1322"/>
      <c r="T284" s="1322"/>
      <c r="U284" s="16"/>
      <c r="V284" s="16"/>
      <c r="W284" s="16"/>
      <c r="X284" s="687"/>
      <c r="Y284" s="16"/>
      <c r="Z284" s="16"/>
      <c r="AA284" s="16"/>
      <c r="AB284" s="16"/>
      <c r="AC284" s="16"/>
      <c r="AD284" s="16"/>
      <c r="AE284" s="16"/>
      <c r="AF284" s="16"/>
      <c r="AG284" s="16"/>
      <c r="AH284" s="16"/>
      <c r="AI284" s="16"/>
      <c r="AJ284" s="16"/>
      <c r="AK284" s="16"/>
    </row>
    <row r="285" spans="1:37" x14ac:dyDescent="0.2">
      <c r="A285" s="622"/>
      <c r="B285" s="1304"/>
      <c r="C285" s="1"/>
      <c r="D285" s="1"/>
      <c r="E285" s="1"/>
      <c r="F285" s="1"/>
      <c r="G285" s="1"/>
      <c r="H285" s="1"/>
      <c r="I285" s="1"/>
      <c r="J285" s="1342"/>
      <c r="K285" s="1343"/>
      <c r="L285" s="1343"/>
      <c r="M285" s="1343"/>
      <c r="N285" s="1343"/>
      <c r="O285" s="1343"/>
      <c r="P285" s="1343"/>
      <c r="Q285" s="1343"/>
      <c r="R285" s="1343"/>
      <c r="S285" s="1343"/>
      <c r="T285" s="1343"/>
      <c r="U285" s="16"/>
      <c r="V285" s="16"/>
      <c r="W285" s="16"/>
      <c r="X285" s="687"/>
      <c r="Y285" s="16"/>
      <c r="Z285" s="16"/>
      <c r="AA285" s="16"/>
      <c r="AB285" s="16"/>
      <c r="AC285" s="16"/>
      <c r="AD285" s="16"/>
      <c r="AE285" s="16"/>
      <c r="AF285" s="16"/>
      <c r="AG285" s="16"/>
      <c r="AH285" s="16"/>
      <c r="AI285" s="16"/>
      <c r="AJ285" s="16"/>
      <c r="AK285" s="16"/>
    </row>
    <row r="286" spans="1:37" x14ac:dyDescent="0.2">
      <c r="A286" s="622"/>
      <c r="B286" s="1337" t="str">
        <f>B140</f>
        <v xml:space="preserve">Cash &amp; cash equivalents - end of year </v>
      </c>
      <c r="C286" s="1"/>
      <c r="D286" s="1"/>
      <c r="E286" s="1"/>
      <c r="F286" s="1"/>
      <c r="G286" s="1"/>
      <c r="H286" s="1"/>
      <c r="I286" s="1"/>
      <c r="J286" s="1199">
        <f>J283</f>
        <v>10000000</v>
      </c>
      <c r="K286" s="1199">
        <f t="shared" ref="K286:T286" si="70">K283</f>
        <v>9999999</v>
      </c>
      <c r="L286" s="1199">
        <f t="shared" si="70"/>
        <v>12058173</v>
      </c>
      <c r="M286" s="1199">
        <f t="shared" si="70"/>
        <v>9999999</v>
      </c>
      <c r="N286" s="1199">
        <f t="shared" si="70"/>
        <v>11080013</v>
      </c>
      <c r="O286" s="1199">
        <f t="shared" si="70"/>
        <v>12761568</v>
      </c>
      <c r="P286" s="1199">
        <f t="shared" si="70"/>
        <v>14999998</v>
      </c>
      <c r="Q286" s="1199">
        <f t="shared" si="70"/>
        <v>14999997</v>
      </c>
      <c r="R286" s="1199">
        <f t="shared" si="70"/>
        <v>14999997</v>
      </c>
      <c r="S286" s="1199">
        <f t="shared" si="70"/>
        <v>14999996</v>
      </c>
      <c r="T286" s="1199">
        <f t="shared" si="70"/>
        <v>14999996</v>
      </c>
      <c r="U286" s="16"/>
      <c r="V286" s="16"/>
      <c r="W286" s="16"/>
      <c r="X286" s="687"/>
      <c r="Y286" s="16"/>
      <c r="Z286" s="16"/>
      <c r="AA286" s="16"/>
      <c r="AB286" s="16"/>
      <c r="AC286" s="16"/>
      <c r="AD286" s="16"/>
      <c r="AE286" s="16"/>
      <c r="AF286" s="16"/>
      <c r="AG286" s="16"/>
      <c r="AH286" s="16"/>
      <c r="AI286" s="16"/>
      <c r="AJ286" s="16"/>
      <c r="AK286" s="16"/>
    </row>
    <row r="287" spans="1:37" x14ac:dyDescent="0.2">
      <c r="A287" s="622"/>
      <c r="B287" s="1337" t="str">
        <f>B141</f>
        <v>Investment - end of the year</v>
      </c>
      <c r="C287" s="1"/>
      <c r="D287" s="1"/>
      <c r="E287" s="1"/>
      <c r="F287" s="1"/>
      <c r="G287" s="1"/>
      <c r="H287" s="1"/>
      <c r="I287" s="1"/>
      <c r="J287" s="1625">
        <v>143039181</v>
      </c>
      <c r="K287" s="1625">
        <v>133538786</v>
      </c>
      <c r="L287" s="1625">
        <v>133538786</v>
      </c>
      <c r="M287" s="1625">
        <v>114069160</v>
      </c>
      <c r="N287" s="1625">
        <v>114069160</v>
      </c>
      <c r="O287" s="1625">
        <v>114069160</v>
      </c>
      <c r="P287" s="1625">
        <v>122965852</v>
      </c>
      <c r="Q287" s="1625">
        <v>131986341</v>
      </c>
      <c r="R287" s="1625">
        <v>141799074</v>
      </c>
      <c r="S287" s="1625">
        <v>152429574</v>
      </c>
      <c r="T287" s="1625"/>
      <c r="U287" s="16"/>
      <c r="V287" s="16"/>
      <c r="W287" s="16"/>
      <c r="X287" s="687"/>
      <c r="Y287" s="16"/>
      <c r="Z287" s="16"/>
      <c r="AA287" s="16"/>
      <c r="AB287" s="16"/>
      <c r="AC287" s="16"/>
      <c r="AD287" s="16"/>
      <c r="AE287" s="16"/>
      <c r="AF287" s="16"/>
      <c r="AG287" s="16"/>
      <c r="AH287" s="16"/>
      <c r="AI287" s="16"/>
      <c r="AJ287" s="16"/>
      <c r="AK287" s="16"/>
    </row>
    <row r="288" spans="1:37" x14ac:dyDescent="0.2">
      <c r="A288" s="622"/>
      <c r="B288" s="1339" t="str">
        <f>B142</f>
        <v>Cash, Cash Equivalents &amp; Investment - end of year</v>
      </c>
      <c r="C288" s="1308"/>
      <c r="D288" s="1308"/>
      <c r="E288" s="1308"/>
      <c r="F288" s="1308"/>
      <c r="G288" s="1308"/>
      <c r="H288" s="1308"/>
      <c r="I288" s="1308"/>
      <c r="J288" s="1323">
        <f>SUM(J286:J287)</f>
        <v>153039181</v>
      </c>
      <c r="K288" s="1323">
        <f t="shared" ref="K288:T288" si="71">SUM(K286:K287)</f>
        <v>143538785</v>
      </c>
      <c r="L288" s="1323">
        <f t="shared" si="71"/>
        <v>145596959</v>
      </c>
      <c r="M288" s="1323">
        <f t="shared" si="71"/>
        <v>124069159</v>
      </c>
      <c r="N288" s="1323">
        <f t="shared" si="71"/>
        <v>125149173</v>
      </c>
      <c r="O288" s="1323">
        <f t="shared" si="71"/>
        <v>126830728</v>
      </c>
      <c r="P288" s="1323">
        <f t="shared" si="71"/>
        <v>137965850</v>
      </c>
      <c r="Q288" s="1323">
        <f t="shared" si="71"/>
        <v>146986338</v>
      </c>
      <c r="R288" s="1323">
        <f t="shared" si="71"/>
        <v>156799071</v>
      </c>
      <c r="S288" s="1323">
        <f t="shared" si="71"/>
        <v>167429570</v>
      </c>
      <c r="T288" s="1323">
        <f t="shared" si="71"/>
        <v>14999996</v>
      </c>
      <c r="U288" s="1094"/>
      <c r="V288" s="1094"/>
      <c r="W288" s="1094"/>
      <c r="X288" s="1310"/>
      <c r="Y288" s="16"/>
      <c r="Z288" s="16"/>
      <c r="AA288" s="16"/>
      <c r="AB288" s="16"/>
      <c r="AC288" s="16"/>
      <c r="AD288" s="16"/>
      <c r="AE288" s="16"/>
      <c r="AF288" s="16"/>
      <c r="AG288" s="16"/>
      <c r="AH288" s="16"/>
      <c r="AI288" s="16"/>
      <c r="AJ288" s="16"/>
      <c r="AK288" s="16"/>
    </row>
    <row r="289" spans="1:37" x14ac:dyDescent="0.2">
      <c r="A289" s="622"/>
      <c r="B289" s="1340" t="str">
        <f>B143</f>
        <v>Representing</v>
      </c>
      <c r="C289" s="1"/>
      <c r="D289" s="1"/>
      <c r="E289" s="1"/>
      <c r="F289" s="1"/>
      <c r="G289" s="1"/>
      <c r="H289" s="1"/>
      <c r="I289" s="1"/>
      <c r="J289" s="1295"/>
      <c r="K289" s="1318"/>
      <c r="L289" s="1318"/>
      <c r="M289" s="1318"/>
      <c r="N289" s="1318"/>
      <c r="O289" s="1318"/>
      <c r="P289" s="1318"/>
      <c r="Q289" s="1318"/>
      <c r="R289" s="1318"/>
      <c r="S289" s="1318"/>
      <c r="T289" s="1318"/>
      <c r="U289" s="16"/>
      <c r="V289" s="16"/>
      <c r="W289" s="16"/>
      <c r="X289" s="687"/>
      <c r="Y289" s="16"/>
      <c r="Z289" s="16"/>
      <c r="AA289" s="16"/>
      <c r="AB289" s="16"/>
      <c r="AC289" s="16"/>
      <c r="AD289" s="16"/>
      <c r="AE289" s="16"/>
      <c r="AF289" s="16"/>
      <c r="AG289" s="16"/>
      <c r="AH289" s="16"/>
      <c r="AI289" s="16"/>
      <c r="AJ289" s="16"/>
      <c r="AK289" s="16"/>
    </row>
    <row r="290" spans="1:37" x14ac:dyDescent="0.2">
      <c r="A290" s="622"/>
      <c r="B290" s="1479" t="str">
        <f>B144</f>
        <v xml:space="preserve"> - External Restrictions</v>
      </c>
      <c r="C290" s="1"/>
      <c r="D290" s="1"/>
      <c r="E290" s="1"/>
      <c r="F290" s="1"/>
      <c r="G290" s="1"/>
      <c r="H290" s="1"/>
      <c r="I290" s="1"/>
      <c r="J290" s="1628"/>
      <c r="K290" s="1628"/>
      <c r="L290" s="1628"/>
      <c r="M290" s="1628"/>
      <c r="N290" s="1628"/>
      <c r="O290" s="1628"/>
      <c r="P290" s="1628"/>
      <c r="Q290" s="1628"/>
      <c r="R290" s="1628"/>
      <c r="S290" s="1628"/>
      <c r="T290" s="1628"/>
      <c r="U290" s="16"/>
      <c r="V290" s="16"/>
      <c r="W290" s="16"/>
      <c r="X290" s="687"/>
      <c r="Y290" s="16"/>
      <c r="Z290" s="16"/>
      <c r="AA290" s="16"/>
      <c r="AB290" s="16"/>
      <c r="AC290" s="16"/>
      <c r="AD290" s="16"/>
      <c r="AE290" s="16"/>
      <c r="AF290" s="16"/>
      <c r="AG290" s="16"/>
      <c r="AH290" s="16"/>
      <c r="AI290" s="16"/>
      <c r="AJ290" s="16"/>
      <c r="AK290" s="16"/>
    </row>
    <row r="291" spans="1:37" x14ac:dyDescent="0.2">
      <c r="A291" s="622"/>
      <c r="B291" s="1640" t="s">
        <v>984</v>
      </c>
      <c r="C291" s="1"/>
      <c r="D291" s="491" t="s">
        <v>116</v>
      </c>
      <c r="E291" s="1"/>
      <c r="F291" s="1"/>
      <c r="G291" s="1"/>
      <c r="H291" s="1"/>
      <c r="I291" s="1"/>
      <c r="J291" s="1625">
        <v>54885216</v>
      </c>
      <c r="K291" s="1625">
        <v>50224225</v>
      </c>
      <c r="L291" s="1625">
        <v>49237942</v>
      </c>
      <c r="M291" s="1625">
        <v>26198567</v>
      </c>
      <c r="N291" s="1625">
        <v>29752132</v>
      </c>
      <c r="O291" s="1625">
        <v>33211521</v>
      </c>
      <c r="P291" s="1625">
        <v>37032544</v>
      </c>
      <c r="Q291" s="1625">
        <v>38092478</v>
      </c>
      <c r="R291" s="1625">
        <v>38940932</v>
      </c>
      <c r="S291" s="1625">
        <v>40694200</v>
      </c>
      <c r="T291" s="1625"/>
      <c r="U291" s="16"/>
      <c r="V291" s="16"/>
      <c r="W291" s="16"/>
      <c r="X291" s="687"/>
      <c r="Y291" s="16"/>
      <c r="Z291" s="16"/>
      <c r="AA291" s="16"/>
      <c r="AB291" s="16"/>
      <c r="AC291" s="16"/>
      <c r="AD291" s="16"/>
      <c r="AE291" s="16"/>
      <c r="AF291" s="16"/>
      <c r="AG291" s="16"/>
      <c r="AH291" s="16"/>
      <c r="AI291" s="16"/>
      <c r="AJ291" s="16"/>
      <c r="AK291" s="16"/>
    </row>
    <row r="292" spans="1:37" x14ac:dyDescent="0.2">
      <c r="A292" s="622"/>
      <c r="B292" s="1640" t="s">
        <v>985</v>
      </c>
      <c r="C292" s="1"/>
      <c r="D292" s="491" t="s">
        <v>116</v>
      </c>
      <c r="E292" s="1"/>
      <c r="F292" s="1"/>
      <c r="G292" s="1"/>
      <c r="H292" s="1"/>
      <c r="I292" s="1"/>
      <c r="J292" s="1625">
        <v>13110045</v>
      </c>
      <c r="K292" s="1625">
        <v>14188221</v>
      </c>
      <c r="L292" s="1625">
        <v>15266397</v>
      </c>
      <c r="M292" s="1625">
        <v>16344573</v>
      </c>
      <c r="N292" s="1625">
        <v>8422749</v>
      </c>
      <c r="O292" s="1625">
        <v>500925</v>
      </c>
      <c r="P292" s="1625">
        <v>1579101</v>
      </c>
      <c r="Q292" s="1625">
        <v>2657277</v>
      </c>
      <c r="R292" s="1625">
        <v>3735453</v>
      </c>
      <c r="S292" s="1625">
        <v>4813629</v>
      </c>
      <c r="T292" s="1625"/>
      <c r="U292" s="16"/>
      <c r="V292" s="16"/>
      <c r="W292" s="16"/>
      <c r="X292" s="687"/>
      <c r="Y292" s="16"/>
      <c r="Z292" s="16"/>
      <c r="AA292" s="16"/>
      <c r="AB292" s="16"/>
      <c r="AC292" s="16"/>
      <c r="AD292" s="16"/>
      <c r="AE292" s="16"/>
      <c r="AF292" s="16"/>
      <c r="AG292" s="16"/>
      <c r="AH292" s="16"/>
      <c r="AI292" s="16"/>
      <c r="AJ292" s="16"/>
      <c r="AK292" s="16"/>
    </row>
    <row r="293" spans="1:37" x14ac:dyDescent="0.2">
      <c r="A293" s="622"/>
      <c r="B293" s="1640" t="s">
        <v>986</v>
      </c>
      <c r="C293" s="1"/>
      <c r="D293" s="491" t="s">
        <v>116</v>
      </c>
      <c r="E293" s="1"/>
      <c r="F293" s="1"/>
      <c r="G293" s="1"/>
      <c r="H293" s="1"/>
      <c r="I293" s="1"/>
      <c r="J293" s="1625">
        <v>16490186</v>
      </c>
      <c r="K293" s="1625">
        <v>15149841</v>
      </c>
      <c r="L293" s="1625">
        <v>11330939</v>
      </c>
      <c r="M293" s="1625">
        <v>12534123</v>
      </c>
      <c r="N293" s="1625">
        <v>13760056</v>
      </c>
      <c r="O293" s="1625">
        <v>15009419</v>
      </c>
      <c r="P293" s="1625">
        <v>16282917</v>
      </c>
      <c r="Q293" s="1625">
        <v>17581272</v>
      </c>
      <c r="R293" s="1625">
        <v>18905231</v>
      </c>
      <c r="S293" s="1625">
        <v>20255561</v>
      </c>
      <c r="T293" s="1625"/>
      <c r="U293" s="16"/>
      <c r="V293" s="16"/>
      <c r="W293" s="16"/>
      <c r="X293" s="687"/>
      <c r="Y293" s="16"/>
      <c r="Z293" s="16"/>
      <c r="AA293" s="16"/>
      <c r="AB293" s="16"/>
      <c r="AC293" s="16"/>
      <c r="AD293" s="16"/>
      <c r="AE293" s="16"/>
      <c r="AF293" s="16"/>
      <c r="AG293" s="16"/>
      <c r="AH293" s="16"/>
      <c r="AI293" s="16"/>
      <c r="AJ293" s="16"/>
      <c r="AK293" s="16"/>
    </row>
    <row r="294" spans="1:37" x14ac:dyDescent="0.2">
      <c r="A294" s="622"/>
      <c r="B294" s="1640" t="s">
        <v>987</v>
      </c>
      <c r="C294" s="1"/>
      <c r="D294" s="491" t="s">
        <v>116</v>
      </c>
      <c r="E294" s="1"/>
      <c r="F294" s="1"/>
      <c r="G294" s="1"/>
      <c r="H294" s="1"/>
      <c r="I294" s="1"/>
      <c r="J294" s="1625">
        <v>9023303</v>
      </c>
      <c r="K294" s="1625">
        <v>9018079</v>
      </c>
      <c r="L294" s="1625">
        <v>8892815</v>
      </c>
      <c r="M294" s="1625">
        <v>8886307</v>
      </c>
      <c r="N294" s="1625">
        <v>8879139</v>
      </c>
      <c r="O294" s="1625">
        <v>8871296</v>
      </c>
      <c r="P294" s="1625">
        <v>8303708</v>
      </c>
      <c r="Q294" s="1625">
        <v>8294476</v>
      </c>
      <c r="R294" s="1625">
        <v>8284528</v>
      </c>
      <c r="S294" s="1625">
        <v>8273484</v>
      </c>
      <c r="T294" s="1625"/>
      <c r="U294" s="16"/>
      <c r="V294" s="16"/>
      <c r="W294" s="16"/>
      <c r="X294" s="687"/>
      <c r="Y294" s="16"/>
      <c r="Z294" s="16"/>
      <c r="AA294" s="16"/>
      <c r="AB294" s="16"/>
      <c r="AC294" s="16"/>
      <c r="AD294" s="16"/>
      <c r="AE294" s="16"/>
      <c r="AF294" s="16"/>
      <c r="AG294" s="16"/>
      <c r="AH294" s="16"/>
      <c r="AI294" s="16"/>
      <c r="AJ294" s="16"/>
      <c r="AK294" s="16"/>
    </row>
    <row r="295" spans="1:37" x14ac:dyDescent="0.2">
      <c r="A295" s="622"/>
      <c r="B295" s="1472" t="s">
        <v>804</v>
      </c>
      <c r="C295" s="1"/>
      <c r="D295" s="491" t="s">
        <v>116</v>
      </c>
      <c r="E295" s="1"/>
      <c r="F295" s="1"/>
      <c r="G295" s="1"/>
      <c r="H295" s="1"/>
      <c r="I295" s="1"/>
      <c r="J295" s="1625"/>
      <c r="K295" s="1625"/>
      <c r="L295" s="1625"/>
      <c r="M295" s="1625"/>
      <c r="N295" s="1625"/>
      <c r="O295" s="1625"/>
      <c r="P295" s="1625"/>
      <c r="Q295" s="1625"/>
      <c r="R295" s="1625"/>
      <c r="S295" s="1625"/>
      <c r="T295" s="1625"/>
      <c r="U295" s="16"/>
      <c r="V295" s="16"/>
      <c r="W295" s="16"/>
      <c r="X295" s="687"/>
      <c r="Y295" s="16"/>
      <c r="Z295" s="16"/>
      <c r="AA295" s="16"/>
      <c r="AB295" s="16"/>
      <c r="AC295" s="16"/>
      <c r="AD295" s="16"/>
      <c r="AE295" s="16"/>
      <c r="AF295" s="16"/>
      <c r="AG295" s="16"/>
      <c r="AH295" s="16"/>
      <c r="AI295" s="16"/>
      <c r="AJ295" s="16"/>
      <c r="AK295" s="16"/>
    </row>
    <row r="296" spans="1:37" x14ac:dyDescent="0.2">
      <c r="A296" s="622"/>
      <c r="B296" s="1480" t="s">
        <v>859</v>
      </c>
      <c r="C296" s="1"/>
      <c r="D296" s="491" t="s">
        <v>116</v>
      </c>
      <c r="E296" s="1"/>
      <c r="F296" s="1"/>
      <c r="G296" s="1"/>
      <c r="H296" s="1"/>
      <c r="I296" s="1"/>
      <c r="J296" s="1629">
        <f>SUM(J291:J295)</f>
        <v>93508750</v>
      </c>
      <c r="K296" s="1631">
        <f t="shared" ref="K296:T296" si="72">SUM(K291:K295)</f>
        <v>88580366</v>
      </c>
      <c r="L296" s="1631">
        <f t="shared" si="72"/>
        <v>84728093</v>
      </c>
      <c r="M296" s="1631">
        <f t="shared" si="72"/>
        <v>63963570</v>
      </c>
      <c r="N296" s="1631">
        <f t="shared" si="72"/>
        <v>60814076</v>
      </c>
      <c r="O296" s="1631">
        <f t="shared" si="72"/>
        <v>57593161</v>
      </c>
      <c r="P296" s="1631">
        <f t="shared" si="72"/>
        <v>63198270</v>
      </c>
      <c r="Q296" s="1631">
        <f t="shared" si="72"/>
        <v>66625503</v>
      </c>
      <c r="R296" s="1631">
        <f t="shared" si="72"/>
        <v>69866144</v>
      </c>
      <c r="S296" s="1631">
        <f t="shared" si="72"/>
        <v>74036874</v>
      </c>
      <c r="T296" s="1630">
        <f t="shared" si="72"/>
        <v>0</v>
      </c>
      <c r="U296" s="16"/>
      <c r="V296" s="16"/>
      <c r="W296" s="16"/>
      <c r="X296" s="687"/>
      <c r="Y296" s="16"/>
      <c r="Z296" s="16"/>
      <c r="AA296" s="16"/>
      <c r="AB296" s="16"/>
      <c r="AC296" s="16"/>
      <c r="AD296" s="16"/>
      <c r="AE296" s="16"/>
      <c r="AF296" s="16"/>
      <c r="AG296" s="16"/>
      <c r="AH296" s="16"/>
      <c r="AI296" s="16"/>
      <c r="AJ296" s="16"/>
      <c r="AK296" s="16"/>
    </row>
    <row r="297" spans="1:37" x14ac:dyDescent="0.2">
      <c r="A297" s="622"/>
      <c r="B297" s="1479" t="str">
        <f>B151</f>
        <v>- Internal Restrictions</v>
      </c>
      <c r="C297" s="1"/>
      <c r="D297" s="1"/>
      <c r="E297" s="1"/>
      <c r="F297" s="1"/>
      <c r="G297" s="1"/>
      <c r="H297" s="1"/>
      <c r="I297" s="1"/>
      <c r="J297" s="1625"/>
      <c r="K297" s="1625"/>
      <c r="L297" s="1625"/>
      <c r="M297" s="1625"/>
      <c r="N297" s="1625"/>
      <c r="O297" s="1625"/>
      <c r="P297" s="1625"/>
      <c r="Q297" s="1625"/>
      <c r="R297" s="1625"/>
      <c r="S297" s="1625"/>
      <c r="T297" s="1625"/>
      <c r="U297" s="16"/>
      <c r="V297" s="16"/>
      <c r="W297" s="16"/>
      <c r="X297" s="687"/>
      <c r="Y297" s="16"/>
      <c r="Z297" s="16"/>
      <c r="AA297" s="16"/>
      <c r="AB297" s="16"/>
      <c r="AC297" s="16"/>
      <c r="AD297" s="16"/>
      <c r="AE297" s="16"/>
      <c r="AF297" s="16"/>
      <c r="AG297" s="16"/>
      <c r="AH297" s="16"/>
      <c r="AI297" s="16"/>
      <c r="AJ297" s="16"/>
      <c r="AK297" s="16"/>
    </row>
    <row r="298" spans="1:37" x14ac:dyDescent="0.2">
      <c r="A298" s="622"/>
      <c r="B298" s="1640" t="s">
        <v>988</v>
      </c>
      <c r="C298" s="1"/>
      <c r="D298" s="491" t="s">
        <v>116</v>
      </c>
      <c r="E298" s="1"/>
      <c r="F298" s="1"/>
      <c r="G298" s="1"/>
      <c r="H298" s="1"/>
      <c r="I298" s="1"/>
      <c r="J298" s="1625">
        <v>36532208</v>
      </c>
      <c r="K298" s="1625">
        <v>30838612</v>
      </c>
      <c r="L298" s="1625">
        <v>36649059</v>
      </c>
      <c r="M298" s="1625">
        <v>35735782</v>
      </c>
      <c r="N298" s="1625">
        <v>39865293</v>
      </c>
      <c r="O298" s="1625">
        <v>44617761</v>
      </c>
      <c r="P298" s="1625">
        <v>50047775</v>
      </c>
      <c r="Q298" s="1625">
        <v>55491031</v>
      </c>
      <c r="R298" s="1625">
        <v>61963123</v>
      </c>
      <c r="S298" s="1625">
        <v>68272893</v>
      </c>
      <c r="T298" s="1625"/>
      <c r="U298" s="16"/>
      <c r="V298" s="16"/>
      <c r="W298" s="16"/>
      <c r="X298" s="687"/>
      <c r="Y298" s="16"/>
      <c r="Z298" s="16"/>
      <c r="AA298" s="16"/>
      <c r="AB298" s="16"/>
      <c r="AC298" s="16"/>
      <c r="AD298" s="16"/>
      <c r="AE298" s="16"/>
      <c r="AF298" s="16"/>
      <c r="AG298" s="16"/>
      <c r="AH298" s="16"/>
      <c r="AI298" s="16"/>
      <c r="AJ298" s="16"/>
      <c r="AK298" s="16"/>
    </row>
    <row r="299" spans="1:37" x14ac:dyDescent="0.2">
      <c r="A299" s="622"/>
      <c r="B299" s="1472" t="s">
        <v>804</v>
      </c>
      <c r="C299" s="1"/>
      <c r="D299" s="491" t="s">
        <v>116</v>
      </c>
      <c r="E299" s="1"/>
      <c r="F299" s="1"/>
      <c r="G299" s="1"/>
      <c r="H299" s="1"/>
      <c r="I299" s="1"/>
      <c r="J299" s="1625"/>
      <c r="K299" s="1625"/>
      <c r="L299" s="1625"/>
      <c r="M299" s="1625"/>
      <c r="N299" s="1625"/>
      <c r="O299" s="1625"/>
      <c r="P299" s="1625"/>
      <c r="Q299" s="1625"/>
      <c r="R299" s="1625"/>
      <c r="S299" s="1625"/>
      <c r="T299" s="1625"/>
      <c r="U299" s="16"/>
      <c r="V299" s="16"/>
      <c r="W299" s="16"/>
      <c r="X299" s="687"/>
      <c r="Y299" s="16"/>
      <c r="Z299" s="16"/>
      <c r="AA299" s="16"/>
      <c r="AB299" s="16"/>
      <c r="AC299" s="16"/>
      <c r="AD299" s="16"/>
      <c r="AE299" s="16"/>
      <c r="AF299" s="16"/>
      <c r="AG299" s="16"/>
      <c r="AH299" s="16"/>
      <c r="AI299" s="16"/>
      <c r="AJ299" s="16"/>
      <c r="AK299" s="16"/>
    </row>
    <row r="300" spans="1:37" x14ac:dyDescent="0.2">
      <c r="A300" s="622"/>
      <c r="B300" s="1472" t="s">
        <v>804</v>
      </c>
      <c r="C300" s="1"/>
      <c r="D300" s="491" t="s">
        <v>116</v>
      </c>
      <c r="E300" s="1"/>
      <c r="F300" s="1"/>
      <c r="G300" s="1"/>
      <c r="H300" s="1"/>
      <c r="I300" s="1"/>
      <c r="J300" s="1625"/>
      <c r="K300" s="1625"/>
      <c r="L300" s="1625"/>
      <c r="M300" s="1625"/>
      <c r="N300" s="1625"/>
      <c r="O300" s="1625"/>
      <c r="P300" s="1625"/>
      <c r="Q300" s="1625"/>
      <c r="R300" s="1625"/>
      <c r="S300" s="1625"/>
      <c r="T300" s="1625"/>
      <c r="U300" s="16"/>
      <c r="V300" s="16"/>
      <c r="W300" s="16"/>
      <c r="X300" s="687"/>
      <c r="Y300" s="16"/>
      <c r="Z300" s="16"/>
      <c r="AA300" s="16"/>
      <c r="AB300" s="16"/>
      <c r="AC300" s="16"/>
      <c r="AD300" s="16"/>
      <c r="AE300" s="16"/>
      <c r="AF300" s="16"/>
      <c r="AG300" s="16"/>
      <c r="AH300" s="16"/>
      <c r="AI300" s="16"/>
      <c r="AJ300" s="16"/>
      <c r="AK300" s="16"/>
    </row>
    <row r="301" spans="1:37" x14ac:dyDescent="0.2">
      <c r="A301" s="622"/>
      <c r="B301" s="1472" t="s">
        <v>804</v>
      </c>
      <c r="C301" s="1"/>
      <c r="D301" s="491" t="s">
        <v>116</v>
      </c>
      <c r="E301" s="1"/>
      <c r="F301" s="1"/>
      <c r="G301" s="1"/>
      <c r="H301" s="1"/>
      <c r="I301" s="1"/>
      <c r="J301" s="1625"/>
      <c r="K301" s="1625"/>
      <c r="L301" s="1625"/>
      <c r="M301" s="1625"/>
      <c r="N301" s="1625"/>
      <c r="O301" s="1625"/>
      <c r="P301" s="1625"/>
      <c r="Q301" s="1625"/>
      <c r="R301" s="1625"/>
      <c r="S301" s="1625"/>
      <c r="T301" s="1625"/>
      <c r="U301" s="16"/>
      <c r="V301" s="16"/>
      <c r="W301" s="16"/>
      <c r="X301" s="687"/>
      <c r="Y301" s="16"/>
      <c r="Z301" s="16"/>
      <c r="AA301" s="16"/>
      <c r="AB301" s="16"/>
      <c r="AC301" s="16"/>
      <c r="AD301" s="16"/>
      <c r="AE301" s="16"/>
      <c r="AF301" s="16"/>
      <c r="AG301" s="16"/>
      <c r="AH301" s="16"/>
      <c r="AI301" s="16"/>
      <c r="AJ301" s="16"/>
      <c r="AK301" s="16"/>
    </row>
    <row r="302" spans="1:37" x14ac:dyDescent="0.2">
      <c r="A302" s="622"/>
      <c r="B302" s="1472" t="s">
        <v>804</v>
      </c>
      <c r="C302" s="1"/>
      <c r="D302" s="491" t="s">
        <v>116</v>
      </c>
      <c r="E302" s="1"/>
      <c r="F302" s="1"/>
      <c r="G302" s="1"/>
      <c r="H302" s="1"/>
      <c r="I302" s="1"/>
      <c r="J302" s="1625"/>
      <c r="K302" s="1625"/>
      <c r="L302" s="1625"/>
      <c r="M302" s="1625"/>
      <c r="N302" s="1625"/>
      <c r="O302" s="1625"/>
      <c r="P302" s="1625"/>
      <c r="Q302" s="1625"/>
      <c r="R302" s="1625"/>
      <c r="S302" s="1625"/>
      <c r="T302" s="1625"/>
      <c r="U302" s="16"/>
      <c r="V302" s="16"/>
      <c r="W302" s="16"/>
      <c r="X302" s="687"/>
      <c r="Y302" s="16"/>
      <c r="Z302" s="16"/>
      <c r="AA302" s="16"/>
      <c r="AB302" s="16"/>
      <c r="AC302" s="16"/>
      <c r="AD302" s="16"/>
      <c r="AE302" s="16"/>
      <c r="AF302" s="16"/>
      <c r="AG302" s="16"/>
      <c r="AH302" s="16"/>
      <c r="AI302" s="16"/>
      <c r="AJ302" s="16"/>
      <c r="AK302" s="16"/>
    </row>
    <row r="303" spans="1:37" x14ac:dyDescent="0.2">
      <c r="A303" s="622"/>
      <c r="B303" s="1472" t="s">
        <v>804</v>
      </c>
      <c r="C303" s="1"/>
      <c r="D303" s="491" t="s">
        <v>116</v>
      </c>
      <c r="E303" s="1"/>
      <c r="F303" s="1"/>
      <c r="G303" s="1"/>
      <c r="H303" s="1"/>
      <c r="I303" s="1"/>
      <c r="J303" s="1625"/>
      <c r="K303" s="1625"/>
      <c r="L303" s="1625"/>
      <c r="M303" s="1625"/>
      <c r="N303" s="1625"/>
      <c r="O303" s="1625"/>
      <c r="P303" s="1625"/>
      <c r="Q303" s="1625"/>
      <c r="R303" s="1625"/>
      <c r="S303" s="1625"/>
      <c r="T303" s="1625"/>
      <c r="U303" s="16"/>
      <c r="V303" s="16"/>
      <c r="W303" s="16"/>
      <c r="X303" s="687"/>
      <c r="Y303" s="16"/>
      <c r="Z303" s="16"/>
      <c r="AA303" s="16"/>
      <c r="AB303" s="16"/>
      <c r="AC303" s="16"/>
      <c r="AD303" s="16"/>
      <c r="AE303" s="16"/>
      <c r="AF303" s="16"/>
      <c r="AG303" s="16"/>
      <c r="AH303" s="16"/>
      <c r="AI303" s="16"/>
      <c r="AJ303" s="16"/>
      <c r="AK303" s="16"/>
    </row>
    <row r="304" spans="1:37" x14ac:dyDescent="0.2">
      <c r="A304" s="622"/>
      <c r="B304" s="1472" t="s">
        <v>804</v>
      </c>
      <c r="C304" s="1"/>
      <c r="D304" s="491" t="s">
        <v>116</v>
      </c>
      <c r="E304" s="1"/>
      <c r="F304" s="1"/>
      <c r="G304" s="1"/>
      <c r="H304" s="1"/>
      <c r="I304" s="1"/>
      <c r="J304" s="1625"/>
      <c r="K304" s="1625"/>
      <c r="L304" s="1625"/>
      <c r="M304" s="1625"/>
      <c r="N304" s="1625"/>
      <c r="O304" s="1625"/>
      <c r="P304" s="1625"/>
      <c r="Q304" s="1625"/>
      <c r="R304" s="1625"/>
      <c r="S304" s="1625"/>
      <c r="T304" s="1625"/>
      <c r="U304" s="16"/>
      <c r="V304" s="16"/>
      <c r="W304" s="16"/>
      <c r="X304" s="687"/>
      <c r="Y304" s="16"/>
      <c r="Z304" s="16"/>
      <c r="AA304" s="16"/>
      <c r="AB304" s="16"/>
      <c r="AC304" s="16"/>
      <c r="AD304" s="16"/>
      <c r="AE304" s="16"/>
      <c r="AF304" s="16"/>
      <c r="AG304" s="16"/>
      <c r="AH304" s="16"/>
      <c r="AI304" s="16"/>
      <c r="AJ304" s="16"/>
      <c r="AK304" s="16"/>
    </row>
    <row r="305" spans="1:37" x14ac:dyDescent="0.2">
      <c r="A305" s="622"/>
      <c r="B305" s="1337" t="s">
        <v>865</v>
      </c>
      <c r="C305" s="1"/>
      <c r="D305" s="1"/>
      <c r="E305" s="1"/>
      <c r="F305" s="1"/>
      <c r="G305" s="1"/>
      <c r="H305" s="1"/>
      <c r="I305" s="1"/>
      <c r="J305" s="1629">
        <f>SUM(J297:J304)</f>
        <v>36532208</v>
      </c>
      <c r="K305" s="1631">
        <f t="shared" ref="K305:T305" si="73">SUM(K297:K304)</f>
        <v>30838612</v>
      </c>
      <c r="L305" s="1631">
        <f t="shared" si="73"/>
        <v>36649059</v>
      </c>
      <c r="M305" s="1631">
        <f t="shared" si="73"/>
        <v>35735782</v>
      </c>
      <c r="N305" s="1631">
        <f t="shared" si="73"/>
        <v>39865293</v>
      </c>
      <c r="O305" s="1631">
        <f t="shared" si="73"/>
        <v>44617761</v>
      </c>
      <c r="P305" s="1631">
        <f t="shared" si="73"/>
        <v>50047775</v>
      </c>
      <c r="Q305" s="1631">
        <f t="shared" si="73"/>
        <v>55491031</v>
      </c>
      <c r="R305" s="1631">
        <f t="shared" si="73"/>
        <v>61963123</v>
      </c>
      <c r="S305" s="1631">
        <f t="shared" si="73"/>
        <v>68272893</v>
      </c>
      <c r="T305" s="1630">
        <f t="shared" si="73"/>
        <v>0</v>
      </c>
      <c r="U305" s="16"/>
      <c r="V305" s="16"/>
      <c r="W305" s="16"/>
      <c r="X305" s="687"/>
      <c r="Y305" s="16"/>
      <c r="Z305" s="16"/>
      <c r="AA305" s="16"/>
      <c r="AB305" s="16"/>
      <c r="AC305" s="16"/>
      <c r="AD305" s="16"/>
      <c r="AE305" s="16"/>
      <c r="AF305" s="16"/>
      <c r="AG305" s="16"/>
      <c r="AH305" s="16"/>
      <c r="AI305" s="16"/>
      <c r="AJ305" s="16"/>
      <c r="AK305" s="16"/>
    </row>
    <row r="306" spans="1:37" x14ac:dyDescent="0.2">
      <c r="A306" s="622"/>
      <c r="B306" s="1479" t="str">
        <f>B160</f>
        <v>- Unrestricted</v>
      </c>
      <c r="C306" s="1"/>
      <c r="D306" s="1" t="s">
        <v>116</v>
      </c>
      <c r="E306" s="1"/>
      <c r="F306" s="1"/>
      <c r="G306" s="1"/>
      <c r="H306" s="1"/>
      <c r="I306" s="1"/>
      <c r="J306" s="1625">
        <v>22998223</v>
      </c>
      <c r="K306" s="1625">
        <v>24119807</v>
      </c>
      <c r="L306" s="1625">
        <v>24219807</v>
      </c>
      <c r="M306" s="1625">
        <v>24369807</v>
      </c>
      <c r="N306" s="1625">
        <v>24469804</v>
      </c>
      <c r="O306" s="1625">
        <v>24619806</v>
      </c>
      <c r="P306" s="1625">
        <v>24719805</v>
      </c>
      <c r="Q306" s="1625">
        <v>24869804</v>
      </c>
      <c r="R306" s="1625">
        <v>24969804</v>
      </c>
      <c r="S306" s="1625">
        <v>25119803</v>
      </c>
      <c r="T306" s="1625"/>
      <c r="U306" s="16"/>
      <c r="V306" s="16"/>
      <c r="W306" s="16"/>
      <c r="X306" s="687"/>
      <c r="Y306" s="16"/>
      <c r="Z306" s="16"/>
      <c r="AA306" s="16"/>
      <c r="AB306" s="16"/>
      <c r="AC306" s="16"/>
      <c r="AD306" s="16"/>
      <c r="AE306" s="16"/>
      <c r="AF306" s="16"/>
      <c r="AG306" s="16"/>
      <c r="AH306" s="16"/>
      <c r="AI306" s="16"/>
      <c r="AJ306" s="16"/>
      <c r="AK306" s="16"/>
    </row>
    <row r="307" spans="1:37" x14ac:dyDescent="0.2">
      <c r="A307" s="622"/>
      <c r="B307" s="1339" t="str">
        <f>B161</f>
        <v>Total</v>
      </c>
      <c r="C307" s="1308"/>
      <c r="D307" s="1308"/>
      <c r="E307" s="1308"/>
      <c r="F307" s="1308"/>
      <c r="G307" s="1308"/>
      <c r="H307" s="1308"/>
      <c r="I307" s="1308"/>
      <c r="J307" s="1309">
        <f>J306+J305+J296</f>
        <v>153039181</v>
      </c>
      <c r="K307" s="1309">
        <f t="shared" ref="K307:T307" si="74">K306+K305+K296</f>
        <v>143538785</v>
      </c>
      <c r="L307" s="1309">
        <f t="shared" si="74"/>
        <v>145596959</v>
      </c>
      <c r="M307" s="1309">
        <f t="shared" si="74"/>
        <v>124069159</v>
      </c>
      <c r="N307" s="1309">
        <f t="shared" si="74"/>
        <v>125149173</v>
      </c>
      <c r="O307" s="1309">
        <f t="shared" si="74"/>
        <v>126830728</v>
      </c>
      <c r="P307" s="1309">
        <f t="shared" si="74"/>
        <v>137965850</v>
      </c>
      <c r="Q307" s="1309">
        <f t="shared" si="74"/>
        <v>146986338</v>
      </c>
      <c r="R307" s="1309">
        <f t="shared" si="74"/>
        <v>156799071</v>
      </c>
      <c r="S307" s="1309">
        <f t="shared" si="74"/>
        <v>167429570</v>
      </c>
      <c r="T307" s="1309">
        <f t="shared" si="74"/>
        <v>0</v>
      </c>
      <c r="U307" s="1094"/>
      <c r="V307" s="1094"/>
      <c r="W307" s="1094"/>
      <c r="X307" s="1310"/>
      <c r="Y307" s="16"/>
      <c r="Z307" s="16"/>
      <c r="AA307" s="16"/>
      <c r="AB307" s="16"/>
      <c r="AC307" s="16"/>
      <c r="AD307" s="16"/>
      <c r="AE307" s="16"/>
      <c r="AF307" s="16"/>
      <c r="AG307" s="16"/>
      <c r="AH307" s="16"/>
      <c r="AI307" s="16"/>
      <c r="AJ307" s="16"/>
      <c r="AK307" s="16"/>
    </row>
    <row r="308" spans="1:37" x14ac:dyDescent="0.2">
      <c r="A308" s="622"/>
      <c r="B308" s="1304"/>
      <c r="C308" s="1"/>
      <c r="D308" s="1"/>
      <c r="E308" s="1"/>
      <c r="F308" s="1"/>
      <c r="G308" s="1"/>
      <c r="H308" s="1"/>
      <c r="I308" s="1"/>
      <c r="J308" s="16"/>
      <c r="K308" s="222"/>
      <c r="L308" s="222"/>
      <c r="M308" s="222"/>
      <c r="N308" s="222"/>
      <c r="O308" s="222"/>
      <c r="P308" s="222"/>
      <c r="Q308" s="222"/>
      <c r="R308" s="222"/>
      <c r="S308" s="222"/>
      <c r="T308" s="222"/>
      <c r="U308" s="16"/>
      <c r="V308" s="16"/>
      <c r="W308" s="16"/>
      <c r="X308" s="687"/>
      <c r="Y308" s="16"/>
      <c r="Z308" s="16"/>
      <c r="AA308" s="16"/>
      <c r="AB308" s="16"/>
      <c r="AC308" s="16"/>
      <c r="AD308" s="16"/>
      <c r="AE308" s="16"/>
      <c r="AF308" s="16"/>
      <c r="AG308" s="16"/>
      <c r="AH308" s="16"/>
      <c r="AI308" s="16"/>
      <c r="AJ308" s="16"/>
      <c r="AK308" s="16"/>
    </row>
    <row r="309" spans="1:37" x14ac:dyDescent="0.2">
      <c r="A309" s="622"/>
      <c r="B309" s="1341" t="str">
        <f>B163</f>
        <v>check = 0</v>
      </c>
      <c r="C309" s="1"/>
      <c r="D309" s="1"/>
      <c r="E309" s="1"/>
      <c r="F309" s="1"/>
      <c r="G309" s="1"/>
      <c r="H309" s="1"/>
      <c r="I309" s="1"/>
      <c r="J309" s="222" t="str">
        <f t="shared" ref="J309:T309" si="75">IF(J307-J288=0, "ok", "please check")</f>
        <v>ok</v>
      </c>
      <c r="K309" s="222" t="str">
        <f t="shared" si="75"/>
        <v>ok</v>
      </c>
      <c r="L309" s="222" t="str">
        <f t="shared" si="75"/>
        <v>ok</v>
      </c>
      <c r="M309" s="222" t="str">
        <f t="shared" si="75"/>
        <v>ok</v>
      </c>
      <c r="N309" s="222" t="str">
        <f t="shared" si="75"/>
        <v>ok</v>
      </c>
      <c r="O309" s="222" t="str">
        <f t="shared" si="75"/>
        <v>ok</v>
      </c>
      <c r="P309" s="222" t="str">
        <f t="shared" si="75"/>
        <v>ok</v>
      </c>
      <c r="Q309" s="222" t="str">
        <f t="shared" si="75"/>
        <v>ok</v>
      </c>
      <c r="R309" s="222" t="str">
        <f t="shared" si="75"/>
        <v>ok</v>
      </c>
      <c r="S309" s="222" t="str">
        <f t="shared" si="75"/>
        <v>ok</v>
      </c>
      <c r="T309" s="222" t="str">
        <f t="shared" si="75"/>
        <v>please check</v>
      </c>
      <c r="U309" s="16"/>
      <c r="V309" s="16"/>
      <c r="W309" s="16"/>
      <c r="X309" s="687"/>
      <c r="Y309" s="16"/>
      <c r="Z309" s="16"/>
      <c r="AA309" s="16"/>
      <c r="AB309" s="16"/>
      <c r="AC309" s="16"/>
      <c r="AD309" s="16"/>
      <c r="AE309" s="16"/>
      <c r="AF309" s="16"/>
      <c r="AG309" s="16"/>
      <c r="AH309" s="16"/>
      <c r="AI309" s="16"/>
      <c r="AJ309" s="16"/>
      <c r="AK309" s="16"/>
    </row>
    <row r="310" spans="1:37" x14ac:dyDescent="0.2">
      <c r="A310" s="622"/>
      <c r="B310" s="1312"/>
      <c r="C310" s="580"/>
      <c r="D310" s="580"/>
      <c r="E310" s="580"/>
      <c r="F310" s="580"/>
      <c r="G310" s="580"/>
      <c r="H310" s="580"/>
      <c r="I310" s="580"/>
      <c r="J310" s="154"/>
      <c r="K310" s="1313"/>
      <c r="L310" s="1313"/>
      <c r="M310" s="1313"/>
      <c r="N310" s="1313"/>
      <c r="O310" s="1313"/>
      <c r="P310" s="1313"/>
      <c r="Q310" s="1313"/>
      <c r="R310" s="1313"/>
      <c r="S310" s="1313"/>
      <c r="T310" s="1313"/>
      <c r="U310" s="154"/>
      <c r="V310" s="154"/>
      <c r="W310" s="154"/>
      <c r="X310" s="1314"/>
      <c r="Y310" s="16"/>
      <c r="Z310" s="16"/>
      <c r="AA310" s="16"/>
      <c r="AB310" s="16"/>
      <c r="AC310" s="16"/>
      <c r="AD310" s="16"/>
      <c r="AE310" s="16"/>
      <c r="AF310" s="16"/>
      <c r="AG310" s="16"/>
      <c r="AH310" s="16"/>
      <c r="AI310" s="16"/>
      <c r="AJ310" s="16"/>
      <c r="AK310" s="16"/>
    </row>
    <row r="311" spans="1:37" ht="12" customHeight="1" x14ac:dyDescent="0.2"/>
    <row r="312" spans="1:37" ht="12" customHeight="1" x14ac:dyDescent="0.2">
      <c r="A312" s="622"/>
      <c r="B312" s="347"/>
      <c r="C312" s="1"/>
      <c r="D312" s="1"/>
      <c r="E312" s="1"/>
      <c r="F312" s="1"/>
      <c r="G312" s="1"/>
      <c r="H312" s="1"/>
      <c r="I312" s="1"/>
      <c r="J312" s="16"/>
      <c r="K312" s="222"/>
      <c r="L312" s="222"/>
      <c r="M312" s="222"/>
      <c r="N312" s="222"/>
      <c r="O312" s="222"/>
      <c r="P312" s="222"/>
      <c r="Q312" s="222"/>
      <c r="R312" s="222"/>
      <c r="S312" s="222"/>
      <c r="T312" s="222"/>
      <c r="U312" s="16"/>
      <c r="V312" s="16"/>
      <c r="W312" s="16"/>
      <c r="X312" s="16"/>
      <c r="Y312" s="16"/>
      <c r="Z312" s="16"/>
      <c r="AA312" s="16"/>
      <c r="AB312" s="16"/>
      <c r="AC312" s="16"/>
      <c r="AD312" s="16"/>
      <c r="AE312" s="16"/>
      <c r="AF312" s="16"/>
      <c r="AG312" s="16"/>
      <c r="AH312" s="16"/>
      <c r="AI312" s="16"/>
      <c r="AJ312" s="16"/>
      <c r="AK312" s="16"/>
    </row>
    <row r="313" spans="1:37" ht="12" customHeight="1" x14ac:dyDescent="0.2">
      <c r="A313" s="646" t="s">
        <v>866</v>
      </c>
      <c r="B313" s="461" t="str">
        <f>"Table "&amp;A1&amp;A313&amp;": Key Assumptions"</f>
        <v>Table 10.3: Key Assumptions</v>
      </c>
      <c r="C313" s="1"/>
      <c r="D313" s="1"/>
      <c r="E313" s="1"/>
      <c r="F313" s="1"/>
      <c r="G313" s="1"/>
      <c r="H313" s="1"/>
      <c r="I313" s="1"/>
      <c r="J313" s="16"/>
      <c r="K313" s="38" t="str">
        <f>IF('WS1-Application'!$D$33="Minimum rate increase","[Leave rows "&amp;ROW(B318)&amp;", "&amp;ROW(B321)&amp;", "&amp;ROW(B324)&amp;", "&amp;ROW(B327)&amp;" and row "&amp;ROW(B330)&amp;" blank]",".")</f>
        <v>.</v>
      </c>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row>
    <row r="314" spans="1:37" ht="22.15" customHeight="1" x14ac:dyDescent="0.25">
      <c r="A314" s="5"/>
      <c r="B314" s="1344"/>
      <c r="C314" s="666"/>
      <c r="D314" s="666"/>
      <c r="E314" s="666"/>
      <c r="F314" s="666"/>
      <c r="G314" s="666"/>
      <c r="H314" s="666"/>
      <c r="I314" s="666"/>
      <c r="J314" s="990"/>
      <c r="K314" s="1167" t="str">
        <f t="shared" ref="K314:T314" si="76">K$22</f>
        <v>Year 1</v>
      </c>
      <c r="L314" s="1167" t="str">
        <f t="shared" si="76"/>
        <v>Year 2</v>
      </c>
      <c r="M314" s="1167" t="str">
        <f t="shared" si="76"/>
        <v>Year 3</v>
      </c>
      <c r="N314" s="1167" t="str">
        <f t="shared" si="76"/>
        <v>Year 4</v>
      </c>
      <c r="O314" s="1167" t="str">
        <f t="shared" si="76"/>
        <v>Year 5</v>
      </c>
      <c r="P314" s="1167" t="str">
        <f t="shared" si="76"/>
        <v>Year 6</v>
      </c>
      <c r="Q314" s="1167" t="str">
        <f t="shared" si="76"/>
        <v>Year 7</v>
      </c>
      <c r="R314" s="1167" t="str">
        <f t="shared" si="76"/>
        <v>Year 8</v>
      </c>
      <c r="S314" s="1167" t="str">
        <f t="shared" si="76"/>
        <v>Year 9</v>
      </c>
      <c r="T314" s="1167" t="str">
        <f t="shared" si="76"/>
        <v>Year 10</v>
      </c>
      <c r="U314" s="696"/>
      <c r="V314" s="696"/>
      <c r="W314" s="696"/>
      <c r="X314" s="697"/>
      <c r="Y314" s="3"/>
      <c r="Z314" s="16"/>
      <c r="AA314" s="16"/>
      <c r="AB314" s="16"/>
      <c r="AC314" s="16"/>
      <c r="AD314" s="16"/>
      <c r="AE314" s="16"/>
      <c r="AF314" s="16"/>
      <c r="AG314" s="16"/>
      <c r="AH314" s="16"/>
      <c r="AI314" s="16"/>
      <c r="AJ314" s="16"/>
      <c r="AK314" s="16"/>
    </row>
    <row r="315" spans="1:37" ht="11.65" customHeight="1" x14ac:dyDescent="0.2">
      <c r="A315" s="622"/>
      <c r="B315" s="1274"/>
      <c r="C315" s="606"/>
      <c r="D315" s="606"/>
      <c r="E315" s="606"/>
      <c r="F315" s="606"/>
      <c r="G315" s="606"/>
      <c r="H315" s="606"/>
      <c r="I315" s="606"/>
      <c r="J315" s="1352"/>
      <c r="K315" s="1278" t="str">
        <f t="shared" ref="K315:T315" si="77">K$23</f>
        <v>2024-25</v>
      </c>
      <c r="L315" s="1278" t="str">
        <f t="shared" si="77"/>
        <v>2025-26</v>
      </c>
      <c r="M315" s="1278" t="str">
        <f t="shared" si="77"/>
        <v>2026-27</v>
      </c>
      <c r="N315" s="1278" t="str">
        <f t="shared" si="77"/>
        <v>2027-28</v>
      </c>
      <c r="O315" s="1278" t="str">
        <f t="shared" si="77"/>
        <v>2028-29</v>
      </c>
      <c r="P315" s="1278" t="str">
        <f t="shared" si="77"/>
        <v>2029-30</v>
      </c>
      <c r="Q315" s="1278" t="str">
        <f t="shared" si="77"/>
        <v>2030-31</v>
      </c>
      <c r="R315" s="1278" t="str">
        <f t="shared" si="77"/>
        <v>2031-32</v>
      </c>
      <c r="S315" s="1278" t="str">
        <f t="shared" si="77"/>
        <v>2032-33</v>
      </c>
      <c r="T315" s="1278" t="str">
        <f t="shared" si="77"/>
        <v>2033-34</v>
      </c>
      <c r="U315" s="154"/>
      <c r="V315" s="154"/>
      <c r="W315" s="154"/>
      <c r="X315" s="1314"/>
      <c r="Y315" s="3"/>
      <c r="Z315" s="16"/>
      <c r="AA315" s="16"/>
      <c r="AB315" s="16"/>
      <c r="AC315" s="16"/>
      <c r="AD315" s="16"/>
      <c r="AE315" s="16"/>
      <c r="AF315" s="16"/>
      <c r="AG315" s="16"/>
      <c r="AH315" s="16"/>
      <c r="AI315" s="16"/>
      <c r="AJ315" s="16"/>
      <c r="AK315" s="16"/>
    </row>
    <row r="316" spans="1:37" ht="11.65" customHeight="1" x14ac:dyDescent="0.2">
      <c r="A316" s="622"/>
      <c r="B316" s="581"/>
      <c r="C316" s="1"/>
      <c r="D316" s="1"/>
      <c r="E316" s="1"/>
      <c r="F316" s="1"/>
      <c r="G316" s="1"/>
      <c r="H316" s="1"/>
      <c r="I316" s="1"/>
      <c r="J316" s="151"/>
      <c r="K316" s="1283"/>
      <c r="L316" s="1283"/>
      <c r="M316" s="1283"/>
      <c r="N316" s="1283"/>
      <c r="O316" s="1283"/>
      <c r="P316" s="1283"/>
      <c r="Q316" s="1283"/>
      <c r="R316" s="1283"/>
      <c r="S316" s="1283"/>
      <c r="T316" s="1283"/>
      <c r="U316" s="16"/>
      <c r="V316" s="647"/>
      <c r="W316" s="16"/>
      <c r="X316" s="687"/>
      <c r="Y316" s="3"/>
      <c r="Z316" s="16"/>
      <c r="AA316" s="16"/>
      <c r="AB316" s="16"/>
      <c r="AC316" s="16"/>
      <c r="AD316" s="16"/>
      <c r="AE316" s="16"/>
      <c r="AF316" s="16"/>
      <c r="AG316" s="16"/>
      <c r="AH316" s="16"/>
      <c r="AI316" s="16"/>
      <c r="AJ316" s="16"/>
      <c r="AK316" s="16"/>
    </row>
    <row r="317" spans="1:37" ht="11.65" customHeight="1" x14ac:dyDescent="0.2">
      <c r="A317" s="622"/>
      <c r="B317" s="1345" t="s">
        <v>867</v>
      </c>
      <c r="D317" s="1346"/>
      <c r="E317" s="1346"/>
      <c r="F317" s="1346"/>
      <c r="G317" s="1346"/>
      <c r="H317" s="1346"/>
      <c r="I317" s="1346"/>
      <c r="J317" s="151"/>
      <c r="K317" s="1356"/>
      <c r="L317" s="1356"/>
      <c r="M317" s="1356"/>
      <c r="N317" s="1356"/>
      <c r="O317" s="1356"/>
      <c r="P317" s="1356"/>
      <c r="Q317" s="1356"/>
      <c r="R317" s="1356"/>
      <c r="S317" s="1356"/>
      <c r="T317" s="1356"/>
      <c r="U317" s="16"/>
      <c r="V317" s="647"/>
      <c r="W317" s="16"/>
      <c r="X317" s="687"/>
      <c r="Y317" s="3"/>
      <c r="Z317" s="16"/>
      <c r="AA317" s="16"/>
      <c r="AB317" s="16"/>
      <c r="AC317" s="16"/>
      <c r="AD317" s="16"/>
      <c r="AE317" s="16"/>
      <c r="AF317" s="16"/>
      <c r="AG317" s="16"/>
      <c r="AH317" s="16"/>
      <c r="AI317" s="16"/>
      <c r="AJ317" s="16"/>
      <c r="AK317" s="16"/>
    </row>
    <row r="318" spans="1:37" ht="11.65" customHeight="1" x14ac:dyDescent="0.2">
      <c r="A318" s="622"/>
      <c r="B318" s="1347" t="str">
        <f>IF('WS1-Application'!$D$33="Minimum rate increase","N/A - Leave blank","Scenario 1: Proposed (with SV)")</f>
        <v>Scenario 1: Proposed (with SV)</v>
      </c>
      <c r="C318" s="1348"/>
      <c r="D318" s="1348" t="s">
        <v>868</v>
      </c>
      <c r="E318" s="1346"/>
      <c r="F318" s="1346"/>
      <c r="G318" s="1346"/>
      <c r="H318" s="1346"/>
      <c r="I318" s="1346"/>
      <c r="J318" s="151"/>
      <c r="K318" s="1357">
        <f>IF(OR(K47=0,'WS1-Application'!$D$33="Minimum rate increase"),".",(K47/J47)-1)</f>
        <v>2.3241748343882485E-2</v>
      </c>
      <c r="L318" s="1357">
        <f>IF(OR(L47=0,'WS1-Application'!$D$33="Minimum rate increase"),".",(L47/K47)-1)</f>
        <v>3.4999999779179669E-2</v>
      </c>
      <c r="M318" s="1357">
        <f>IF(OR(M47=0,'WS1-Application'!$D$33="Minimum rate increase"),".",(M47/L47)-1)</f>
        <v>2.6367201915639127E-2</v>
      </c>
      <c r="N318" s="1357">
        <f>IF(OR(N47=0,'WS1-Application'!$D$33="Minimum rate increase"),".",(N47/M47)-1)</f>
        <v>3.0000000032820884E-2</v>
      </c>
      <c r="O318" s="1357">
        <f>IF(OR(O47=0,'WS1-Application'!$D$33="Minimum rate increase"),".",(O47/N47)-1)</f>
        <v>3.0000002634252176E-2</v>
      </c>
      <c r="P318" s="1357">
        <f>IF(OR(P47=0,'WS1-Application'!$D$33="Minimum rate increase"),".",(P47/O47)-1)</f>
        <v>3.0000000935010318E-2</v>
      </c>
      <c r="Q318" s="1357">
        <f>IF(OR(Q47=0,'WS1-Application'!$D$33="Minimum rate increase"),".",(Q47/P47)-1)</f>
        <v>2.9999998568249531E-2</v>
      </c>
      <c r="R318" s="1357">
        <f>IF(OR(R47=0,'WS1-Application'!$D$33="Minimum rate increase"),".",(R47/Q47)-1)</f>
        <v>3.0000002195241127E-2</v>
      </c>
      <c r="S318" s="1357">
        <f>IF(OR(S47=0,'WS1-Application'!$D$33="Minimum rate increase"),".",(S47/R47)-1)</f>
        <v>2.9999998911541814E-2</v>
      </c>
      <c r="T318" s="1357">
        <f>IF(OR(T47=0,'WS1-Application'!$D$33="Minimum rate increase"),".",(T47/S47)-1)</f>
        <v>3.0000000000000027E-2</v>
      </c>
      <c r="U318" s="16"/>
      <c r="V318" s="647"/>
      <c r="W318" s="16"/>
      <c r="X318" s="687"/>
      <c r="Y318" s="3"/>
      <c r="Z318" s="16"/>
      <c r="AA318" s="16"/>
      <c r="AB318" s="16"/>
      <c r="AC318" s="16"/>
      <c r="AD318" s="16"/>
      <c r="AE318" s="16"/>
      <c r="AF318" s="16"/>
      <c r="AG318" s="16"/>
      <c r="AH318" s="16"/>
      <c r="AI318" s="16"/>
      <c r="AJ318" s="16"/>
      <c r="AK318" s="16"/>
    </row>
    <row r="319" spans="1:37" ht="11.65" customHeight="1" x14ac:dyDescent="0.2">
      <c r="A319" s="622"/>
      <c r="B319" s="1347" t="s">
        <v>869</v>
      </c>
      <c r="C319" s="255"/>
      <c r="D319" s="255" t="str">
        <f>D318</f>
        <v xml:space="preserve">% </v>
      </c>
      <c r="E319" s="1346"/>
      <c r="F319" s="1346"/>
      <c r="G319" s="1346"/>
      <c r="H319" s="1346"/>
      <c r="I319" s="1346"/>
      <c r="J319" s="151"/>
      <c r="K319" s="1357">
        <f t="shared" ref="K319:T319" si="78">IF(K193=0,".",(K193/J193)-1)</f>
        <v>2.3241748343882485E-2</v>
      </c>
      <c r="L319" s="1357">
        <f t="shared" si="78"/>
        <v>3.4999999779179669E-2</v>
      </c>
      <c r="M319" s="1357">
        <f t="shared" si="78"/>
        <v>8.1869271457328807E-3</v>
      </c>
      <c r="N319" s="1357">
        <f t="shared" si="78"/>
        <v>3.0000000001855209E-2</v>
      </c>
      <c r="O319" s="1357">
        <f t="shared" si="78"/>
        <v>3.0000002757449629E-2</v>
      </c>
      <c r="P319" s="1357">
        <f t="shared" si="78"/>
        <v>3.0000000920375358E-2</v>
      </c>
      <c r="Q319" s="1357">
        <f t="shared" si="78"/>
        <v>2.9999998499961267E-2</v>
      </c>
      <c r="R319" s="1357">
        <f t="shared" si="78"/>
        <v>3.0000002274410686E-2</v>
      </c>
      <c r="S319" s="1357">
        <f t="shared" si="78"/>
        <v>2.9999998851881982E-2</v>
      </c>
      <c r="T319" s="1357">
        <f t="shared" si="78"/>
        <v>3.0000000000000027E-2</v>
      </c>
      <c r="U319" s="16"/>
      <c r="V319"/>
      <c r="W319"/>
      <c r="X319" s="669"/>
      <c r="Y319"/>
      <c r="Z319" s="16"/>
      <c r="AA319" s="16"/>
      <c r="AB319" s="16"/>
      <c r="AC319" s="16"/>
      <c r="AD319" s="16"/>
      <c r="AE319" s="16"/>
      <c r="AF319" s="16"/>
      <c r="AG319" s="16"/>
      <c r="AH319" s="16"/>
      <c r="AI319" s="16"/>
      <c r="AJ319" s="16"/>
      <c r="AK319" s="16"/>
    </row>
    <row r="320" spans="1:37" ht="11.65" customHeight="1" x14ac:dyDescent="0.2">
      <c r="A320" s="622"/>
      <c r="B320" s="1345" t="s">
        <v>870</v>
      </c>
      <c r="C320" s="1346"/>
      <c r="D320" s="1346"/>
      <c r="E320" s="1346"/>
      <c r="F320" s="1346"/>
      <c r="G320" s="1346"/>
      <c r="H320" s="1346"/>
      <c r="I320" s="1346"/>
      <c r="J320" s="1353"/>
      <c r="K320" s="1356"/>
      <c r="L320" s="1356"/>
      <c r="M320" s="1356"/>
      <c r="N320" s="1356"/>
      <c r="O320" s="1356"/>
      <c r="P320" s="1356"/>
      <c r="Q320" s="1356"/>
      <c r="R320" s="1356"/>
      <c r="S320" s="1356"/>
      <c r="T320" s="1356"/>
      <c r="U320" s="16"/>
      <c r="V320" s="647"/>
      <c r="W320" s="16"/>
      <c r="X320" s="687"/>
      <c r="Y320" s="16"/>
      <c r="Z320" s="16"/>
      <c r="AA320" s="16"/>
      <c r="AB320" s="16"/>
      <c r="AC320" s="16"/>
      <c r="AD320" s="16"/>
      <c r="AE320" s="16"/>
      <c r="AF320" s="16"/>
      <c r="AG320" s="16"/>
      <c r="AH320" s="16"/>
      <c r="AI320" s="16"/>
      <c r="AJ320" s="16"/>
      <c r="AK320" s="16"/>
    </row>
    <row r="321" spans="1:37" ht="11.65" customHeight="1" x14ac:dyDescent="0.2">
      <c r="A321" s="622"/>
      <c r="B321" s="1263" t="str">
        <f>$B$318</f>
        <v>Scenario 1: Proposed (with SV)</v>
      </c>
      <c r="C321" s="255"/>
      <c r="D321" s="255" t="str">
        <f>D$318</f>
        <v xml:space="preserve">% </v>
      </c>
      <c r="E321" s="1346"/>
      <c r="F321" s="1346"/>
      <c r="G321" s="1346"/>
      <c r="H321" s="1346"/>
      <c r="I321" s="1346"/>
      <c r="J321" s="1354"/>
      <c r="K321" s="1358">
        <v>0</v>
      </c>
      <c r="L321" s="1358">
        <v>0</v>
      </c>
      <c r="M321" s="1358">
        <v>0</v>
      </c>
      <c r="N321" s="1358">
        <v>0</v>
      </c>
      <c r="O321" s="1358">
        <v>0</v>
      </c>
      <c r="P321" s="1358">
        <v>0</v>
      </c>
      <c r="Q321" s="1358">
        <v>0</v>
      </c>
      <c r="R321" s="1358">
        <v>0</v>
      </c>
      <c r="S321" s="1358">
        <v>0</v>
      </c>
      <c r="T321" s="1358">
        <v>0</v>
      </c>
      <c r="U321" s="16"/>
      <c r="V321" s="648"/>
      <c r="W321" s="16"/>
      <c r="X321" s="687"/>
      <c r="Y321" s="16"/>
      <c r="Z321" s="16"/>
      <c r="AA321" s="16"/>
      <c r="AB321" s="16"/>
      <c r="AC321" s="16"/>
      <c r="AD321" s="16"/>
      <c r="AE321" s="16"/>
      <c r="AF321" s="16"/>
      <c r="AG321" s="16"/>
      <c r="AH321" s="16"/>
      <c r="AI321" s="16"/>
      <c r="AJ321" s="16"/>
      <c r="AK321" s="16"/>
    </row>
    <row r="322" spans="1:37" ht="11.65" customHeight="1" x14ac:dyDescent="0.2">
      <c r="A322" s="622"/>
      <c r="B322" s="1347" t="s">
        <v>869</v>
      </c>
      <c r="C322" s="255"/>
      <c r="D322" s="255" t="str">
        <f>D319</f>
        <v xml:space="preserve">% </v>
      </c>
      <c r="E322" s="1346"/>
      <c r="F322" s="1346"/>
      <c r="G322" s="1346"/>
      <c r="H322" s="1346"/>
      <c r="I322" s="1346"/>
      <c r="J322" s="1354"/>
      <c r="K322" s="1358">
        <v>0</v>
      </c>
      <c r="L322" s="1358">
        <v>0</v>
      </c>
      <c r="M322" s="1358">
        <v>-2.52E-2</v>
      </c>
      <c r="N322" s="1358">
        <v>0</v>
      </c>
      <c r="O322" s="1358">
        <v>0</v>
      </c>
      <c r="P322" s="1358">
        <v>0</v>
      </c>
      <c r="Q322" s="1358">
        <v>0</v>
      </c>
      <c r="R322" s="1358">
        <v>0</v>
      </c>
      <c r="S322" s="1358">
        <v>0</v>
      </c>
      <c r="T322" s="1358">
        <v>0</v>
      </c>
      <c r="U322" s="16"/>
      <c r="V322" s="648"/>
      <c r="W322" s="16"/>
      <c r="X322" s="687"/>
      <c r="Y322" s="16"/>
      <c r="Z322" s="16"/>
      <c r="AA322" s="16"/>
      <c r="AB322" s="16"/>
      <c r="AC322" s="16"/>
      <c r="AD322" s="16"/>
      <c r="AE322" s="16"/>
      <c r="AF322" s="16"/>
      <c r="AG322" s="16"/>
      <c r="AH322" s="16"/>
      <c r="AI322" s="16"/>
      <c r="AJ322" s="16"/>
      <c r="AK322" s="16"/>
    </row>
    <row r="323" spans="1:37" ht="11.65" customHeight="1" x14ac:dyDescent="0.2">
      <c r="A323" s="622"/>
      <c r="B323" s="1345" t="s">
        <v>871</v>
      </c>
      <c r="C323" s="1346"/>
      <c r="D323" s="1346"/>
      <c r="E323" s="1346"/>
      <c r="F323" s="1346"/>
      <c r="G323" s="1346"/>
      <c r="H323" s="1346"/>
      <c r="I323" s="1346"/>
      <c r="J323" s="1353"/>
      <c r="K323" s="1359"/>
      <c r="L323" s="1359"/>
      <c r="M323" s="1359"/>
      <c r="N323" s="1359"/>
      <c r="O323" s="1359"/>
      <c r="P323" s="1359"/>
      <c r="Q323" s="1359"/>
      <c r="R323" s="1359"/>
      <c r="S323" s="1359"/>
      <c r="T323" s="1359"/>
      <c r="U323" s="16"/>
      <c r="V323" s="647"/>
      <c r="W323" s="16"/>
      <c r="X323" s="687"/>
      <c r="Y323" s="16"/>
      <c r="Z323" s="16"/>
      <c r="AA323" s="16"/>
      <c r="AB323" s="16"/>
      <c r="AC323" s="16"/>
      <c r="AD323" s="16"/>
      <c r="AE323" s="16"/>
      <c r="AF323" s="16"/>
      <c r="AG323" s="16"/>
      <c r="AH323" s="16"/>
      <c r="AI323" s="16"/>
      <c r="AJ323" s="16"/>
      <c r="AK323" s="16"/>
    </row>
    <row r="324" spans="1:37" ht="11.65" customHeight="1" x14ac:dyDescent="0.2">
      <c r="A324" s="622"/>
      <c r="B324" s="1263" t="str">
        <f>$B$318</f>
        <v>Scenario 1: Proposed (with SV)</v>
      </c>
      <c r="C324" s="255"/>
      <c r="D324" s="255" t="str">
        <f>D$318</f>
        <v xml:space="preserve">% </v>
      </c>
      <c r="E324" s="1346"/>
      <c r="F324" s="1346"/>
      <c r="G324" s="1346"/>
      <c r="H324" s="1346"/>
      <c r="I324" s="1346"/>
      <c r="J324" s="1354"/>
      <c r="K324" s="1358">
        <v>0</v>
      </c>
      <c r="L324" s="1358">
        <v>0</v>
      </c>
      <c r="M324" s="1358">
        <v>0</v>
      </c>
      <c r="N324" s="1358">
        <v>0</v>
      </c>
      <c r="O324" s="1358">
        <v>0</v>
      </c>
      <c r="P324" s="1358">
        <v>0</v>
      </c>
      <c r="Q324" s="1358">
        <v>0</v>
      </c>
      <c r="R324" s="1358">
        <v>0</v>
      </c>
      <c r="S324" s="1358">
        <v>0</v>
      </c>
      <c r="T324" s="1358">
        <v>0</v>
      </c>
      <c r="U324" s="16"/>
      <c r="V324" s="648"/>
      <c r="W324" s="16"/>
      <c r="X324" s="687"/>
      <c r="Y324" s="16"/>
      <c r="Z324" s="16"/>
      <c r="AA324" s="16"/>
      <c r="AB324" s="16"/>
      <c r="AC324" s="16"/>
      <c r="AD324" s="16"/>
      <c r="AE324" s="16"/>
      <c r="AF324" s="16"/>
      <c r="AG324" s="16"/>
      <c r="AH324" s="16"/>
      <c r="AI324" s="16"/>
      <c r="AJ324" s="16"/>
      <c r="AK324" s="16"/>
    </row>
    <row r="325" spans="1:37" ht="11.65" customHeight="1" x14ac:dyDescent="0.2">
      <c r="A325" s="622"/>
      <c r="B325" s="1347" t="s">
        <v>869</v>
      </c>
      <c r="C325" s="255"/>
      <c r="D325" s="255" t="str">
        <f t="shared" ref="D325" si="79">D322</f>
        <v xml:space="preserve">% </v>
      </c>
      <c r="E325" s="1346"/>
      <c r="F325" s="1346"/>
      <c r="G325" s="1346"/>
      <c r="H325" s="1346"/>
      <c r="I325" s="1346"/>
      <c r="J325" s="1354"/>
      <c r="K325" s="1358">
        <v>0</v>
      </c>
      <c r="L325" s="1358">
        <v>0</v>
      </c>
      <c r="M325" s="1358">
        <v>0</v>
      </c>
      <c r="N325" s="1358">
        <v>0</v>
      </c>
      <c r="O325" s="1358">
        <v>0</v>
      </c>
      <c r="P325" s="1358">
        <v>0</v>
      </c>
      <c r="Q325" s="1358">
        <v>0</v>
      </c>
      <c r="R325" s="1358">
        <v>0</v>
      </c>
      <c r="S325" s="1358">
        <v>0</v>
      </c>
      <c r="T325" s="1358">
        <v>0</v>
      </c>
      <c r="U325" s="16"/>
      <c r="V325" s="648"/>
      <c r="W325" s="16"/>
      <c r="X325" s="687"/>
      <c r="Y325" s="16"/>
      <c r="Z325" s="16"/>
      <c r="AA325" s="16"/>
      <c r="AB325" s="16"/>
      <c r="AC325" s="16"/>
      <c r="AD325" s="16"/>
      <c r="AE325" s="16"/>
      <c r="AF325" s="16"/>
      <c r="AG325" s="16"/>
      <c r="AH325" s="16"/>
      <c r="AI325" s="16"/>
      <c r="AJ325" s="16"/>
      <c r="AK325" s="16"/>
    </row>
    <row r="326" spans="1:37" ht="11.65" customHeight="1" x14ac:dyDescent="0.2">
      <c r="A326" s="622"/>
      <c r="B326" s="1345" t="s">
        <v>872</v>
      </c>
      <c r="C326" s="1346"/>
      <c r="D326" s="1346"/>
      <c r="E326" s="1346"/>
      <c r="F326" s="1346"/>
      <c r="G326" s="1346"/>
      <c r="H326" s="1346"/>
      <c r="I326" s="1346"/>
      <c r="J326" s="1353"/>
      <c r="K326" s="1359"/>
      <c r="L326" s="1359"/>
      <c r="M326" s="1359"/>
      <c r="N326" s="1359"/>
      <c r="O326" s="1359"/>
      <c r="P326" s="1359"/>
      <c r="Q326" s="1359"/>
      <c r="R326" s="1359"/>
      <c r="S326" s="1359"/>
      <c r="T326" s="1359"/>
      <c r="U326" s="16"/>
      <c r="V326" s="647"/>
      <c r="W326" s="16"/>
      <c r="X326" s="687"/>
      <c r="Y326" s="16"/>
      <c r="Z326" s="16"/>
      <c r="AA326" s="16"/>
      <c r="AB326" s="16"/>
      <c r="AC326" s="16"/>
      <c r="AD326" s="16"/>
      <c r="AE326" s="16"/>
      <c r="AF326" s="16"/>
      <c r="AG326" s="16"/>
      <c r="AH326" s="16"/>
      <c r="AI326" s="16"/>
      <c r="AJ326" s="16"/>
      <c r="AK326" s="16"/>
    </row>
    <row r="327" spans="1:37" ht="11.65" customHeight="1" x14ac:dyDescent="0.2">
      <c r="A327" s="622"/>
      <c r="B327" s="1263" t="str">
        <f>$B$318</f>
        <v>Scenario 1: Proposed (with SV)</v>
      </c>
      <c r="C327" s="255"/>
      <c r="D327" s="255" t="str">
        <f>D$318</f>
        <v xml:space="preserve">% </v>
      </c>
      <c r="E327" s="1346"/>
      <c r="F327" s="1346"/>
      <c r="G327" s="1346"/>
      <c r="H327" s="1346"/>
      <c r="I327" s="1346"/>
      <c r="J327" s="1354"/>
      <c r="K327" s="1358">
        <v>3.5000000000000003E-2</v>
      </c>
      <c r="L327" s="1358">
        <v>0.03</v>
      </c>
      <c r="M327" s="1358">
        <v>0.03</v>
      </c>
      <c r="N327" s="1358">
        <v>0.03</v>
      </c>
      <c r="O327" s="1358">
        <v>0.03</v>
      </c>
      <c r="P327" s="1358">
        <v>0.03</v>
      </c>
      <c r="Q327" s="1358">
        <v>0.03</v>
      </c>
      <c r="R327" s="1358">
        <v>0.03</v>
      </c>
      <c r="S327" s="1358">
        <v>0.03</v>
      </c>
      <c r="T327" s="1358">
        <v>0.03</v>
      </c>
      <c r="U327" s="16"/>
      <c r="V327" s="648"/>
      <c r="W327" s="16"/>
      <c r="X327" s="687"/>
      <c r="Y327" s="16"/>
      <c r="Z327" s="16"/>
      <c r="AA327" s="16"/>
      <c r="AB327" s="16"/>
      <c r="AC327" s="16"/>
      <c r="AD327" s="16"/>
      <c r="AE327" s="16"/>
      <c r="AF327" s="16"/>
      <c r="AG327" s="16"/>
      <c r="AH327" s="16"/>
      <c r="AI327" s="16"/>
      <c r="AJ327" s="16"/>
      <c r="AK327" s="16"/>
    </row>
    <row r="328" spans="1:37" ht="11.65" customHeight="1" x14ac:dyDescent="0.2">
      <c r="A328" s="622"/>
      <c r="B328" s="1347" t="s">
        <v>869</v>
      </c>
      <c r="C328" s="255"/>
      <c r="D328" s="255" t="str">
        <f t="shared" ref="D328" si="80">D325</f>
        <v xml:space="preserve">% </v>
      </c>
      <c r="E328" s="1346"/>
      <c r="F328" s="1346"/>
      <c r="G328" s="1346"/>
      <c r="H328" s="1346"/>
      <c r="I328" s="1346"/>
      <c r="J328" s="1354"/>
      <c r="K328" s="1358">
        <v>3.5000000000000003E-2</v>
      </c>
      <c r="L328" s="1358">
        <v>0.03</v>
      </c>
      <c r="M328" s="1358">
        <v>0.03</v>
      </c>
      <c r="N328" s="1358">
        <v>0.03</v>
      </c>
      <c r="O328" s="1358">
        <v>0.03</v>
      </c>
      <c r="P328" s="1358">
        <v>0.03</v>
      </c>
      <c r="Q328" s="1358">
        <v>0.03</v>
      </c>
      <c r="R328" s="1358">
        <v>0.03</v>
      </c>
      <c r="S328" s="1358">
        <v>0.03</v>
      </c>
      <c r="T328" s="1358">
        <v>0.03</v>
      </c>
      <c r="U328" s="16"/>
      <c r="V328" s="648"/>
      <c r="W328" s="16"/>
      <c r="X328" s="687"/>
      <c r="Y328" s="16"/>
      <c r="Z328" s="16"/>
      <c r="AA328" s="16"/>
      <c r="AB328" s="16"/>
      <c r="AC328" s="16"/>
      <c r="AD328" s="16"/>
      <c r="AE328" s="16"/>
      <c r="AF328" s="16"/>
      <c r="AG328" s="16"/>
      <c r="AH328" s="16"/>
      <c r="AI328" s="16"/>
      <c r="AJ328" s="16"/>
      <c r="AK328" s="16"/>
    </row>
    <row r="329" spans="1:37" ht="11.65" customHeight="1" x14ac:dyDescent="0.2">
      <c r="A329" s="622"/>
      <c r="B329" s="1345" t="s">
        <v>873</v>
      </c>
      <c r="C329" s="1346"/>
      <c r="D329" s="1346"/>
      <c r="E329" s="1346"/>
      <c r="F329" s="1346"/>
      <c r="G329" s="1346"/>
      <c r="H329" s="1346"/>
      <c r="I329" s="1346"/>
      <c r="J329" s="1353"/>
      <c r="K329" s="1359"/>
      <c r="L329" s="1359"/>
      <c r="M329" s="1359"/>
      <c r="N329" s="1359"/>
      <c r="O329" s="1359"/>
      <c r="P329" s="1359"/>
      <c r="Q329" s="1359"/>
      <c r="R329" s="1359"/>
      <c r="S329" s="1359"/>
      <c r="T329" s="1359"/>
      <c r="U329" s="16"/>
      <c r="V329" s="647"/>
      <c r="W329" s="16"/>
      <c r="X329" s="687"/>
      <c r="Y329" s="16"/>
      <c r="Z329" s="16"/>
      <c r="AA329" s="16"/>
      <c r="AB329" s="16"/>
      <c r="AC329" s="16"/>
      <c r="AD329" s="16"/>
      <c r="AE329" s="16"/>
      <c r="AF329" s="16"/>
      <c r="AG329" s="16"/>
      <c r="AH329" s="16"/>
      <c r="AI329" s="16"/>
      <c r="AJ329" s="16"/>
      <c r="AK329" s="16"/>
    </row>
    <row r="330" spans="1:37" ht="11.65" customHeight="1" x14ac:dyDescent="0.2">
      <c r="A330" s="622"/>
      <c r="B330" s="1263" t="str">
        <f>$B$318</f>
        <v>Scenario 1: Proposed (with SV)</v>
      </c>
      <c r="C330" s="255"/>
      <c r="D330" s="255" t="str">
        <f>D$318</f>
        <v xml:space="preserve">% </v>
      </c>
      <c r="E330" s="1346"/>
      <c r="F330" s="1346"/>
      <c r="G330" s="1346"/>
      <c r="H330" s="1346"/>
      <c r="I330" s="1346"/>
      <c r="J330" s="1354"/>
      <c r="K330" s="1358">
        <f>1000000/K58</f>
        <v>7.3753335454686385E-3</v>
      </c>
      <c r="L330" s="1358">
        <v>0</v>
      </c>
      <c r="M330" s="1358">
        <v>0</v>
      </c>
      <c r="N330" s="1358">
        <v>0</v>
      </c>
      <c r="O330" s="1358">
        <v>0</v>
      </c>
      <c r="P330" s="1358">
        <v>0</v>
      </c>
      <c r="Q330" s="1358">
        <v>0</v>
      </c>
      <c r="R330" s="1358">
        <v>0</v>
      </c>
      <c r="S330" s="1358">
        <v>0</v>
      </c>
      <c r="T330" s="1358">
        <v>0</v>
      </c>
      <c r="U330" s="16"/>
      <c r="V330" s="648"/>
      <c r="W330" s="16"/>
      <c r="X330" s="687"/>
      <c r="Y330" s="16"/>
      <c r="Z330" s="16"/>
      <c r="AA330" s="16"/>
      <c r="AB330" s="16"/>
      <c r="AC330" s="16"/>
      <c r="AD330" s="16"/>
      <c r="AE330" s="16"/>
      <c r="AF330" s="16"/>
      <c r="AG330" s="16"/>
      <c r="AH330" s="16"/>
      <c r="AI330" s="16"/>
      <c r="AJ330" s="16"/>
      <c r="AK330" s="16"/>
    </row>
    <row r="331" spans="1:37" ht="11.65" customHeight="1" x14ac:dyDescent="0.2">
      <c r="A331" s="622"/>
      <c r="B331" s="1270" t="s">
        <v>869</v>
      </c>
      <c r="C331" s="1349"/>
      <c r="D331" s="1349" t="str">
        <f t="shared" ref="D331" si="81">D328</f>
        <v xml:space="preserve">% </v>
      </c>
      <c r="E331" s="1350"/>
      <c r="F331" s="1350"/>
      <c r="G331" s="1350"/>
      <c r="H331" s="1350"/>
      <c r="I331" s="1350"/>
      <c r="J331" s="1355"/>
      <c r="K331" s="1360">
        <f>1000000/K204</f>
        <v>7.4291418732495397E-3</v>
      </c>
      <c r="L331" s="1360">
        <f>1000000/L204</f>
        <v>7.3197785286880819E-3</v>
      </c>
      <c r="M331" s="1358">
        <v>0</v>
      </c>
      <c r="N331" s="1358">
        <v>0</v>
      </c>
      <c r="O331" s="1358">
        <v>0</v>
      </c>
      <c r="P331" s="1358">
        <v>0</v>
      </c>
      <c r="Q331" s="1358">
        <v>0</v>
      </c>
      <c r="R331" s="1358">
        <v>0</v>
      </c>
      <c r="S331" s="1358">
        <v>0</v>
      </c>
      <c r="T331" s="1358">
        <v>0</v>
      </c>
      <c r="U331" s="154"/>
      <c r="V331" s="1351"/>
      <c r="W331" s="154"/>
      <c r="X331" s="1314"/>
      <c r="Y331" s="16"/>
      <c r="Z331" s="16"/>
      <c r="AA331" s="16"/>
      <c r="AB331" s="16"/>
      <c r="AC331" s="16"/>
      <c r="AD331" s="16"/>
      <c r="AE331" s="16"/>
      <c r="AF331" s="16"/>
      <c r="AG331" s="16"/>
      <c r="AH331" s="16"/>
      <c r="AI331" s="16"/>
      <c r="AJ331" s="16"/>
      <c r="AK331" s="16"/>
    </row>
    <row r="332" spans="1:37" ht="12" customHeight="1" x14ac:dyDescent="0.2">
      <c r="A332" s="622"/>
      <c r="B332" s="1"/>
      <c r="C332" s="1"/>
      <c r="D332" s="1"/>
      <c r="E332" s="1"/>
      <c r="F332" s="1"/>
      <c r="G332" s="1"/>
      <c r="H332" s="1"/>
      <c r="I332" s="1"/>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row>
    <row r="333" spans="1:37" ht="12" customHeight="1" x14ac:dyDescent="0.25">
      <c r="A333" s="622"/>
      <c r="B333" s="156"/>
      <c r="C333" s="1"/>
      <c r="D333" s="1"/>
      <c r="E333" s="1"/>
      <c r="F333" s="1"/>
      <c r="G333" s="1"/>
      <c r="H333" s="1"/>
      <c r="I333" s="1"/>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row>
    <row r="334" spans="1:37" customFormat="1" ht="19.899999999999999" customHeight="1" x14ac:dyDescent="0.2">
      <c r="A334" s="639" t="s">
        <v>874</v>
      </c>
      <c r="B334" s="461" t="str">
        <f>"Table "&amp;$A$1&amp;A334&amp;": Income Statement - General fund - Hybrid case scenario ($ nominal)"</f>
        <v>Table 10.4: Income Statement - General fund - Hybrid case scenario ($ nominal)</v>
      </c>
      <c r="C334" s="2"/>
      <c r="D334" s="2"/>
      <c r="E334" s="2"/>
      <c r="F334" s="2"/>
      <c r="G334" s="2"/>
      <c r="H334" s="2"/>
      <c r="I334" s="2"/>
      <c r="J334" s="637"/>
      <c r="K334" s="38" t="str">
        <f>IF('WS1-Application'!$D$33="Minimum rate increase","[N/A, This table does not apply]",".")</f>
        <v>.</v>
      </c>
      <c r="L334" s="633"/>
      <c r="M334" s="633"/>
      <c r="N334" s="633"/>
      <c r="O334" s="633"/>
      <c r="P334" s="633"/>
      <c r="Q334" s="633"/>
      <c r="R334" s="633"/>
      <c r="S334" s="633"/>
      <c r="T334" s="633"/>
      <c r="U334" s="633"/>
      <c r="V334" s="633"/>
      <c r="W334" s="633"/>
      <c r="X334" s="633"/>
      <c r="Y334" s="3"/>
      <c r="Z334" s="16"/>
      <c r="AA334" s="3"/>
      <c r="AB334" s="3"/>
      <c r="AC334" s="3"/>
      <c r="AD334" s="3"/>
      <c r="AE334" s="3"/>
      <c r="AF334" s="3"/>
      <c r="AG334" s="3"/>
      <c r="AH334" s="3"/>
      <c r="AI334" s="3"/>
      <c r="AJ334" s="3"/>
      <c r="AK334" s="3"/>
    </row>
    <row r="335" spans="1:37" ht="11.65" customHeight="1" x14ac:dyDescent="0.2">
      <c r="A335" s="622"/>
      <c r="B335" s="674"/>
      <c r="C335" s="666"/>
      <c r="D335" s="666"/>
      <c r="E335" s="666"/>
      <c r="F335" s="666"/>
      <c r="G335" s="666"/>
      <c r="H335" s="666"/>
      <c r="I335" s="666"/>
      <c r="J335" s="1167" t="str">
        <f t="shared" ref="J335:V335" si="82">J$22</f>
        <v>Year 0</v>
      </c>
      <c r="K335" s="1167" t="str">
        <f t="shared" si="82"/>
        <v>Year 1</v>
      </c>
      <c r="L335" s="1167" t="str">
        <f t="shared" si="82"/>
        <v>Year 2</v>
      </c>
      <c r="M335" s="1167" t="str">
        <f t="shared" si="82"/>
        <v>Year 3</v>
      </c>
      <c r="N335" s="1167" t="str">
        <f t="shared" si="82"/>
        <v>Year 4</v>
      </c>
      <c r="O335" s="1167" t="str">
        <f t="shared" si="82"/>
        <v>Year 5</v>
      </c>
      <c r="P335" s="1167" t="str">
        <f t="shared" si="82"/>
        <v>Year 6</v>
      </c>
      <c r="Q335" s="1167" t="str">
        <f t="shared" si="82"/>
        <v>Year 7</v>
      </c>
      <c r="R335" s="1167" t="str">
        <f t="shared" si="82"/>
        <v>Year 8</v>
      </c>
      <c r="S335" s="1167" t="str">
        <f t="shared" si="82"/>
        <v>Year 9</v>
      </c>
      <c r="T335" s="1167" t="str">
        <f t="shared" si="82"/>
        <v>Year 10</v>
      </c>
      <c r="U335" s="1329" t="str">
        <f t="shared" si="82"/>
        <v>Sum of 10 years</v>
      </c>
      <c r="V335" s="1330">
        <f t="shared" si="82"/>
        <v>0</v>
      </c>
      <c r="W335" s="1332" t="str">
        <f>W$22</f>
        <v xml:space="preserve">  Change over 10 years</v>
      </c>
      <c r="X335" s="1255"/>
      <c r="Y335" s="16"/>
      <c r="Z335" s="16"/>
      <c r="AA335" s="3"/>
      <c r="AB335" s="16"/>
      <c r="AC335" s="16"/>
      <c r="AD335" s="16"/>
      <c r="AE335" s="16"/>
      <c r="AF335" s="16"/>
      <c r="AG335" s="16"/>
      <c r="AH335" s="16"/>
      <c r="AI335" s="16"/>
      <c r="AJ335" s="16"/>
      <c r="AK335" s="16"/>
    </row>
    <row r="336" spans="1:37" ht="11.65" customHeight="1" x14ac:dyDescent="0.2">
      <c r="A336" s="622"/>
      <c r="B336" s="1274"/>
      <c r="C336" s="606"/>
      <c r="D336" s="580" t="s">
        <v>641</v>
      </c>
      <c r="E336" s="606"/>
      <c r="F336" s="606"/>
      <c r="G336" s="606"/>
      <c r="H336" s="606"/>
      <c r="I336" s="606"/>
      <c r="J336" s="1278" t="str">
        <f t="shared" ref="J336:T336" si="83">J$23</f>
        <v>2023-24</v>
      </c>
      <c r="K336" s="1278" t="str">
        <f t="shared" si="83"/>
        <v>2024-25</v>
      </c>
      <c r="L336" s="1278" t="str">
        <f t="shared" si="83"/>
        <v>2025-26</v>
      </c>
      <c r="M336" s="1278" t="str">
        <f t="shared" si="83"/>
        <v>2026-27</v>
      </c>
      <c r="N336" s="1278" t="str">
        <f t="shared" si="83"/>
        <v>2027-28</v>
      </c>
      <c r="O336" s="1278" t="str">
        <f t="shared" si="83"/>
        <v>2028-29</v>
      </c>
      <c r="P336" s="1278" t="str">
        <f t="shared" si="83"/>
        <v>2029-30</v>
      </c>
      <c r="Q336" s="1278" t="str">
        <f t="shared" si="83"/>
        <v>2030-31</v>
      </c>
      <c r="R336" s="1278" t="str">
        <f t="shared" si="83"/>
        <v>2031-32</v>
      </c>
      <c r="S336" s="1278" t="str">
        <f t="shared" si="83"/>
        <v>2032-33</v>
      </c>
      <c r="T336" s="1278" t="str">
        <f t="shared" si="83"/>
        <v>2033-34</v>
      </c>
      <c r="U336" s="775"/>
      <c r="V336" s="1331">
        <f>V$23</f>
        <v>0</v>
      </c>
      <c r="W336" s="1333" t="str">
        <f>W$23</f>
        <v>$</v>
      </c>
      <c r="X336" s="1328" t="str">
        <f>X$23</f>
        <v>%</v>
      </c>
      <c r="Y336" s="16"/>
      <c r="Z336" s="16"/>
      <c r="AA336" s="16"/>
      <c r="AB336" s="16"/>
      <c r="AC336" s="16"/>
      <c r="AD336" s="16"/>
      <c r="AE336" s="16"/>
      <c r="AF336" s="16"/>
      <c r="AG336" s="16"/>
      <c r="AH336" s="16"/>
      <c r="AI336" s="16"/>
      <c r="AJ336" s="16"/>
      <c r="AK336" s="16"/>
    </row>
    <row r="337" spans="1:53" customFormat="1" ht="11.65" customHeight="1" outlineLevel="1" x14ac:dyDescent="0.2">
      <c r="A337" s="622"/>
      <c r="B337" s="1324" t="str">
        <f>B$24</f>
        <v>Income from continuing operations</v>
      </c>
      <c r="C337" s="265"/>
      <c r="D337" s="265"/>
      <c r="E337" s="265"/>
      <c r="F337" s="265"/>
      <c r="G337" s="265"/>
      <c r="H337" s="265"/>
      <c r="I337" s="265"/>
      <c r="J337" s="1288"/>
      <c r="K337" s="1293"/>
      <c r="L337" s="1289"/>
      <c r="M337" s="1290"/>
      <c r="N337" s="1289"/>
      <c r="O337" s="1289"/>
      <c r="P337" s="1289"/>
      <c r="Q337" s="1289"/>
      <c r="R337" s="1289"/>
      <c r="S337" s="1289"/>
      <c r="T337" s="1289"/>
      <c r="U337" s="1289"/>
      <c r="V337" s="18"/>
      <c r="W337" s="1301"/>
      <c r="X337" s="1166"/>
      <c r="Y337" s="3"/>
      <c r="Z337" s="16"/>
      <c r="AA337" s="3"/>
      <c r="AB337" s="3"/>
      <c r="AC337" s="3"/>
      <c r="AD337" s="3"/>
      <c r="AE337" s="3"/>
      <c r="AF337" s="3"/>
      <c r="AG337" s="3"/>
      <c r="AH337" s="3"/>
      <c r="AI337" s="3"/>
      <c r="AJ337" s="3"/>
      <c r="AK337" s="3"/>
    </row>
    <row r="338" spans="1:53" ht="11.65" customHeight="1" outlineLevel="1" x14ac:dyDescent="0.2">
      <c r="A338" s="622"/>
      <c r="B338" s="1223" t="str">
        <f>B$25</f>
        <v>Revenue:</v>
      </c>
      <c r="C338" s="1"/>
      <c r="D338" s="1"/>
      <c r="E338" s="1"/>
      <c r="F338" s="1"/>
      <c r="G338" s="1"/>
      <c r="H338" s="1"/>
      <c r="I338" s="1"/>
      <c r="J338" s="1197"/>
      <c r="K338" s="1197"/>
      <c r="L338" s="1197"/>
      <c r="M338" s="1283"/>
      <c r="N338" s="1197"/>
      <c r="O338" s="1197"/>
      <c r="P338" s="1197"/>
      <c r="Q338" s="1197"/>
      <c r="R338" s="1197"/>
      <c r="S338" s="1197"/>
      <c r="T338" s="1197"/>
      <c r="U338" s="1197"/>
      <c r="V338" s="151"/>
      <c r="W338" s="1298"/>
      <c r="X338" s="1449"/>
      <c r="Y338" s="3"/>
      <c r="Z338" s="16"/>
      <c r="AA338" s="16"/>
      <c r="AB338" s="16"/>
      <c r="AC338" s="16"/>
      <c r="AD338" s="16"/>
      <c r="AE338" s="16"/>
      <c r="AF338" s="16"/>
      <c r="AG338" s="16"/>
      <c r="AH338" s="16"/>
      <c r="AI338" s="16"/>
      <c r="AJ338" s="16"/>
      <c r="AK338" s="16"/>
    </row>
    <row r="339" spans="1:53" ht="11.65" customHeight="1" outlineLevel="1" x14ac:dyDescent="0.2">
      <c r="A339" s="622"/>
      <c r="B339" s="1263" t="str">
        <f>B$26</f>
        <v xml:space="preserve">Rates  </v>
      </c>
      <c r="C339" s="1"/>
      <c r="D339" s="491" t="s">
        <v>116</v>
      </c>
      <c r="E339" s="1"/>
      <c r="F339" s="1"/>
      <c r="G339" s="1"/>
      <c r="I339" s="1"/>
      <c r="J339" s="1285">
        <f>IF('WS1-Application'!$D$33="Minimum rate increase",".",J172)</f>
        <v>54352004</v>
      </c>
      <c r="K339" s="1285">
        <f>IF('WS1-Application'!$D$33="Minimum rate increase",".",K172)</f>
        <v>57069604.200000003</v>
      </c>
      <c r="L339" s="1285">
        <f>IF('WS1-Application'!$D$33="Minimum rate increase",".",L172)</f>
        <v>58781692.326000005</v>
      </c>
      <c r="M339" s="1199">
        <f>IF('WS1-Application'!$D$33="Minimum rate increase",".",M172)</f>
        <v>60545143.095780008</v>
      </c>
      <c r="N339" s="1285">
        <f>IF('WS1-Application'!$D$33="Minimum rate increase",".",N172)</f>
        <v>62361497.382019952</v>
      </c>
      <c r="O339" s="1285">
        <f>IF('WS1-Application'!$D$33="Minimum rate increase",".",O172)</f>
        <v>64232342.307442188</v>
      </c>
      <c r="P339" s="1285">
        <f>IF('WS1-Application'!$D$33="Minimum rate increase",".",P172)</f>
        <v>66159312.57150609</v>
      </c>
      <c r="Q339" s="1285">
        <f>IF('WS1-Application'!$D$33="Minimum rate increase",".",Q172)</f>
        <v>68144091.952152267</v>
      </c>
      <c r="R339" s="1285">
        <f>IF('WS1-Application'!$D$33="Minimum rate increase",".",R172)</f>
        <v>70188414.706202388</v>
      </c>
      <c r="S339" s="1285">
        <f>IF('WS1-Application'!$D$33="Minimum rate increase",".",S172)</f>
        <v>72294067.144808769</v>
      </c>
      <c r="T339" s="1285">
        <f>IF('WS1-Application'!$D$33="Minimum rate increase",".",T172)</f>
        <v>74462889.159153029</v>
      </c>
      <c r="U339" s="1285">
        <f>IF('WS1-Application'!$D$33="minimum rate increase",".",SUM(K339:T339))</f>
        <v>654239054.84506464</v>
      </c>
      <c r="V339" s="151"/>
      <c r="W339" s="1299">
        <f t="shared" ref="W339:W346" si="84">IFERROR(T339-J339,".")</f>
        <v>20110885.159153029</v>
      </c>
      <c r="X339" s="1450">
        <f>IFERROR(IF(J339=0,0,(W339/J339)),"na")</f>
        <v>0.37001184278601812</v>
      </c>
      <c r="Y339" s="3"/>
      <c r="Z339" s="16"/>
      <c r="AA339" s="16"/>
      <c r="AB339" s="16"/>
      <c r="AC339" s="16"/>
      <c r="AD339" s="16"/>
      <c r="AE339" s="16"/>
      <c r="AF339" s="16"/>
      <c r="AG339" s="16"/>
      <c r="AH339" s="16"/>
      <c r="AI339" s="16"/>
      <c r="AJ339" s="16"/>
      <c r="AK339" s="16"/>
      <c r="AL339" s="16"/>
      <c r="AM339" s="16"/>
      <c r="AN339" s="16"/>
      <c r="AO339" s="16"/>
      <c r="AP339" s="16"/>
      <c r="AQ339" s="638"/>
      <c r="AR339" s="638"/>
      <c r="AS339" s="638"/>
      <c r="AT339" s="638"/>
      <c r="AU339" s="638"/>
      <c r="AV339" s="638"/>
      <c r="AW339" s="638"/>
      <c r="AX339" s="638"/>
      <c r="AY339" s="638"/>
      <c r="AZ339" s="638"/>
      <c r="BA339" s="638"/>
    </row>
    <row r="340" spans="1:53" ht="11.65" customHeight="1" outlineLevel="1" x14ac:dyDescent="0.2">
      <c r="A340" s="622"/>
      <c r="B340" s="721" t="str">
        <f>B$27</f>
        <v>Annual Charges</v>
      </c>
      <c r="C340" s="109"/>
      <c r="D340" s="491" t="s">
        <v>116</v>
      </c>
      <c r="E340" s="109"/>
      <c r="F340" s="109"/>
      <c r="G340" s="109"/>
      <c r="H340" s="109"/>
      <c r="I340" s="109"/>
      <c r="J340" s="1285">
        <f>IF('WS1-Application'!$D$33="Minimum rate increase",".",J173)</f>
        <v>18948996</v>
      </c>
      <c r="K340" s="1285">
        <f>IF('WS1-Application'!$D$33="Minimum rate increase",".",K173)</f>
        <v>19580390.799999997</v>
      </c>
      <c r="L340" s="1285">
        <f>IF('WS1-Application'!$D$33="Minimum rate increase",".",L173)</f>
        <v>20146802.523999989</v>
      </c>
      <c r="M340" s="1199">
        <f>IF('WS1-Application'!$D$33="Minimum rate increase",".",M173)</f>
        <v>20730206.59421999</v>
      </c>
      <c r="N340" s="1285">
        <f>IF('WS1-Application'!$D$33="Minimum rate increase",".",N173)</f>
        <v>21331112.79798004</v>
      </c>
      <c r="O340" s="1285">
        <f>IF('WS1-Application'!$D$33="Minimum rate increase",".",O173)</f>
        <v>23433418.332557812</v>
      </c>
      <c r="P340" s="1285">
        <f>IF('WS1-Application'!$D$33="Minimum rate increase",".",P173)</f>
        <v>24115420.898493908</v>
      </c>
      <c r="Q340" s="1285">
        <f>IF('WS1-Application'!$D$33="Minimum rate increase",".",Q173)</f>
        <v>24817883.527847722</v>
      </c>
      <c r="R340" s="1285">
        <f>IF('WS1-Application'!$D$33="Minimum rate increase",".",R173)</f>
        <v>25541420.043797612</v>
      </c>
      <c r="S340" s="1285">
        <f>IF('WS1-Application'!$D$33="Minimum rate increase",".",S173)</f>
        <v>26286662.665191233</v>
      </c>
      <c r="T340" s="1285">
        <f>IF('WS1-Application'!$D$33="Minimum rate increase",".",T173)</f>
        <v>27075262.545146972</v>
      </c>
      <c r="U340" s="1285">
        <f>IF('WS1-Application'!$D$33="minimum rate increase",".",SUM(K340:T340))</f>
        <v>233058580.72923526</v>
      </c>
      <c r="V340" s="112"/>
      <c r="W340" s="1299">
        <f t="shared" si="84"/>
        <v>8126266.5451469719</v>
      </c>
      <c r="X340" s="1450">
        <f t="shared" ref="X340:X356" si="85">IFERROR(IF(J340=0,0,(W340/J340)),"na")</f>
        <v>0.42884945171485456</v>
      </c>
      <c r="Y340" s="3"/>
      <c r="Z340" s="16"/>
      <c r="AA340" s="16"/>
      <c r="AB340" s="16"/>
      <c r="AC340" s="16"/>
      <c r="AD340" s="16"/>
      <c r="AE340" s="16"/>
      <c r="AF340" s="16"/>
      <c r="AG340" s="16"/>
      <c r="AH340" s="16"/>
      <c r="AI340" s="16"/>
      <c r="AJ340" s="16"/>
      <c r="AK340" s="16"/>
      <c r="AL340" s="16"/>
      <c r="AM340" s="16"/>
      <c r="AN340" s="16"/>
      <c r="AO340" s="16"/>
      <c r="AP340" s="16"/>
      <c r="AQ340" s="638"/>
      <c r="AR340" s="638"/>
      <c r="AS340" s="638"/>
      <c r="AT340" s="638"/>
      <c r="AU340" s="638"/>
      <c r="AV340" s="638"/>
      <c r="AW340" s="638"/>
      <c r="AX340" s="638"/>
      <c r="AY340" s="638"/>
      <c r="AZ340" s="638"/>
      <c r="BA340" s="638"/>
    </row>
    <row r="341" spans="1:53" ht="11.65" customHeight="1" outlineLevel="1" x14ac:dyDescent="0.2">
      <c r="A341" s="622"/>
      <c r="B341" s="721" t="str">
        <f>B$28</f>
        <v>User Charges &amp; Fees</v>
      </c>
      <c r="C341" s="109"/>
      <c r="D341" s="491" t="s">
        <v>116</v>
      </c>
      <c r="E341" s="109"/>
      <c r="F341" s="109"/>
      <c r="G341" s="109"/>
      <c r="H341" s="109"/>
      <c r="I341" s="109"/>
      <c r="J341" s="1285">
        <f>IF('WS1-Application'!$D$33="Minimum rate increase",".",J174)</f>
        <v>15498732.93</v>
      </c>
      <c r="K341" s="1285">
        <f>IF('WS1-Application'!$D$33="Minimum rate increase",".",K174)</f>
        <v>20280739.66</v>
      </c>
      <c r="L341" s="1285">
        <f>IF('WS1-Application'!$D$33="Minimum rate increase",".",L174)</f>
        <v>21013446.369999997</v>
      </c>
      <c r="M341" s="1199">
        <f>IF('WS1-Application'!$D$33="Minimum rate increase",".",M174)</f>
        <v>21663508.25</v>
      </c>
      <c r="N341" s="1285">
        <f>IF('WS1-Application'!$D$33="Minimum rate increase",".",N174)</f>
        <v>22324973.919999998</v>
      </c>
      <c r="O341" s="1285">
        <f>IF('WS1-Application'!$D$33="Minimum rate increase",".",O174)</f>
        <v>23006697.029999997</v>
      </c>
      <c r="P341" s="1285">
        <f>IF('WS1-Application'!$D$33="Minimum rate increase",".",P174)</f>
        <v>23709297.32</v>
      </c>
      <c r="Q341" s="1285">
        <f>IF('WS1-Application'!$D$33="Minimum rate increase",".",Q174)</f>
        <v>24433419.890000004</v>
      </c>
      <c r="R341" s="1285">
        <f>IF('WS1-Application'!$D$33="Minimum rate increase",".",R174)</f>
        <v>25179722.690000005</v>
      </c>
      <c r="S341" s="1285">
        <f>IF('WS1-Application'!$D$33="Minimum rate increase",".",S174)</f>
        <v>25948888.940000001</v>
      </c>
      <c r="T341" s="1285">
        <f>IF('WS1-Application'!$D$33="Minimum rate increase",".",T174)</f>
        <v>26727355.608200002</v>
      </c>
      <c r="U341" s="1285">
        <f>IF('WS1-Application'!$D$33="minimum rate increase",".",SUM(K341:T341))</f>
        <v>234288049.67820004</v>
      </c>
      <c r="V341" s="112"/>
      <c r="W341" s="1299">
        <f t="shared" si="84"/>
        <v>11228622.678200003</v>
      </c>
      <c r="X341" s="1450">
        <f t="shared" si="85"/>
        <v>0.72448649376139695</v>
      </c>
      <c r="Y341" s="3"/>
      <c r="Z341" s="16"/>
      <c r="AA341" s="16"/>
      <c r="AB341" s="16"/>
      <c r="AC341" s="16"/>
      <c r="AD341" s="16"/>
      <c r="AE341" s="16"/>
      <c r="AF341" s="16"/>
      <c r="AG341" s="16"/>
      <c r="AH341" s="16"/>
      <c r="AI341" s="16"/>
      <c r="AJ341" s="16"/>
      <c r="AK341" s="16"/>
      <c r="AL341" s="16"/>
      <c r="AM341" s="16"/>
      <c r="AN341" s="16"/>
      <c r="AO341" s="16"/>
      <c r="AP341" s="16"/>
      <c r="AQ341" s="638"/>
      <c r="AR341" s="638"/>
      <c r="AS341" s="638"/>
      <c r="AT341" s="638"/>
      <c r="AU341" s="638"/>
      <c r="AV341" s="638"/>
      <c r="AW341" s="638"/>
      <c r="AX341" s="638"/>
      <c r="AY341" s="638"/>
      <c r="AZ341" s="638"/>
      <c r="BA341" s="638"/>
    </row>
    <row r="342" spans="1:53" ht="11.65" customHeight="1" outlineLevel="1" x14ac:dyDescent="0.2">
      <c r="A342" s="622"/>
      <c r="B342" s="721" t="str">
        <f>B$29</f>
        <v>Interest &amp; Investment Revenue</v>
      </c>
      <c r="C342" s="109"/>
      <c r="D342" s="491" t="s">
        <v>116</v>
      </c>
      <c r="E342" s="109"/>
      <c r="F342" s="109"/>
      <c r="G342" s="109"/>
      <c r="H342" s="109"/>
      <c r="I342" s="109"/>
      <c r="J342" s="1285">
        <f>IF('WS1-Application'!$D$33="Minimum rate increase",".",J175)</f>
        <v>7320629</v>
      </c>
      <c r="K342" s="1285">
        <f>IF('WS1-Application'!$D$33="Minimum rate increase",".",K175)</f>
        <v>6512061.0100000016</v>
      </c>
      <c r="L342" s="1285">
        <f>IF('WS1-Application'!$D$33="Minimum rate increase",".",L175)</f>
        <v>6194506.7700000005</v>
      </c>
      <c r="M342" s="1199">
        <f>IF('WS1-Application'!$D$33="Minimum rate increase",".",M175)</f>
        <v>6161510.1599999983</v>
      </c>
      <c r="N342" s="1285">
        <f>IF('WS1-Application'!$D$33="Minimum rate increase",".",N175)</f>
        <v>5147071.63</v>
      </c>
      <c r="O342" s="1285">
        <f>IF('WS1-Application'!$D$33="Minimum rate increase",".",O175)</f>
        <v>5005537.1999999993</v>
      </c>
      <c r="P342" s="1285">
        <f>IF('WS1-Application'!$D$33="Minimum rate increase",".",P175)</f>
        <v>4993992.54</v>
      </c>
      <c r="Q342" s="1285">
        <f>IF('WS1-Application'!$D$33="Minimum rate increase",".",Q175)</f>
        <v>5139493.5399999991</v>
      </c>
      <c r="R342" s="1285">
        <f>IF('WS1-Application'!$D$33="Minimum rate increase",".",R175)</f>
        <v>5301818.05</v>
      </c>
      <c r="S342" s="1285">
        <f>IF('WS1-Application'!$D$33="Minimum rate increase",".",S175)</f>
        <v>5492664.8300000001</v>
      </c>
      <c r="T342" s="1285">
        <f>IF('WS1-Application'!$D$33="Minimum rate increase",".",T175)</f>
        <v>5602518.1266000001</v>
      </c>
      <c r="U342" s="1285">
        <f>IF('WS1-Application'!$D$33="minimum rate increase",".",SUM(K342:T342))</f>
        <v>55551173.856599987</v>
      </c>
      <c r="V342" s="112"/>
      <c r="W342" s="1299">
        <f t="shared" si="84"/>
        <v>-1718110.8733999999</v>
      </c>
      <c r="X342" s="1450">
        <f t="shared" si="85"/>
        <v>-0.23469443314228872</v>
      </c>
      <c r="Y342" s="3"/>
      <c r="Z342" s="16"/>
      <c r="AA342" s="16"/>
      <c r="AB342" s="16"/>
      <c r="AC342" s="16"/>
      <c r="AD342" s="16"/>
      <c r="AE342" s="16"/>
      <c r="AF342" s="16"/>
      <c r="AG342" s="16"/>
      <c r="AH342" s="16"/>
      <c r="AI342" s="16"/>
      <c r="AJ342" s="16"/>
      <c r="AK342" s="16"/>
      <c r="AL342" s="16"/>
      <c r="AM342" s="16"/>
      <c r="AN342" s="16"/>
      <c r="AO342" s="16"/>
      <c r="AP342" s="16"/>
      <c r="AQ342" s="638"/>
      <c r="AR342" s="638"/>
      <c r="AS342" s="638"/>
      <c r="AT342" s="638"/>
      <c r="AU342" s="638"/>
      <c r="AV342" s="638"/>
      <c r="AW342" s="638"/>
      <c r="AX342" s="638"/>
      <c r="AY342" s="638"/>
      <c r="AZ342" s="638"/>
      <c r="BA342" s="638"/>
    </row>
    <row r="343" spans="1:53" ht="11.65" customHeight="1" outlineLevel="1" x14ac:dyDescent="0.2">
      <c r="A343" s="622"/>
      <c r="B343" s="721" t="str">
        <f>B$30</f>
        <v>Other Revenues</v>
      </c>
      <c r="C343" s="109"/>
      <c r="D343" s="491" t="s">
        <v>116</v>
      </c>
      <c r="E343" s="109"/>
      <c r="F343" s="109"/>
      <c r="G343" s="109"/>
      <c r="H343" s="109"/>
      <c r="I343" s="109"/>
      <c r="J343" s="1285">
        <f>IF('WS1-Application'!$D$33="Minimum rate increase",".",J176)</f>
        <v>8508108.0600000005</v>
      </c>
      <c r="K343" s="1285">
        <f>IF('WS1-Application'!$D$33="Minimum rate increase",".",K176)</f>
        <v>8657820.5999999996</v>
      </c>
      <c r="L343" s="1285">
        <f>IF('WS1-Application'!$D$33="Minimum rate increase",".",L176)</f>
        <v>8891902.9299999997</v>
      </c>
      <c r="M343" s="1199">
        <f>IF('WS1-Application'!$D$33="Minimum rate increase",".",M176)</f>
        <v>9132916.7100000009</v>
      </c>
      <c r="N343" s="1285">
        <f>IF('WS1-Application'!$D$33="Minimum rate increase",".",N176)</f>
        <v>9381066.3699999992</v>
      </c>
      <c r="O343" s="1285">
        <f>IF('WS1-Application'!$D$33="Minimum rate increase",".",O176)</f>
        <v>9636565.370000001</v>
      </c>
      <c r="P343" s="1285">
        <f>IF('WS1-Application'!$D$33="Minimum rate increase",".",P176)</f>
        <v>9899631.4399999995</v>
      </c>
      <c r="Q343" s="1285">
        <f>IF('WS1-Application'!$D$33="Minimum rate increase",".",Q176)</f>
        <v>10170490.699999999</v>
      </c>
      <c r="R343" s="1285">
        <f>IF('WS1-Application'!$D$33="Minimum rate increase",".",R176)</f>
        <v>10449372.93</v>
      </c>
      <c r="S343" s="1285">
        <f>IF('WS1-Application'!$D$33="Minimum rate increase",".",S176)</f>
        <v>10741802.810000001</v>
      </c>
      <c r="T343" s="1285">
        <f>IF('WS1-Application'!$D$33="Minimum rate increase",".",T176)</f>
        <v>11064056.894300001</v>
      </c>
      <c r="U343" s="1285">
        <f>IF('WS1-Application'!$D$33="minimum rate increase",".",SUM(K343:T343))</f>
        <v>98025626.754300013</v>
      </c>
      <c r="V343" s="112"/>
      <c r="W343" s="1299">
        <f t="shared" si="84"/>
        <v>2555948.8343000002</v>
      </c>
      <c r="X343" s="1450">
        <f t="shared" si="85"/>
        <v>0.30041330179109171</v>
      </c>
      <c r="Y343" s="3"/>
      <c r="Z343" s="16"/>
      <c r="AA343" s="16"/>
      <c r="AB343" s="16"/>
      <c r="AC343" s="16"/>
      <c r="AD343" s="16"/>
      <c r="AE343" s="16"/>
      <c r="AF343" s="16"/>
      <c r="AG343" s="16"/>
      <c r="AH343" s="16"/>
      <c r="AI343" s="16"/>
      <c r="AJ343" s="16"/>
      <c r="AK343" s="16"/>
      <c r="AL343" s="16"/>
      <c r="AM343" s="16"/>
      <c r="AN343" s="16"/>
      <c r="AO343" s="16"/>
      <c r="AP343" s="16"/>
      <c r="AQ343" s="638"/>
      <c r="AR343" s="638"/>
      <c r="AS343" s="638"/>
      <c r="AT343" s="638"/>
      <c r="AU343" s="638"/>
      <c r="AV343" s="638"/>
      <c r="AW343" s="638"/>
      <c r="AX343" s="638"/>
      <c r="AY343" s="638"/>
      <c r="AZ343" s="638"/>
      <c r="BA343" s="638"/>
    </row>
    <row r="344" spans="1:53" ht="11.65" customHeight="1" outlineLevel="1" x14ac:dyDescent="0.2">
      <c r="A344" s="622"/>
      <c r="B344" s="721" t="str">
        <f>B$31</f>
        <v>Grants &amp; Contributions Op Purposes</v>
      </c>
      <c r="C344" s="109"/>
      <c r="D344" s="491" t="s">
        <v>116</v>
      </c>
      <c r="E344" s="109"/>
      <c r="F344" s="109"/>
      <c r="G344" s="109"/>
      <c r="H344" s="109"/>
      <c r="I344" s="109"/>
      <c r="J344" s="1285">
        <f>IF('WS1-Application'!$D$33="Minimum rate increase",".",J177)</f>
        <v>9741793.5899999999</v>
      </c>
      <c r="K344" s="1285">
        <f>IF('WS1-Application'!$D$33="Minimum rate increase",".",K177)</f>
        <v>5383007.9199999999</v>
      </c>
      <c r="L344" s="1285">
        <f>IF('WS1-Application'!$D$33="Minimum rate increase",".",L177)</f>
        <v>5535587.8500000006</v>
      </c>
      <c r="M344" s="1199">
        <f>IF('WS1-Application'!$D$33="Minimum rate increase",".",M177)</f>
        <v>5692567.5699999994</v>
      </c>
      <c r="N344" s="1285">
        <f>IF('WS1-Application'!$D$33="Minimum rate increase",".",N177)</f>
        <v>5855432.3700000001</v>
      </c>
      <c r="O344" s="1285">
        <f>IF('WS1-Application'!$D$33="Minimum rate increase",".",O177)</f>
        <v>6023025.2000000002</v>
      </c>
      <c r="P344" s="1285">
        <f>IF('WS1-Application'!$D$33="Minimum rate increase",".",P177)</f>
        <v>6194042.7200000007</v>
      </c>
      <c r="Q344" s="1285">
        <f>IF('WS1-Application'!$D$33="Minimum rate increase",".",Q177)</f>
        <v>6369998.4400000013</v>
      </c>
      <c r="R344" s="1285">
        <f>IF('WS1-Application'!$D$33="Minimum rate increase",".",R177)</f>
        <v>6551034.8399999999</v>
      </c>
      <c r="S344" s="1285">
        <f>IF('WS1-Application'!$D$33="Minimum rate increase",".",S177)</f>
        <v>6716772.5700000003</v>
      </c>
      <c r="T344" s="1285">
        <f>IF('WS1-Application'!$D$33="Minimum rate increase",".",T177)</f>
        <v>6918275.7471000003</v>
      </c>
      <c r="U344" s="1285">
        <f>IF('WS1-Application'!$D$33="minimum rate increase",".",SUM(K344:T344))</f>
        <v>61239745.227100015</v>
      </c>
      <c r="V344" s="112"/>
      <c r="W344" s="1299">
        <f t="shared" si="84"/>
        <v>-2823517.8428999996</v>
      </c>
      <c r="X344" s="1450">
        <f t="shared" si="85"/>
        <v>-0.28983552328581003</v>
      </c>
      <c r="Y344" s="3"/>
      <c r="Z344" s="16"/>
      <c r="AA344" s="16"/>
      <c r="AB344" s="16"/>
      <c r="AC344" s="16"/>
      <c r="AD344" s="16"/>
      <c r="AE344" s="16"/>
      <c r="AF344" s="16"/>
      <c r="AG344" s="16"/>
      <c r="AH344" s="16"/>
      <c r="AI344" s="16"/>
      <c r="AJ344" s="16"/>
      <c r="AK344" s="16"/>
      <c r="AL344" s="16"/>
      <c r="AM344" s="16"/>
      <c r="AN344" s="16"/>
      <c r="AO344" s="16"/>
      <c r="AP344" s="16"/>
      <c r="AQ344" s="638"/>
      <c r="AR344" s="638"/>
      <c r="AS344" s="638"/>
      <c r="AT344" s="638"/>
      <c r="AU344" s="638"/>
      <c r="AV344" s="638"/>
      <c r="AW344" s="638"/>
      <c r="AX344" s="638"/>
      <c r="AY344" s="638"/>
      <c r="AZ344" s="638"/>
      <c r="BA344" s="638"/>
    </row>
    <row r="345" spans="1:53" ht="11.65" customHeight="1" outlineLevel="1" x14ac:dyDescent="0.2">
      <c r="A345" s="622"/>
      <c r="B345" s="721" t="str">
        <f>B$32</f>
        <v>Grants &amp; Contributions Capital Purposes</v>
      </c>
      <c r="C345" s="109"/>
      <c r="D345" s="491" t="s">
        <v>116</v>
      </c>
      <c r="E345" s="109"/>
      <c r="F345" s="109"/>
      <c r="G345" s="109"/>
      <c r="H345" s="109"/>
      <c r="I345" s="109"/>
      <c r="J345" s="1285">
        <f>IF('WS1-Application'!$D$33="Minimum rate increase",".",J178)</f>
        <v>10994914</v>
      </c>
      <c r="K345" s="1285">
        <f>IF('WS1-Application'!$D$33="Minimum rate increase",".",K178)</f>
        <v>8292412.5</v>
      </c>
      <c r="L345" s="1285">
        <f>IF('WS1-Application'!$D$33="Minimum rate increase",".",L178)</f>
        <v>10811777.73</v>
      </c>
      <c r="M345" s="1199">
        <f>IF('WS1-Application'!$D$33="Minimum rate increase",".",M178)</f>
        <v>10934687.030000001</v>
      </c>
      <c r="N345" s="1285">
        <f>IF('WS1-Application'!$D$33="Minimum rate increase",".",N178)</f>
        <v>11061242.280000001</v>
      </c>
      <c r="O345" s="1285">
        <f>IF('WS1-Application'!$D$33="Minimum rate increase",".",O178)</f>
        <v>11191556.950000001</v>
      </c>
      <c r="P345" s="1285">
        <f>IF('WS1-Application'!$D$33="Minimum rate increase",".",P178)</f>
        <v>11375739.17</v>
      </c>
      <c r="Q345" s="1285">
        <f>IF('WS1-Application'!$D$33="Minimum rate increase",".",Q178)</f>
        <v>9013904.8599999994</v>
      </c>
      <c r="R345" s="1285">
        <f>IF('WS1-Application'!$D$33="Minimum rate increase",".",R178)</f>
        <v>9156174.8300000001</v>
      </c>
      <c r="S345" s="1285">
        <f>IF('WS1-Application'!$D$33="Minimum rate increase",".",S178)</f>
        <v>9298289.9000000004</v>
      </c>
      <c r="T345" s="1285">
        <f>IF('WS1-Application'!$D$33="Minimum rate increase",".",T178)</f>
        <v>9484255.6980000008</v>
      </c>
      <c r="U345" s="1285">
        <f>IF('WS1-Application'!$D$33="minimum rate increase",".",SUM(K345:T345))</f>
        <v>100620040.94800001</v>
      </c>
      <c r="V345" s="112"/>
      <c r="W345" s="1299">
        <f t="shared" si="84"/>
        <v>-1510658.3019999992</v>
      </c>
      <c r="X345" s="1450">
        <f t="shared" si="85"/>
        <v>-0.13739609986944865</v>
      </c>
      <c r="Y345" s="3"/>
      <c r="Z345" s="16"/>
      <c r="AA345" s="16"/>
      <c r="AB345" s="16"/>
      <c r="AC345" s="16"/>
      <c r="AD345" s="16"/>
      <c r="AE345" s="16"/>
      <c r="AF345" s="16"/>
      <c r="AG345" s="16"/>
      <c r="AH345" s="16"/>
      <c r="AI345" s="16"/>
      <c r="AJ345" s="16"/>
      <c r="AK345" s="16"/>
      <c r="AL345" s="16"/>
      <c r="AM345" s="16"/>
      <c r="AN345" s="16"/>
      <c r="AO345" s="16"/>
      <c r="AP345" s="16"/>
      <c r="AQ345" s="638"/>
      <c r="AR345" s="638"/>
      <c r="AS345" s="638"/>
      <c r="AT345" s="638"/>
      <c r="AU345" s="638"/>
      <c r="AV345" s="638"/>
      <c r="AW345" s="638"/>
      <c r="AX345" s="638"/>
      <c r="AY345" s="638"/>
      <c r="AZ345" s="638"/>
      <c r="BA345" s="638"/>
    </row>
    <row r="346" spans="1:53" ht="11.65" customHeight="1" outlineLevel="1" x14ac:dyDescent="0.2">
      <c r="A346" s="622"/>
      <c r="B346" s="1263" t="str">
        <f>B$33</f>
        <v>Other Income (Rental Income)</v>
      </c>
      <c r="C346" s="109"/>
      <c r="D346" s="491" t="s">
        <v>116</v>
      </c>
      <c r="E346" s="109"/>
      <c r="F346" s="109"/>
      <c r="G346" s="109"/>
      <c r="I346" s="109"/>
      <c r="J346" s="1285">
        <f>IF('WS1-Application'!$D$33="Minimum rate increase",".",J179)</f>
        <v>14076409.660000004</v>
      </c>
      <c r="K346" s="1285">
        <f>IF('WS1-Application'!$D$33="Minimum rate increase",".",K179)</f>
        <v>14569084.109999999</v>
      </c>
      <c r="L346" s="1285">
        <f>IF('WS1-Application'!$D$33="Minimum rate increase",".",L179)</f>
        <v>15006156.670000002</v>
      </c>
      <c r="M346" s="1199">
        <f>IF('WS1-Application'!$D$33="Minimum rate increase",".",M179)</f>
        <v>15456341.380000005</v>
      </c>
      <c r="N346" s="1285">
        <f>IF('WS1-Application'!$D$33="Minimum rate increase",".",N179)</f>
        <v>15920031.629999999</v>
      </c>
      <c r="O346" s="1285">
        <f>IF('WS1-Application'!$D$33="Minimum rate increase",".",O179)</f>
        <v>16397632.61999999</v>
      </c>
      <c r="P346" s="1285">
        <f>IF('WS1-Application'!$D$33="Minimum rate increase",".",P179)</f>
        <v>16889561.630000003</v>
      </c>
      <c r="Q346" s="1285">
        <f>IF('WS1-Application'!$D$33="Minimum rate increase",".",Q179)</f>
        <v>17396248.510000005</v>
      </c>
      <c r="R346" s="1285">
        <f>IF('WS1-Application'!$D$33="Minimum rate increase",".",R179)</f>
        <v>17918135.93</v>
      </c>
      <c r="S346" s="1285">
        <f>IF('WS1-Application'!$D$33="Minimum rate increase",".",S179)</f>
        <v>18455680.010000002</v>
      </c>
      <c r="T346" s="1285">
        <f>IF('WS1-Application'!$D$33="Minimum rate increase",".",T179)</f>
        <v>19009350.410300002</v>
      </c>
      <c r="U346" s="1285">
        <f>IF('WS1-Application'!$D$33="minimum rate increase",".",SUM(K346:T346))</f>
        <v>167018222.90029997</v>
      </c>
      <c r="V346" s="112"/>
      <c r="W346" s="1299">
        <f t="shared" si="84"/>
        <v>4932940.7502999976</v>
      </c>
      <c r="X346" s="1450">
        <f t="shared" si="85"/>
        <v>0.35044026633564146</v>
      </c>
      <c r="Y346" s="3"/>
      <c r="Z346" s="16"/>
      <c r="AA346" s="16"/>
      <c r="AB346" s="16"/>
      <c r="AC346" s="16"/>
      <c r="AD346" s="16"/>
      <c r="AE346" s="16"/>
      <c r="AF346" s="16"/>
      <c r="AG346" s="16"/>
      <c r="AH346" s="16"/>
      <c r="AI346" s="16"/>
      <c r="AJ346" s="16"/>
      <c r="AK346" s="16"/>
      <c r="AL346" s="16"/>
      <c r="AM346" s="16"/>
      <c r="AN346" s="16"/>
      <c r="AO346" s="16"/>
      <c r="AP346" s="16"/>
      <c r="AQ346" s="638"/>
      <c r="AR346" s="638"/>
      <c r="AS346" s="638"/>
      <c r="AT346" s="638"/>
      <c r="AU346" s="638"/>
      <c r="AV346" s="638"/>
      <c r="AW346" s="638"/>
      <c r="AX346" s="638"/>
      <c r="AY346" s="638"/>
      <c r="AZ346" s="638"/>
      <c r="BA346" s="638"/>
    </row>
    <row r="347" spans="1:53" ht="11.65" customHeight="1" outlineLevel="1" x14ac:dyDescent="0.2">
      <c r="A347" s="622"/>
      <c r="B347" s="1361" t="str">
        <f>B$34</f>
        <v>Other Income (items excluded from ratio analyis)</v>
      </c>
      <c r="C347" s="1"/>
      <c r="D347" s="1"/>
      <c r="E347" s="1"/>
      <c r="F347" s="1"/>
      <c r="G347" s="1"/>
      <c r="H347" s="1"/>
      <c r="I347" s="1"/>
      <c r="J347" s="1285"/>
      <c r="K347" s="1197"/>
      <c r="L347" s="1197"/>
      <c r="M347" s="1283"/>
      <c r="N347" s="1197"/>
      <c r="O347" s="1197"/>
      <c r="P347" s="1197"/>
      <c r="Q347" s="1197"/>
      <c r="R347" s="1197"/>
      <c r="S347" s="1197"/>
      <c r="T347" s="1197"/>
      <c r="U347" s="1197"/>
      <c r="V347" s="151"/>
      <c r="W347" s="1298"/>
      <c r="X347" s="1450">
        <f t="shared" si="85"/>
        <v>0</v>
      </c>
      <c r="Y347" s="3"/>
      <c r="Z347" s="16"/>
      <c r="AA347" s="16"/>
      <c r="AB347" s="16"/>
      <c r="AC347" s="16"/>
      <c r="AD347" s="16"/>
      <c r="AE347" s="16"/>
      <c r="AF347" s="16"/>
      <c r="AG347" s="16"/>
      <c r="AH347" s="16"/>
      <c r="AI347" s="16"/>
      <c r="AJ347" s="16"/>
      <c r="AK347" s="16"/>
      <c r="AL347" s="16"/>
      <c r="AM347" s="16"/>
      <c r="AN347" s="16"/>
      <c r="AO347" s="16"/>
      <c r="AP347" s="16"/>
      <c r="AQ347" s="638"/>
      <c r="AR347" s="638"/>
      <c r="AS347" s="638"/>
      <c r="AT347" s="638"/>
      <c r="AU347" s="638"/>
      <c r="AV347" s="638"/>
      <c r="AW347" s="638"/>
      <c r="AX347" s="638"/>
      <c r="AY347" s="638"/>
      <c r="AZ347" s="638"/>
      <c r="BA347" s="638"/>
    </row>
    <row r="348" spans="1:53" ht="11.65" customHeight="1" outlineLevel="1" x14ac:dyDescent="0.2">
      <c r="A348" s="622"/>
      <c r="B348" s="1263" t="str">
        <f>B$35</f>
        <v>Net share of profit  on joint ventures</v>
      </c>
      <c r="C348" s="109"/>
      <c r="D348" s="491" t="s">
        <v>116</v>
      </c>
      <c r="E348" s="109"/>
      <c r="F348" s="109"/>
      <c r="G348" s="109"/>
      <c r="H348" s="109"/>
      <c r="I348" s="109"/>
      <c r="J348" s="1285">
        <f>IF('WS1-Application'!$D$33="Minimum rate increase",".",J181)</f>
        <v>0</v>
      </c>
      <c r="K348" s="1285">
        <f>IF('WS1-Application'!$D$33="Minimum rate increase",".",K181)</f>
        <v>0</v>
      </c>
      <c r="L348" s="1285">
        <f>IF('WS1-Application'!$D$33="Minimum rate increase",".",L181)</f>
        <v>0</v>
      </c>
      <c r="M348" s="1285">
        <f>IF('WS1-Application'!$D$33="Minimum rate increase",".",M181)</f>
        <v>0</v>
      </c>
      <c r="N348" s="1285">
        <f>IF('WS1-Application'!$D$33="Minimum rate increase",".",N181)</f>
        <v>0</v>
      </c>
      <c r="O348" s="1285">
        <f>IF('WS1-Application'!$D$33="Minimum rate increase",".",O181)</f>
        <v>0</v>
      </c>
      <c r="P348" s="1285">
        <f>IF('WS1-Application'!$D$33="Minimum rate increase",".",P181)</f>
        <v>0</v>
      </c>
      <c r="Q348" s="1285">
        <f>IF('WS1-Application'!$D$33="Minimum rate increase",".",Q181)</f>
        <v>0</v>
      </c>
      <c r="R348" s="1285">
        <f>IF('WS1-Application'!$D$33="Minimum rate increase",".",R181)</f>
        <v>0</v>
      </c>
      <c r="S348" s="1285">
        <f>IF('WS1-Application'!$D$33="Minimum rate increase",".",S181)</f>
        <v>0</v>
      </c>
      <c r="T348" s="1285">
        <f>IF('WS1-Application'!$D$33="Minimum rate increase",".",T181)</f>
        <v>0</v>
      </c>
      <c r="U348" s="1285">
        <f>IF('WS1-Application'!$D$33="minimum rate increase",".",SUM(K348:T348))</f>
        <v>0</v>
      </c>
      <c r="V348" s="112"/>
      <c r="W348" s="1299">
        <f>IFERROR(T348-J348,".")</f>
        <v>0</v>
      </c>
      <c r="X348" s="1450">
        <f t="shared" si="85"/>
        <v>0</v>
      </c>
      <c r="Y348" s="3"/>
      <c r="Z348" s="16"/>
      <c r="AA348" s="16"/>
      <c r="AB348" s="16"/>
      <c r="AC348" s="16"/>
      <c r="AD348" s="16"/>
      <c r="AE348" s="16"/>
      <c r="AF348" s="16"/>
      <c r="AG348" s="16"/>
      <c r="AH348" s="16"/>
      <c r="AI348" s="16"/>
      <c r="AJ348" s="16"/>
      <c r="AK348" s="16"/>
      <c r="AL348" s="16"/>
      <c r="AM348" s="16"/>
      <c r="AN348" s="16"/>
      <c r="AO348" s="16"/>
      <c r="AP348" s="16"/>
      <c r="AQ348" s="638"/>
      <c r="AR348" s="638"/>
      <c r="AS348" s="638"/>
      <c r="AT348" s="638"/>
      <c r="AU348" s="638"/>
      <c r="AV348" s="638"/>
      <c r="AW348" s="638"/>
      <c r="AX348" s="638"/>
      <c r="AY348" s="638"/>
      <c r="AZ348" s="638"/>
      <c r="BA348" s="638"/>
    </row>
    <row r="349" spans="1:53" ht="11.65" customHeight="1" outlineLevel="1" x14ac:dyDescent="0.2">
      <c r="A349" s="622"/>
      <c r="B349" s="1263" t="str">
        <f>B$36</f>
        <v>Fair value gains</v>
      </c>
      <c r="C349" s="109"/>
      <c r="D349" s="491" t="s">
        <v>116</v>
      </c>
      <c r="E349" s="109"/>
      <c r="F349" s="109"/>
      <c r="G349" s="109"/>
      <c r="H349" s="109"/>
      <c r="I349" s="109"/>
      <c r="J349" s="1285">
        <f>IF('WS1-Application'!$D$33="Minimum rate increase",".",J182)</f>
        <v>1070000</v>
      </c>
      <c r="K349" s="1285">
        <f>IF('WS1-Application'!$D$33="Minimum rate increase",".",K182)</f>
        <v>1070000</v>
      </c>
      <c r="L349" s="1285">
        <f>IF('WS1-Application'!$D$33="Minimum rate increase",".",L182)</f>
        <v>1070000</v>
      </c>
      <c r="M349" s="1285">
        <f>IF('WS1-Application'!$D$33="Minimum rate increase",".",M182)</f>
        <v>1070000</v>
      </c>
      <c r="N349" s="1285">
        <f>IF('WS1-Application'!$D$33="Minimum rate increase",".",N182)</f>
        <v>1070000</v>
      </c>
      <c r="O349" s="1285">
        <f>IF('WS1-Application'!$D$33="Minimum rate increase",".",O182)</f>
        <v>1070000</v>
      </c>
      <c r="P349" s="1285">
        <f>IF('WS1-Application'!$D$33="Minimum rate increase",".",P182)</f>
        <v>1070000</v>
      </c>
      <c r="Q349" s="1285">
        <f>IF('WS1-Application'!$D$33="Minimum rate increase",".",Q182)</f>
        <v>1070000</v>
      </c>
      <c r="R349" s="1285">
        <f>IF('WS1-Application'!$D$33="Minimum rate increase",".",R182)</f>
        <v>1070000</v>
      </c>
      <c r="S349" s="1285">
        <f>IF('WS1-Application'!$D$33="Minimum rate increase",".",S182)</f>
        <v>1070000</v>
      </c>
      <c r="T349" s="1285">
        <f>IF('WS1-Application'!$D$33="Minimum rate increase",".",T182)</f>
        <v>1070000</v>
      </c>
      <c r="U349" s="1285">
        <f>IF('WS1-Application'!$D$33="minimum rate increase",".",SUM(K349:T349))</f>
        <v>10700000</v>
      </c>
      <c r="V349" s="112"/>
      <c r="W349" s="1299">
        <f>IFERROR(T349-J349,".")</f>
        <v>0</v>
      </c>
      <c r="X349" s="1450">
        <f t="shared" si="85"/>
        <v>0</v>
      </c>
      <c r="Y349" s="3"/>
      <c r="Z349" s="16"/>
      <c r="AA349" s="16"/>
      <c r="AB349" s="16"/>
      <c r="AC349" s="16"/>
      <c r="AD349" s="16"/>
      <c r="AE349" s="16"/>
      <c r="AF349" s="16"/>
      <c r="AG349" s="16"/>
      <c r="AH349" s="16"/>
      <c r="AI349" s="16"/>
      <c r="AJ349" s="16"/>
      <c r="AK349" s="16"/>
      <c r="AL349" s="16"/>
      <c r="AM349" s="16"/>
      <c r="AN349" s="16"/>
      <c r="AO349" s="16"/>
      <c r="AP349" s="16"/>
      <c r="AQ349" s="638"/>
      <c r="AR349" s="638"/>
      <c r="AS349" s="638"/>
      <c r="AT349" s="638"/>
      <c r="AU349" s="638"/>
      <c r="AV349" s="638"/>
      <c r="AW349" s="638"/>
      <c r="AX349" s="638"/>
      <c r="AY349" s="638"/>
      <c r="AZ349" s="638"/>
      <c r="BA349" s="638"/>
    </row>
    <row r="350" spans="1:53" ht="11.65" customHeight="1" outlineLevel="1" x14ac:dyDescent="0.2">
      <c r="A350" s="622"/>
      <c r="B350" s="1263" t="str">
        <f>B$37</f>
        <v>Net gains from disposal of assets</v>
      </c>
      <c r="C350" s="109"/>
      <c r="D350" s="491" t="s">
        <v>116</v>
      </c>
      <c r="E350" s="109"/>
      <c r="F350" s="109"/>
      <c r="G350" s="109"/>
      <c r="H350" s="109"/>
      <c r="I350" s="109"/>
      <c r="J350" s="1285">
        <f>IF('WS1-Application'!$D$33="Minimum rate increase",".",J183)</f>
        <v>100000</v>
      </c>
      <c r="K350" s="1285">
        <f>IF('WS1-Application'!$D$33="Minimum rate increase",".",K183)</f>
        <v>100000</v>
      </c>
      <c r="L350" s="1285">
        <f>IF('WS1-Application'!$D$33="Minimum rate increase",".",L183)</f>
        <v>100000</v>
      </c>
      <c r="M350" s="1285">
        <f>IF('WS1-Application'!$D$33="Minimum rate increase",".",M183)</f>
        <v>100000</v>
      </c>
      <c r="N350" s="1285">
        <f>IF('WS1-Application'!$D$33="Minimum rate increase",".",N183)</f>
        <v>100000</v>
      </c>
      <c r="O350" s="1285">
        <f>IF('WS1-Application'!$D$33="Minimum rate increase",".",O183)</f>
        <v>100000</v>
      </c>
      <c r="P350" s="1285">
        <f>IF('WS1-Application'!$D$33="Minimum rate increase",".",P183)</f>
        <v>100000</v>
      </c>
      <c r="Q350" s="1285">
        <f>IF('WS1-Application'!$D$33="Minimum rate increase",".",Q183)</f>
        <v>100000</v>
      </c>
      <c r="R350" s="1285">
        <f>IF('WS1-Application'!$D$33="Minimum rate increase",".",R183)</f>
        <v>100000</v>
      </c>
      <c r="S350" s="1285">
        <f>IF('WS1-Application'!$D$33="Minimum rate increase",".",S183)</f>
        <v>100000</v>
      </c>
      <c r="T350" s="1285">
        <f>IF('WS1-Application'!$D$33="Minimum rate increase",".",T183)</f>
        <v>100000</v>
      </c>
      <c r="U350" s="1285">
        <f>IF('WS1-Application'!$D$33="minimum rate increase",".",SUM(K350:T350))</f>
        <v>1000000</v>
      </c>
      <c r="V350" s="112"/>
      <c r="W350" s="1299">
        <f>IFERROR(T350-J350,".")</f>
        <v>0</v>
      </c>
      <c r="X350" s="1450">
        <f t="shared" si="85"/>
        <v>0</v>
      </c>
      <c r="Y350" s="3"/>
      <c r="Z350" s="16"/>
      <c r="AA350" s="16"/>
      <c r="AB350" s="16"/>
      <c r="AC350" s="16"/>
      <c r="AD350" s="16"/>
      <c r="AE350" s="16"/>
      <c r="AF350" s="16"/>
      <c r="AG350" s="16"/>
      <c r="AH350" s="16"/>
      <c r="AI350" s="16"/>
      <c r="AJ350" s="16"/>
      <c r="AK350" s="16"/>
      <c r="AL350" s="16"/>
      <c r="AM350" s="16"/>
      <c r="AN350" s="16"/>
      <c r="AO350" s="16"/>
      <c r="AP350" s="16"/>
      <c r="AQ350" s="638"/>
      <c r="AR350" s="638"/>
      <c r="AS350" s="638"/>
      <c r="AT350" s="638"/>
      <c r="AU350" s="638"/>
      <c r="AV350" s="638"/>
      <c r="AW350" s="638"/>
      <c r="AX350" s="638"/>
      <c r="AY350" s="638"/>
      <c r="AZ350" s="638"/>
      <c r="BA350" s="638"/>
    </row>
    <row r="351" spans="1:53" ht="11.65" customHeight="1" outlineLevel="1" x14ac:dyDescent="0.2">
      <c r="A351" s="622"/>
      <c r="B351" s="1263"/>
      <c r="C351" s="1"/>
      <c r="D351" s="1"/>
      <c r="E351" s="1"/>
      <c r="F351" s="1"/>
      <c r="G351" s="1"/>
      <c r="H351" s="1"/>
      <c r="I351" s="1"/>
      <c r="J351" s="1197"/>
      <c r="K351" s="1197"/>
      <c r="L351" s="1197"/>
      <c r="M351" s="1283"/>
      <c r="N351" s="1197"/>
      <c r="O351" s="1197"/>
      <c r="P351" s="1197"/>
      <c r="Q351" s="1197"/>
      <c r="R351" s="1197"/>
      <c r="S351" s="1197"/>
      <c r="T351" s="1197"/>
      <c r="U351" s="1197"/>
      <c r="V351" s="151"/>
      <c r="W351" s="1298"/>
      <c r="X351" s="1449">
        <f t="shared" si="85"/>
        <v>0</v>
      </c>
      <c r="Y351" s="3"/>
      <c r="Z351" s="16"/>
      <c r="AA351" s="16"/>
      <c r="AB351" s="16"/>
      <c r="AC351" s="16"/>
      <c r="AD351" s="16"/>
      <c r="AE351" s="16"/>
      <c r="AF351" s="16"/>
      <c r="AG351" s="16"/>
      <c r="AH351" s="16"/>
      <c r="AI351" s="16"/>
      <c r="AJ351" s="16"/>
      <c r="AK351" s="16"/>
      <c r="AL351" s="16"/>
      <c r="AM351" s="16"/>
      <c r="AN351" s="16"/>
      <c r="AO351" s="16"/>
      <c r="AP351" s="16"/>
      <c r="AQ351" s="638"/>
      <c r="AR351" s="638"/>
      <c r="AS351" s="638"/>
      <c r="AT351" s="638"/>
      <c r="AU351" s="638"/>
      <c r="AV351" s="638"/>
      <c r="AW351" s="638"/>
      <c r="AX351" s="638"/>
      <c r="AY351" s="638"/>
      <c r="AZ351" s="638"/>
      <c r="BA351" s="638"/>
    </row>
    <row r="352" spans="1:53" ht="11.65" customHeight="1" outlineLevel="1" x14ac:dyDescent="0.2">
      <c r="A352" s="622"/>
      <c r="B352" s="1223" t="str">
        <f>B$39</f>
        <v>Total Income Continuing Operations</v>
      </c>
      <c r="C352" s="109"/>
      <c r="D352" s="491" t="s">
        <v>116</v>
      </c>
      <c r="E352" s="109"/>
      <c r="F352" s="109"/>
      <c r="G352" s="109"/>
      <c r="H352" s="109"/>
      <c r="I352" s="109"/>
      <c r="J352" s="1286">
        <f>IF('WS1-Application'!$D$33="minimum rate increase",".",SUM(J339:J346,J348:J350))</f>
        <v>140611587.24000001</v>
      </c>
      <c r="K352" s="1286">
        <f>IF('WS1-Application'!$D$33="minimum rate increase",".",SUM(K339:K346,K348:K350))</f>
        <v>141515120.80000001</v>
      </c>
      <c r="L352" s="1286">
        <f>IF('WS1-Application'!$D$33="minimum rate increase",".",SUM(L339:L346,L348:L350))</f>
        <v>147551873.16999999</v>
      </c>
      <c r="M352" s="1286">
        <f>IF('WS1-Application'!$D$33="minimum rate increase",".",SUM(M339:M346,M348:M350))</f>
        <v>151486880.78999999</v>
      </c>
      <c r="N352" s="1286">
        <f>IF('WS1-Application'!$D$33="minimum rate increase",".",SUM(N339:N346,N348:N350))</f>
        <v>154552428.38</v>
      </c>
      <c r="O352" s="1286">
        <f>IF('WS1-Application'!$D$33="minimum rate increase",".",SUM(O339:O346,O348:O350))</f>
        <v>160096775.00999999</v>
      </c>
      <c r="P352" s="1286">
        <f>IF('WS1-Application'!$D$33="minimum rate increase",".",SUM(P339:P346,P348:P350))</f>
        <v>164506998.28999999</v>
      </c>
      <c r="Q352" s="1286">
        <f>IF('WS1-Application'!$D$33="minimum rate increase",".",SUM(Q339:Q346,Q348:Q350))</f>
        <v>166655531.42000002</v>
      </c>
      <c r="R352" s="1286">
        <f>IF('WS1-Application'!$D$33="minimum rate increase",".",SUM(R339:R346,R348:R350))</f>
        <v>171456094.02000001</v>
      </c>
      <c r="S352" s="1286">
        <f>IF('WS1-Application'!$D$33="minimum rate increase",".",SUM(S339:S346,S348:S350))</f>
        <v>176404828.86999997</v>
      </c>
      <c r="T352" s="1286">
        <f>IF('WS1-Application'!$D$33="minimum rate increase",".",SUM(T339:T346,T348:T350))</f>
        <v>181513964.18880004</v>
      </c>
      <c r="U352" s="1286">
        <f>IF('WS1-Application'!$D$33="minimum rate increase",".",SUM(U339:U346,U348:U350))</f>
        <v>1615740494.9388003</v>
      </c>
      <c r="V352" s="118"/>
      <c r="W352" s="1299">
        <f>IFERROR(T352-J352,".")</f>
        <v>40902376.948800027</v>
      </c>
      <c r="X352" s="1450">
        <f t="shared" si="85"/>
        <v>0.29088909208447128</v>
      </c>
      <c r="Y352" s="3"/>
      <c r="Z352" s="16"/>
      <c r="AA352" s="16"/>
      <c r="AB352" s="16"/>
      <c r="AC352" s="16"/>
      <c r="AD352" s="16"/>
      <c r="AE352" s="16"/>
      <c r="AF352" s="16"/>
      <c r="AG352" s="16"/>
      <c r="AH352" s="16"/>
      <c r="AI352" s="16"/>
      <c r="AJ352" s="16"/>
      <c r="AK352" s="16"/>
      <c r="AL352" s="16"/>
      <c r="AM352" s="16"/>
      <c r="AN352" s="16"/>
      <c r="AO352" s="16"/>
      <c r="AP352" s="16"/>
      <c r="AQ352" s="638"/>
      <c r="AR352" s="638"/>
      <c r="AS352" s="638"/>
      <c r="AT352" s="638"/>
      <c r="AU352" s="638"/>
      <c r="AV352" s="638"/>
      <c r="AW352" s="638"/>
      <c r="AX352" s="638"/>
      <c r="AY352" s="638"/>
      <c r="AZ352" s="638"/>
      <c r="BA352" s="638"/>
    </row>
    <row r="353" spans="1:53" ht="10.5" customHeight="1" x14ac:dyDescent="0.2">
      <c r="A353" s="622"/>
      <c r="B353" s="668"/>
      <c r="C353" s="109"/>
      <c r="D353" s="109"/>
      <c r="E353" s="109"/>
      <c r="F353" s="109"/>
      <c r="G353" s="109"/>
      <c r="H353" s="109"/>
      <c r="I353" s="109"/>
      <c r="J353" s="1199"/>
      <c r="K353" s="1199"/>
      <c r="L353" s="1199"/>
      <c r="M353" s="1199"/>
      <c r="N353" s="1199"/>
      <c r="O353" s="1199"/>
      <c r="P353" s="1199"/>
      <c r="Q353" s="1199"/>
      <c r="R353" s="1199"/>
      <c r="S353" s="1199"/>
      <c r="T353" s="1199"/>
      <c r="U353" s="1199"/>
      <c r="V353" s="112"/>
      <c r="W353" s="1299"/>
      <c r="X353" s="1450">
        <f t="shared" si="85"/>
        <v>0</v>
      </c>
      <c r="Y353" s="16"/>
      <c r="Z353" s="16"/>
      <c r="AA353" s="16"/>
      <c r="AB353" s="16"/>
      <c r="AC353" s="16"/>
      <c r="AD353" s="16"/>
      <c r="AE353" s="16"/>
      <c r="AF353" s="16"/>
      <c r="AG353" s="16"/>
      <c r="AH353" s="16"/>
      <c r="AI353" s="16"/>
      <c r="AJ353" s="16"/>
      <c r="AK353" s="16"/>
      <c r="AL353" s="16"/>
      <c r="AM353" s="16"/>
      <c r="AN353" s="16"/>
      <c r="AO353" s="16"/>
      <c r="AP353" s="16"/>
      <c r="AQ353" s="638"/>
      <c r="AR353" s="638"/>
      <c r="AS353" s="638"/>
      <c r="AT353" s="638"/>
      <c r="AU353" s="638"/>
      <c r="AV353" s="638"/>
      <c r="AW353" s="638"/>
      <c r="AX353" s="638"/>
      <c r="AY353" s="638"/>
      <c r="AZ353" s="638"/>
      <c r="BA353" s="638"/>
    </row>
    <row r="354" spans="1:53" ht="10.5" customHeight="1" x14ac:dyDescent="0.2">
      <c r="A354" s="622"/>
      <c r="B354" s="1223" t="str">
        <f>B$41</f>
        <v>Income excluding capital grants and contributions</v>
      </c>
      <c r="C354" s="109"/>
      <c r="D354" s="491" t="s">
        <v>116</v>
      </c>
      <c r="E354" s="109"/>
      <c r="F354" s="109"/>
      <c r="G354" s="109"/>
      <c r="H354" s="109"/>
      <c r="I354" s="109"/>
      <c r="J354" s="1285">
        <f>IFERROR(J352-J345,".")</f>
        <v>129616673.24000001</v>
      </c>
      <c r="K354" s="1285">
        <f t="shared" ref="K354:T354" si="86">IFERROR(K352-K345,".")</f>
        <v>133222708.30000001</v>
      </c>
      <c r="L354" s="1285">
        <f t="shared" si="86"/>
        <v>136740095.44</v>
      </c>
      <c r="M354" s="1285">
        <f t="shared" si="86"/>
        <v>140552193.75999999</v>
      </c>
      <c r="N354" s="1285">
        <f t="shared" si="86"/>
        <v>143491186.09999999</v>
      </c>
      <c r="O354" s="1285">
        <f t="shared" si="86"/>
        <v>148905218.06</v>
      </c>
      <c r="P354" s="1285">
        <f t="shared" si="86"/>
        <v>153131259.12</v>
      </c>
      <c r="Q354" s="1285">
        <f t="shared" si="86"/>
        <v>157641626.56</v>
      </c>
      <c r="R354" s="1285">
        <f t="shared" si="86"/>
        <v>162299919.19</v>
      </c>
      <c r="S354" s="1285">
        <f t="shared" si="86"/>
        <v>167106538.96999997</v>
      </c>
      <c r="T354" s="1285">
        <f t="shared" si="86"/>
        <v>172029708.49080002</v>
      </c>
      <c r="U354" s="1285">
        <f>IF('WS1-Application'!$D$33="minimum rate increase",".",SUM(K354:T354))</f>
        <v>1515120453.9908004</v>
      </c>
      <c r="V354" s="112"/>
      <c r="W354" s="1299">
        <f>IFERROR(T354-J354,".")</f>
        <v>42413035.250800014</v>
      </c>
      <c r="X354" s="1450">
        <f t="shared" si="85"/>
        <v>0.32721897723966004</v>
      </c>
      <c r="Y354" s="16"/>
      <c r="Z354" s="16"/>
      <c r="AA354" s="16"/>
      <c r="AB354" s="16"/>
      <c r="AC354" s="16"/>
      <c r="AD354" s="16"/>
      <c r="AE354" s="16"/>
      <c r="AF354" s="16"/>
      <c r="AG354" s="16"/>
      <c r="AH354" s="16"/>
      <c r="AI354" s="16"/>
      <c r="AJ354" s="16"/>
      <c r="AK354" s="16"/>
      <c r="AL354" s="16"/>
      <c r="AM354" s="16"/>
      <c r="AN354" s="16"/>
      <c r="AO354" s="16"/>
      <c r="AP354" s="16"/>
      <c r="AQ354" s="638"/>
      <c r="AR354" s="638"/>
      <c r="AS354" s="638"/>
      <c r="AT354" s="638"/>
      <c r="AU354" s="638"/>
      <c r="AV354" s="638"/>
      <c r="AW354" s="638"/>
      <c r="AX354" s="638"/>
      <c r="AY354" s="638"/>
      <c r="AZ354" s="638"/>
      <c r="BA354" s="638"/>
    </row>
    <row r="355" spans="1:53" ht="11.65" customHeight="1" outlineLevel="1" x14ac:dyDescent="0.2">
      <c r="A355" s="622"/>
      <c r="B355" s="668"/>
      <c r="C355" s="109"/>
      <c r="D355" s="109"/>
      <c r="E355" s="109"/>
      <c r="F355" s="109"/>
      <c r="G355" s="109"/>
      <c r="H355" s="109"/>
      <c r="I355" s="109"/>
      <c r="J355" s="1285"/>
      <c r="K355" s="1285"/>
      <c r="L355" s="1285"/>
      <c r="M355" s="1199"/>
      <c r="N355" s="1285"/>
      <c r="O355" s="1285"/>
      <c r="P355" s="1285"/>
      <c r="Q355" s="1285"/>
      <c r="R355" s="1285"/>
      <c r="S355" s="1285"/>
      <c r="T355" s="1285"/>
      <c r="U355" s="1285"/>
      <c r="V355" s="112"/>
      <c r="W355" s="1299"/>
      <c r="X355" s="1450">
        <f t="shared" si="85"/>
        <v>0</v>
      </c>
      <c r="Y355" s="3"/>
      <c r="Z355" s="16"/>
      <c r="AA355" s="16"/>
      <c r="AB355" s="16"/>
      <c r="AC355" s="16"/>
      <c r="AD355" s="16"/>
      <c r="AE355" s="16"/>
      <c r="AF355" s="16"/>
      <c r="AG355" s="16"/>
      <c r="AH355" s="16"/>
      <c r="AI355" s="16"/>
      <c r="AJ355" s="16"/>
      <c r="AK355" s="16"/>
      <c r="AL355" s="16"/>
      <c r="AM355" s="16"/>
      <c r="AN355" s="16"/>
      <c r="AO355" s="16"/>
      <c r="AP355" s="16"/>
      <c r="AQ355" s="638"/>
      <c r="AR355" s="638"/>
      <c r="AS355" s="638"/>
      <c r="AT355" s="638"/>
      <c r="AU355" s="638"/>
      <c r="AV355" s="638"/>
      <c r="AW355" s="638"/>
      <c r="AX355" s="638"/>
      <c r="AY355" s="638"/>
      <c r="AZ355" s="638"/>
      <c r="BA355" s="638"/>
    </row>
    <row r="356" spans="1:53" ht="24" outlineLevel="1" x14ac:dyDescent="0.2">
      <c r="A356" s="622"/>
      <c r="B356" s="1325" t="str">
        <f>B$43</f>
        <v>Income excluding capital grants and contributions, net gains from asset disposals, profit on joint ventures and fair value gains</v>
      </c>
      <c r="C356" s="109"/>
      <c r="D356" s="491" t="s">
        <v>116</v>
      </c>
      <c r="E356" s="109"/>
      <c r="F356" s="109"/>
      <c r="G356" s="109"/>
      <c r="H356" s="109"/>
      <c r="I356" s="109"/>
      <c r="J356" s="1285">
        <f>IFERROR(J352-J345-SUM(J348:J350),".")</f>
        <v>128446673.24000001</v>
      </c>
      <c r="K356" s="1285">
        <f t="shared" ref="K356:T356" si="87">IFERROR(K352-K345-SUM(K348:K350),".")</f>
        <v>132052708.30000001</v>
      </c>
      <c r="L356" s="1285">
        <f t="shared" si="87"/>
        <v>135570095.44</v>
      </c>
      <c r="M356" s="1285">
        <f t="shared" si="87"/>
        <v>139382193.75999999</v>
      </c>
      <c r="N356" s="1285">
        <f t="shared" si="87"/>
        <v>142321186.09999999</v>
      </c>
      <c r="O356" s="1285">
        <f t="shared" si="87"/>
        <v>147735218.06</v>
      </c>
      <c r="P356" s="1285">
        <f t="shared" si="87"/>
        <v>151961259.12</v>
      </c>
      <c r="Q356" s="1285">
        <f t="shared" si="87"/>
        <v>156471626.56</v>
      </c>
      <c r="R356" s="1285">
        <f t="shared" si="87"/>
        <v>161129919.19</v>
      </c>
      <c r="S356" s="1285">
        <f t="shared" si="87"/>
        <v>165936538.96999997</v>
      </c>
      <c r="T356" s="1285">
        <f t="shared" si="87"/>
        <v>170859708.49080002</v>
      </c>
      <c r="U356" s="1285">
        <f>IF('WS1-Application'!$D$33="minimum rate increase",".",SUM(K356:T356))</f>
        <v>1503420453.9908004</v>
      </c>
      <c r="V356" s="112"/>
      <c r="W356" s="1299">
        <f>IFERROR(T356-J356,".")</f>
        <v>42413035.250800014</v>
      </c>
      <c r="X356" s="1450">
        <f t="shared" si="85"/>
        <v>0.33019956205134343</v>
      </c>
      <c r="Y356" s="3"/>
      <c r="Z356" s="16"/>
      <c r="AA356" s="16"/>
      <c r="AB356" s="16"/>
      <c r="AC356" s="16"/>
      <c r="AD356" s="16"/>
      <c r="AE356" s="16"/>
      <c r="AF356" s="16"/>
      <c r="AG356" s="16"/>
      <c r="AH356" s="16"/>
      <c r="AI356" s="16"/>
      <c r="AJ356" s="16"/>
      <c r="AK356" s="16"/>
      <c r="AL356" s="16"/>
      <c r="AM356" s="16"/>
      <c r="AN356" s="16"/>
      <c r="AO356" s="16"/>
      <c r="AP356" s="16"/>
      <c r="AQ356" s="638"/>
      <c r="AR356" s="638"/>
      <c r="AS356" s="638"/>
      <c r="AT356" s="638"/>
      <c r="AU356" s="638"/>
      <c r="AV356" s="638"/>
      <c r="AW356" s="638"/>
      <c r="AX356" s="638"/>
      <c r="AY356" s="638"/>
      <c r="AZ356" s="638"/>
      <c r="BA356" s="638"/>
    </row>
    <row r="357" spans="1:53" ht="11.65" customHeight="1" outlineLevel="1" x14ac:dyDescent="0.2">
      <c r="A357" s="622"/>
      <c r="B357" s="581"/>
      <c r="C357" s="1"/>
      <c r="D357" s="1"/>
      <c r="E357" s="1"/>
      <c r="F357" s="1"/>
      <c r="G357" s="1"/>
      <c r="H357" s="1"/>
      <c r="I357" s="1"/>
      <c r="J357" s="1197"/>
      <c r="K357" s="1197"/>
      <c r="L357" s="1197"/>
      <c r="M357" s="1283"/>
      <c r="N357" s="1197"/>
      <c r="O357" s="1197"/>
      <c r="P357" s="1197"/>
      <c r="Q357" s="1197"/>
      <c r="R357" s="1197"/>
      <c r="S357" s="1197"/>
      <c r="T357" s="1197"/>
      <c r="U357" s="1197"/>
      <c r="V357" s="151"/>
      <c r="W357" s="1298"/>
      <c r="X357" s="1449"/>
      <c r="Y357" s="3"/>
      <c r="Z357" s="16"/>
      <c r="AA357" s="16"/>
      <c r="AB357" s="16"/>
      <c r="AC357" s="16"/>
      <c r="AD357" s="16"/>
      <c r="AE357" s="16"/>
      <c r="AF357" s="16"/>
      <c r="AG357" s="16"/>
      <c r="AH357" s="16"/>
      <c r="AI357" s="16"/>
      <c r="AJ357" s="16"/>
      <c r="AK357" s="16"/>
      <c r="AL357" s="16"/>
      <c r="AM357" s="16"/>
      <c r="AN357" s="16"/>
      <c r="AO357" s="16"/>
      <c r="AP357" s="16"/>
      <c r="AQ357" s="638"/>
      <c r="AR357" s="638"/>
      <c r="AS357" s="638"/>
      <c r="AT357" s="638"/>
      <c r="AU357" s="638"/>
      <c r="AV357" s="638"/>
      <c r="AW357" s="638"/>
      <c r="AX357" s="638"/>
      <c r="AY357" s="638"/>
      <c r="AZ357" s="638"/>
      <c r="BA357" s="638"/>
    </row>
    <row r="358" spans="1:53" customFormat="1" ht="11.65" customHeight="1" outlineLevel="1" x14ac:dyDescent="0.2">
      <c r="A358" s="622"/>
      <c r="B358" s="1324" t="str">
        <f>B$45</f>
        <v>Expenses from continuing operations</v>
      </c>
      <c r="C358" s="265"/>
      <c r="D358" s="265"/>
      <c r="E358" s="265"/>
      <c r="F358" s="265"/>
      <c r="G358" s="265"/>
      <c r="H358" s="265"/>
      <c r="I358" s="265"/>
      <c r="J358" s="1288"/>
      <c r="K358" s="1288"/>
      <c r="L358" s="1288"/>
      <c r="M358" s="1294"/>
      <c r="N358" s="1289"/>
      <c r="O358" s="1289"/>
      <c r="P358" s="1289"/>
      <c r="Q358" s="1289"/>
      <c r="R358" s="1289"/>
      <c r="S358" s="1289"/>
      <c r="T358" s="1289"/>
      <c r="U358" s="1289"/>
      <c r="V358" s="18"/>
      <c r="W358" s="1301"/>
      <c r="X358" s="1451"/>
      <c r="Y358" s="3"/>
      <c r="Z358" s="16"/>
      <c r="AA358" s="16"/>
      <c r="AB358" s="16"/>
      <c r="AC358" s="16"/>
      <c r="AD358" s="16"/>
      <c r="AE358" s="16"/>
      <c r="AF358" s="16"/>
      <c r="AG358" s="16"/>
      <c r="AH358" s="16"/>
      <c r="AI358" s="16"/>
      <c r="AJ358" s="16"/>
      <c r="AK358" s="16"/>
      <c r="AL358" s="16"/>
      <c r="AM358" s="16"/>
      <c r="AN358" s="16"/>
      <c r="AO358" s="16"/>
      <c r="AP358" s="16"/>
      <c r="AQ358" s="638"/>
      <c r="AR358" s="638"/>
      <c r="AS358" s="638"/>
      <c r="AT358" s="638"/>
      <c r="AU358" s="638"/>
      <c r="AV358" s="638"/>
      <c r="AW358" s="638"/>
      <c r="AX358" s="638"/>
      <c r="AY358" s="638"/>
      <c r="AZ358" s="638"/>
      <c r="BA358" s="638"/>
    </row>
    <row r="359" spans="1:53" ht="11.65" customHeight="1" outlineLevel="1" x14ac:dyDescent="0.2">
      <c r="A359" s="622"/>
      <c r="B359" s="581"/>
      <c r="C359" s="1"/>
      <c r="D359" s="1"/>
      <c r="E359" s="1"/>
      <c r="F359" s="1"/>
      <c r="G359" s="1"/>
      <c r="H359" s="1"/>
      <c r="I359" s="1"/>
      <c r="J359" s="1197"/>
      <c r="K359" s="1197"/>
      <c r="L359" s="1197"/>
      <c r="M359" s="1283"/>
      <c r="N359" s="1197"/>
      <c r="O359" s="1197"/>
      <c r="P359" s="1197"/>
      <c r="Q359" s="1197"/>
      <c r="R359" s="1197"/>
      <c r="S359" s="1197"/>
      <c r="T359" s="1197"/>
      <c r="U359" s="1197"/>
      <c r="V359" s="151"/>
      <c r="W359" s="1298"/>
      <c r="X359" s="1449"/>
      <c r="Y359" s="3"/>
      <c r="Z359" s="16"/>
      <c r="AA359" s="16"/>
      <c r="AB359" s="16"/>
      <c r="AC359" s="16"/>
      <c r="AD359" s="16"/>
      <c r="AE359" s="16"/>
      <c r="AF359" s="16"/>
      <c r="AG359" s="16"/>
      <c r="AH359" s="16"/>
      <c r="AI359" s="16"/>
      <c r="AJ359" s="16"/>
      <c r="AK359" s="16"/>
      <c r="AL359" s="16"/>
      <c r="AM359" s="16"/>
      <c r="AN359" s="16"/>
      <c r="AO359" s="16"/>
      <c r="AP359" s="16"/>
      <c r="AQ359" s="638"/>
      <c r="AR359" s="638"/>
      <c r="AS359" s="638"/>
      <c r="AT359" s="638"/>
      <c r="AU359" s="638"/>
      <c r="AV359" s="638"/>
      <c r="AW359" s="638"/>
      <c r="AX359" s="638"/>
      <c r="AY359" s="638"/>
      <c r="AZ359" s="638"/>
      <c r="BA359" s="638"/>
    </row>
    <row r="360" spans="1:53" ht="11.65" customHeight="1" outlineLevel="1" x14ac:dyDescent="0.2">
      <c r="A360" s="622"/>
      <c r="B360" s="721" t="str">
        <f>B$47</f>
        <v>Employee Benefits &amp; On-costs</v>
      </c>
      <c r="C360" s="109"/>
      <c r="D360" s="491" t="s">
        <v>116</v>
      </c>
      <c r="E360" s="109"/>
      <c r="F360" s="109"/>
      <c r="G360" s="109"/>
      <c r="H360"/>
      <c r="I360" s="109"/>
      <c r="J360" s="1285">
        <f>IF('WS1-Application'!$D$33="minimum rate increase",".",J47)</f>
        <v>50452992.289999984</v>
      </c>
      <c r="K360" s="1285">
        <f>IF('WS1-Application'!$D$33="minimum rate increase",".",K47)</f>
        <v>51625608.040000007</v>
      </c>
      <c r="L360" s="1285">
        <f>IF('WS1-Application'!$D$33="minimum rate increase",".",L47)</f>
        <v>53432504.310000025</v>
      </c>
      <c r="M360" s="1285">
        <f>IF('WS1-Application'!$D$33="minimum rate increase",".",M47)</f>
        <v>54841369.94000005</v>
      </c>
      <c r="N360" s="1285">
        <f>IF('WS1-Application'!$D$33="minimum rate increase",".",N47)</f>
        <v>56486611.039999992</v>
      </c>
      <c r="O360" s="1285">
        <f>IF('WS1-Application'!$D$33="minimum rate increase",".",O47)</f>
        <v>58181209.519999973</v>
      </c>
      <c r="P360" s="1285">
        <f>IF('WS1-Application'!$D$33="minimum rate increase",".",P47)</f>
        <v>59926645.860000007</v>
      </c>
      <c r="Q360" s="1285">
        <f>IF('WS1-Application'!$D$33="minimum rate increase",".",Q47)</f>
        <v>61724445.149999999</v>
      </c>
      <c r="R360" s="1285">
        <f>IF('WS1-Application'!$D$33="minimum rate increase",".",R47)</f>
        <v>63576178.640000038</v>
      </c>
      <c r="S360" s="1285">
        <f>IF('WS1-Application'!$D$33="minimum rate increase",".",S47)</f>
        <v>65483463.930000022</v>
      </c>
      <c r="T360" s="1285">
        <f>IF('WS1-Application'!$D$33="minimum rate increase",".",T47)</f>
        <v>67447967.847900018</v>
      </c>
      <c r="U360" s="1285">
        <f>IF('WS1-Application'!$D$33="minimum rate increase",".",SUM(K360:T360))</f>
        <v>592726004.2779001</v>
      </c>
      <c r="V360" s="112"/>
      <c r="W360" s="1299">
        <f t="shared" ref="W360:W365" si="88">IFERROR(T360-J360,".")</f>
        <v>16994975.557900034</v>
      </c>
      <c r="X360" s="1450">
        <f t="shared" ref="X360:X373" si="89">IFERROR(IF(J360=0,0,(W360/J360)),"na")</f>
        <v>0.336847722731968</v>
      </c>
      <c r="Y360" s="3"/>
      <c r="Z360" s="16"/>
      <c r="AA360" s="16"/>
      <c r="AB360" s="16"/>
      <c r="AC360" s="16"/>
      <c r="AD360" s="16"/>
      <c r="AE360" s="16"/>
      <c r="AF360" s="16"/>
      <c r="AG360" s="16"/>
      <c r="AH360" s="16"/>
      <c r="AI360" s="16"/>
      <c r="AJ360" s="16"/>
      <c r="AK360" s="16"/>
      <c r="AL360" s="16"/>
      <c r="AM360" s="16"/>
      <c r="AN360" s="16"/>
      <c r="AO360" s="16"/>
      <c r="AP360" s="16"/>
      <c r="AQ360" s="638"/>
      <c r="AR360" s="638"/>
      <c r="AS360" s="638"/>
      <c r="AT360" s="638"/>
      <c r="AU360" s="638"/>
      <c r="AV360" s="638"/>
      <c r="AW360" s="638"/>
      <c r="AX360" s="638"/>
      <c r="AY360" s="638"/>
      <c r="AZ360" s="638"/>
      <c r="BA360" s="638"/>
    </row>
    <row r="361" spans="1:53" ht="11.65" customHeight="1" outlineLevel="1" x14ac:dyDescent="0.2">
      <c r="A361" s="622"/>
      <c r="B361" s="721" t="str">
        <f>B$48</f>
        <v>Borrowing Costs (i.e. interest costs)</v>
      </c>
      <c r="C361" s="109"/>
      <c r="D361" s="491" t="s">
        <v>116</v>
      </c>
      <c r="E361" s="109"/>
      <c r="F361" s="109"/>
      <c r="G361" s="109"/>
      <c r="H361" s="109"/>
      <c r="I361" s="109"/>
      <c r="J361" s="1285">
        <f>IF('WS1-Application'!$D$33="minimum rate increase",".",J48)</f>
        <v>2307990</v>
      </c>
      <c r="K361" s="1285">
        <f>IF('WS1-Application'!$D$33="minimum rate increase",".",K48)</f>
        <v>2305910</v>
      </c>
      <c r="L361" s="1285">
        <f>IF('WS1-Application'!$D$33="minimum rate increase",".",L48)</f>
        <v>2295255</v>
      </c>
      <c r="M361" s="1285">
        <f>IF('WS1-Application'!$D$33="minimum rate increase",".",M48)</f>
        <v>2292312</v>
      </c>
      <c r="N361" s="1285">
        <f>IF('WS1-Application'!$D$33="minimum rate increase",".",N48)</f>
        <v>2294536</v>
      </c>
      <c r="O361" s="1285">
        <f>IF('WS1-Application'!$D$33="minimum rate increase",".",O48)</f>
        <v>2295270</v>
      </c>
      <c r="P361" s="1285">
        <f>IF('WS1-Application'!$D$33="minimum rate increase",".",P48)</f>
        <v>2295427</v>
      </c>
      <c r="Q361" s="1285">
        <f>IF('WS1-Application'!$D$33="minimum rate increase",".",Q48)</f>
        <v>2301188</v>
      </c>
      <c r="R361" s="1285">
        <f>IF('WS1-Application'!$D$33="minimum rate increase",".",R48)</f>
        <v>2333522</v>
      </c>
      <c r="S361" s="1285">
        <f>IF('WS1-Application'!$D$33="minimum rate increase",".",S48)</f>
        <v>2368718</v>
      </c>
      <c r="T361" s="1285">
        <f>IF('WS1-Application'!$D$33="minimum rate increase",".",T48)</f>
        <v>2392405.1800000002</v>
      </c>
      <c r="U361" s="1285">
        <f>IF('WS1-Application'!$D$33="minimum rate increase",".",SUM(K361:T361))</f>
        <v>23174543.18</v>
      </c>
      <c r="V361" s="112"/>
      <c r="W361" s="1299">
        <f t="shared" si="88"/>
        <v>84415.180000000168</v>
      </c>
      <c r="X361" s="1450">
        <f t="shared" si="89"/>
        <v>3.6575193133419198E-2</v>
      </c>
      <c r="Y361" s="3"/>
      <c r="Z361" s="16"/>
      <c r="AA361" s="16"/>
      <c r="AB361" s="16"/>
      <c r="AC361" s="16"/>
      <c r="AD361" s="16"/>
      <c r="AE361" s="16"/>
      <c r="AF361" s="16"/>
      <c r="AG361" s="16"/>
      <c r="AH361" s="16"/>
      <c r="AI361" s="16"/>
      <c r="AJ361" s="16"/>
      <c r="AK361" s="16"/>
      <c r="AL361" s="16"/>
      <c r="AM361" s="16"/>
      <c r="AN361" s="16"/>
      <c r="AO361" s="16"/>
      <c r="AP361" s="16"/>
      <c r="AQ361" s="638"/>
      <c r="AR361" s="638"/>
      <c r="AS361" s="638"/>
      <c r="AT361" s="638"/>
      <c r="AU361" s="638"/>
      <c r="AV361" s="638"/>
      <c r="AW361" s="638"/>
      <c r="AX361" s="638"/>
      <c r="AY361" s="638"/>
      <c r="AZ361" s="638"/>
      <c r="BA361" s="638"/>
    </row>
    <row r="362" spans="1:53" ht="11.65" customHeight="1" outlineLevel="1" x14ac:dyDescent="0.2">
      <c r="A362" s="622"/>
      <c r="B362" s="721" t="str">
        <f>B$49</f>
        <v>Materials &amp; Contracts</v>
      </c>
      <c r="C362" s="109"/>
      <c r="D362" s="491" t="s">
        <v>116</v>
      </c>
      <c r="E362" s="109"/>
      <c r="F362" s="109"/>
      <c r="G362" s="109"/>
      <c r="H362" s="109"/>
      <c r="I362" s="109"/>
      <c r="J362" s="1285">
        <f>IF('WS1-Application'!$D$33="minimum rate increase",".",J49)</f>
        <v>54857896.200000003</v>
      </c>
      <c r="K362" s="1285">
        <f>IF('WS1-Application'!$D$33="minimum rate increase",".",K49)</f>
        <v>55685418.458965674</v>
      </c>
      <c r="L362" s="1285">
        <f>IF('WS1-Application'!$D$33="minimum rate increase",".",L49)</f>
        <v>56648300.262635514</v>
      </c>
      <c r="M362" s="1285">
        <f>IF('WS1-Application'!$D$33="minimum rate increase",".",M49)</f>
        <v>58197203.091219537</v>
      </c>
      <c r="N362" s="1285">
        <f>IF('WS1-Application'!$D$33="minimum rate increase",".",N49)</f>
        <v>59963622.884667665</v>
      </c>
      <c r="O362" s="1285">
        <f>IF('WS1-Application'!$D$33="minimum rate increase",".",O49)</f>
        <v>63554870.537297957</v>
      </c>
      <c r="P362" s="1285">
        <f>IF('WS1-Application'!$D$33="minimum rate increase",".",P49)</f>
        <v>64898684.943017617</v>
      </c>
      <c r="Q362" s="1285">
        <f>IF('WS1-Application'!$D$33="minimum rate increase",".",Q49)</f>
        <v>66563554.46704711</v>
      </c>
      <c r="R362" s="1285">
        <f>IF('WS1-Application'!$D$33="minimum rate increase",".",R49)</f>
        <v>68499619.402632013</v>
      </c>
      <c r="S362" s="1285">
        <f>IF('WS1-Application'!$D$33="minimum rate increase",".",S49)</f>
        <v>71077479.487944201</v>
      </c>
      <c r="T362" s="1285">
        <f>IF('WS1-Application'!$D$33="minimum rate increase",".",T49)</f>
        <v>73209803.872582525</v>
      </c>
      <c r="U362" s="1285">
        <f>IF('WS1-Application'!$D$33="minimum rate increase",".",SUM(K362:T362))</f>
        <v>638298557.40800977</v>
      </c>
      <c r="V362" s="112"/>
      <c r="W362" s="1299">
        <f t="shared" si="88"/>
        <v>18351907.672582522</v>
      </c>
      <c r="X362" s="1450">
        <f t="shared" si="89"/>
        <v>0.33453538950300687</v>
      </c>
      <c r="Y362" s="3"/>
      <c r="Z362" s="16"/>
      <c r="AA362" s="16"/>
      <c r="AB362" s="16"/>
      <c r="AC362" s="16"/>
      <c r="AD362" s="16"/>
      <c r="AE362" s="16"/>
      <c r="AF362" s="16"/>
      <c r="AG362" s="16"/>
      <c r="AH362" s="16"/>
      <c r="AI362" s="16"/>
      <c r="AJ362" s="16"/>
      <c r="AK362" s="16"/>
      <c r="AL362" s="16"/>
      <c r="AM362" s="16"/>
      <c r="AN362" s="16"/>
      <c r="AO362" s="16"/>
      <c r="AP362" s="16"/>
      <c r="AQ362" s="638"/>
      <c r="AR362" s="638"/>
      <c r="AS362" s="638"/>
      <c r="AT362" s="638"/>
      <c r="AU362" s="638"/>
      <c r="AV362" s="638"/>
      <c r="AW362" s="638"/>
      <c r="AX362" s="638"/>
      <c r="AY362" s="638"/>
      <c r="AZ362" s="638"/>
      <c r="BA362" s="638"/>
    </row>
    <row r="363" spans="1:53" ht="11.65" customHeight="1" outlineLevel="1" x14ac:dyDescent="0.2">
      <c r="A363" s="622"/>
      <c r="B363" s="721" t="str">
        <f>B$50</f>
        <v>Depreciation &amp; Amortisation</v>
      </c>
      <c r="C363" s="109"/>
      <c r="D363" s="491" t="s">
        <v>116</v>
      </c>
      <c r="E363" s="109"/>
      <c r="F363" s="109"/>
      <c r="G363" s="109"/>
      <c r="H363" s="109"/>
      <c r="I363" s="109"/>
      <c r="J363" s="1285">
        <f>IF('WS1-Application'!$D$33="minimum rate increase",".",J50)</f>
        <v>21565110</v>
      </c>
      <c r="K363" s="1285">
        <f>IF('WS1-Application'!$D$33="minimum rate increase",".",K50)</f>
        <v>22386676.200000003</v>
      </c>
      <c r="L363" s="1285">
        <f>IF('WS1-Application'!$D$33="minimum rate increase",".",L50)</f>
        <v>22948417.105006032</v>
      </c>
      <c r="M363" s="1285">
        <f>IF('WS1-Application'!$D$33="minimum rate increase",".",M50)</f>
        <v>23496790.533408824</v>
      </c>
      <c r="N363" s="1285">
        <f>IF('WS1-Application'!$D$33="minimum rate increase",".",N50)</f>
        <v>24461901.801088896</v>
      </c>
      <c r="O363" s="1285">
        <f>IF('WS1-Application'!$D$33="minimum rate increase",".",O50)</f>
        <v>24956795.200431067</v>
      </c>
      <c r="P363" s="1285">
        <f>IF('WS1-Application'!$D$33="minimum rate increase",".",P50)</f>
        <v>25461361.104531229</v>
      </c>
      <c r="Q363" s="1285">
        <f>IF('WS1-Application'!$D$33="minimum rate increase",".",Q50)</f>
        <v>25975801.503253952</v>
      </c>
      <c r="R363" s="1285">
        <f>IF('WS1-Application'!$D$33="minimum rate increase",".",R50)</f>
        <v>26500314.199418083</v>
      </c>
      <c r="S363" s="1285">
        <f>IF('WS1-Application'!$D$33="minimum rate increase",".",S50)</f>
        <v>27035100.81562205</v>
      </c>
      <c r="T363" s="1285">
        <f>IF('WS1-Application'!$D$33="minimum rate increase",".",T50)</f>
        <v>27575802.831934493</v>
      </c>
      <c r="U363" s="1285">
        <f>IF('WS1-Application'!$D$33="minimum rate increase",".",SUM(K363:T363))</f>
        <v>250798961.2946946</v>
      </c>
      <c r="V363" s="112"/>
      <c r="W363" s="1299">
        <f t="shared" si="88"/>
        <v>6010692.831934493</v>
      </c>
      <c r="X363" s="1450">
        <f t="shared" si="89"/>
        <v>0.27872303141205834</v>
      </c>
      <c r="Y363" s="3"/>
      <c r="Z363" s="16"/>
      <c r="AA363" s="16"/>
      <c r="AB363" s="16"/>
      <c r="AC363" s="16"/>
      <c r="AD363" s="16"/>
      <c r="AE363" s="16"/>
      <c r="AF363" s="16"/>
      <c r="AG363" s="16"/>
      <c r="AH363" s="16"/>
      <c r="AI363" s="16"/>
      <c r="AJ363" s="16"/>
      <c r="AK363" s="16"/>
      <c r="AL363" s="16"/>
      <c r="AM363" s="16"/>
      <c r="AN363" s="16"/>
      <c r="AO363" s="16"/>
      <c r="AP363" s="16"/>
      <c r="AQ363" s="638"/>
      <c r="AR363" s="638"/>
      <c r="AS363" s="638"/>
      <c r="AT363" s="638"/>
      <c r="AU363" s="638"/>
      <c r="AV363" s="638"/>
      <c r="AW363" s="638"/>
      <c r="AX363" s="638"/>
      <c r="AY363" s="638"/>
      <c r="AZ363" s="638"/>
      <c r="BA363" s="638"/>
    </row>
    <row r="364" spans="1:53" ht="11.65" customHeight="1" outlineLevel="1" x14ac:dyDescent="0.2">
      <c r="A364" s="622"/>
      <c r="B364" s="721" t="str">
        <f>B$51</f>
        <v>Other Expenses</v>
      </c>
      <c r="C364" s="109"/>
      <c r="D364" s="491" t="s">
        <v>116</v>
      </c>
      <c r="E364" s="109"/>
      <c r="F364" s="109"/>
      <c r="G364" s="109"/>
      <c r="H364" s="109"/>
      <c r="I364" s="109"/>
      <c r="J364" s="1285">
        <f>IF('WS1-Application'!$D$33="minimum rate increase",".",J51)</f>
        <v>3538986</v>
      </c>
      <c r="K364" s="1285">
        <f>IF('WS1-Application'!$D$33="minimum rate increase",".",K51)</f>
        <v>3533475.5100000002</v>
      </c>
      <c r="L364" s="1285">
        <f>IF('WS1-Application'!$D$33="minimum rate increase",".",L51)</f>
        <v>3639479.79</v>
      </c>
      <c r="M364" s="1285">
        <f>IF('WS1-Application'!$D$33="minimum rate increase",".",M51)</f>
        <v>3748664.18</v>
      </c>
      <c r="N364" s="1285">
        <f>IF('WS1-Application'!$D$33="minimum rate increase",".",N51)</f>
        <v>3861124.1</v>
      </c>
      <c r="O364" s="1285">
        <f>IF('WS1-Application'!$D$33="minimum rate increase",".",O51)</f>
        <v>3976957.8200000003</v>
      </c>
      <c r="P364" s="1285">
        <f>IF('WS1-Application'!$D$33="minimum rate increase",".",P51)</f>
        <v>4096266.55</v>
      </c>
      <c r="Q364" s="1285">
        <f>IF('WS1-Application'!$D$33="minimum rate increase",".",Q51)</f>
        <v>4219154.5600000005</v>
      </c>
      <c r="R364" s="1285">
        <f>IF('WS1-Application'!$D$33="minimum rate increase",".",R51)</f>
        <v>4345729.21</v>
      </c>
      <c r="S364" s="1285">
        <f>IF('WS1-Application'!$D$33="minimum rate increase",".",S51)</f>
        <v>4476101.08</v>
      </c>
      <c r="T364" s="1285">
        <f>IF('WS1-Application'!$D$33="minimum rate increase",".",T51)</f>
        <v>4610384.1124</v>
      </c>
      <c r="U364" s="1285">
        <f>IF('WS1-Application'!$D$33="minimum rate increase",".",SUM(K364:T364))</f>
        <v>40507336.9124</v>
      </c>
      <c r="V364" s="112"/>
      <c r="W364" s="1299">
        <f t="shared" si="88"/>
        <v>1071398.1124</v>
      </c>
      <c r="X364" s="1450">
        <f t="shared" si="89"/>
        <v>0.30274155150656146</v>
      </c>
      <c r="Y364" s="3"/>
      <c r="Z364" s="16"/>
      <c r="AA364" s="16"/>
      <c r="AB364" s="16"/>
      <c r="AC364" s="16"/>
      <c r="AD364" s="16"/>
      <c r="AE364" s="16"/>
      <c r="AF364" s="16"/>
      <c r="AG364" s="16"/>
      <c r="AH364" s="16"/>
      <c r="AI364" s="16"/>
      <c r="AJ364" s="16"/>
      <c r="AK364" s="16"/>
      <c r="AL364" s="16"/>
      <c r="AM364" s="16"/>
      <c r="AN364" s="16"/>
      <c r="AO364" s="16"/>
      <c r="AP364" s="16"/>
      <c r="AQ364" s="638"/>
      <c r="AR364" s="638"/>
      <c r="AS364" s="638"/>
      <c r="AT364" s="638"/>
      <c r="AU364" s="638"/>
      <c r="AV364" s="638"/>
      <c r="AW364" s="638"/>
      <c r="AX364" s="638"/>
      <c r="AY364" s="638"/>
      <c r="AZ364" s="638"/>
      <c r="BA364" s="638"/>
    </row>
    <row r="365" spans="1:53" ht="11.65" customHeight="1" outlineLevel="1" x14ac:dyDescent="0.2">
      <c r="A365" s="622"/>
      <c r="B365" s="1263" t="str">
        <f>B$52</f>
        <v>&lt;include additional items here&gt;</v>
      </c>
      <c r="C365" s="109"/>
      <c r="D365" s="491" t="s">
        <v>116</v>
      </c>
      <c r="E365" s="109"/>
      <c r="F365" s="109"/>
      <c r="G365" s="109"/>
      <c r="H365" s="109"/>
      <c r="I365" s="109"/>
      <c r="J365" s="1285">
        <f>IF('WS1-Application'!$D$33="minimum rate increase",".",J52)</f>
        <v>0</v>
      </c>
      <c r="K365" s="1285">
        <f>IF('WS1-Application'!$D$33="minimum rate increase",".",K52)</f>
        <v>0</v>
      </c>
      <c r="L365" s="1285">
        <f>IF('WS1-Application'!$D$33="minimum rate increase",".",L52)</f>
        <v>0</v>
      </c>
      <c r="M365" s="1285">
        <f>IF('WS1-Application'!$D$33="minimum rate increase",".",M52)</f>
        <v>0</v>
      </c>
      <c r="N365" s="1285">
        <f>IF('WS1-Application'!$D$33="minimum rate increase",".",N52)</f>
        <v>0</v>
      </c>
      <c r="O365" s="1285">
        <f>IF('WS1-Application'!$D$33="minimum rate increase",".",O52)</f>
        <v>0</v>
      </c>
      <c r="P365" s="1285">
        <f>IF('WS1-Application'!$D$33="minimum rate increase",".",P52)</f>
        <v>0</v>
      </c>
      <c r="Q365" s="1285">
        <f>IF('WS1-Application'!$D$33="minimum rate increase",".",Q52)</f>
        <v>0</v>
      </c>
      <c r="R365" s="1285">
        <f>IF('WS1-Application'!$D$33="minimum rate increase",".",R52)</f>
        <v>0</v>
      </c>
      <c r="S365" s="1285">
        <f>IF('WS1-Application'!$D$33="minimum rate increase",".",S52)</f>
        <v>0</v>
      </c>
      <c r="T365" s="1285">
        <f>IF('WS1-Application'!$D$33="minimum rate increase",".",T52)</f>
        <v>0</v>
      </c>
      <c r="U365" s="1285">
        <f>IF('WS1-Application'!$D$33="minimum rate increase",".",SUM(K365:T365))</f>
        <v>0</v>
      </c>
      <c r="V365" s="112"/>
      <c r="W365" s="1299">
        <f t="shared" si="88"/>
        <v>0</v>
      </c>
      <c r="X365" s="1450">
        <f t="shared" si="89"/>
        <v>0</v>
      </c>
      <c r="Y365" s="3"/>
      <c r="Z365" s="16"/>
      <c r="AA365" s="16"/>
      <c r="AB365" s="16"/>
      <c r="AC365" s="16"/>
      <c r="AD365" s="16"/>
      <c r="AE365" s="16"/>
      <c r="AF365" s="16"/>
      <c r="AG365" s="16"/>
      <c r="AH365" s="16"/>
      <c r="AI365" s="16"/>
      <c r="AJ365" s="16"/>
      <c r="AK365" s="16"/>
      <c r="AL365" s="16"/>
      <c r="AM365" s="16"/>
      <c r="AN365" s="16"/>
      <c r="AO365" s="16"/>
      <c r="AP365" s="16"/>
      <c r="AQ365" s="638"/>
      <c r="AR365" s="638"/>
      <c r="AS365" s="638"/>
      <c r="AT365" s="638"/>
      <c r="AU365" s="638"/>
      <c r="AV365" s="638"/>
      <c r="AW365" s="638"/>
      <c r="AX365" s="638"/>
      <c r="AY365" s="638"/>
      <c r="AZ365" s="638"/>
      <c r="BA365" s="638"/>
    </row>
    <row r="366" spans="1:53" ht="11.65" customHeight="1" outlineLevel="1" x14ac:dyDescent="0.2">
      <c r="A366" s="622"/>
      <c r="B366" s="1326" t="str">
        <f>B$53</f>
        <v>Other Expenses (items excluded from ratio analyis)</v>
      </c>
      <c r="C366" s="109"/>
      <c r="D366" s="109"/>
      <c r="E366" s="109"/>
      <c r="F366" s="109"/>
      <c r="G366" s="109"/>
      <c r="H366" s="109"/>
      <c r="I366" s="109"/>
      <c r="J366" s="1285"/>
      <c r="K366" s="1285"/>
      <c r="L366" s="1285"/>
      <c r="M366" s="1199"/>
      <c r="N366" s="1285"/>
      <c r="O366" s="1285"/>
      <c r="P366" s="1285"/>
      <c r="Q366" s="1285"/>
      <c r="R366" s="1285"/>
      <c r="S366" s="1285"/>
      <c r="T366" s="1285"/>
      <c r="U366" s="1285"/>
      <c r="V366" s="112"/>
      <c r="W366" s="1299"/>
      <c r="X366" s="1450">
        <f t="shared" si="89"/>
        <v>0</v>
      </c>
      <c r="Y366" s="3"/>
      <c r="Z366" s="16"/>
      <c r="AA366" s="16"/>
      <c r="AB366" s="16"/>
      <c r="AC366" s="16"/>
      <c r="AD366" s="16"/>
      <c r="AE366" s="16"/>
      <c r="AF366" s="16"/>
      <c r="AG366" s="16"/>
      <c r="AH366" s="16"/>
      <c r="AI366" s="16"/>
      <c r="AJ366" s="16"/>
      <c r="AK366" s="16"/>
      <c r="AL366" s="16"/>
      <c r="AM366" s="16"/>
      <c r="AN366" s="16"/>
      <c r="AO366" s="16"/>
      <c r="AP366" s="16"/>
      <c r="AQ366" s="638"/>
      <c r="AR366" s="638"/>
      <c r="AS366" s="638"/>
      <c r="AT366" s="638"/>
      <c r="AU366" s="638"/>
      <c r="AV366" s="638"/>
      <c r="AW366" s="638"/>
      <c r="AX366" s="638"/>
      <c r="AY366" s="638"/>
      <c r="AZ366" s="638"/>
      <c r="BA366" s="638"/>
    </row>
    <row r="367" spans="1:53" ht="11.65" customHeight="1" outlineLevel="1" x14ac:dyDescent="0.2">
      <c r="A367" s="622"/>
      <c r="B367" s="1263" t="str">
        <f>B$54</f>
        <v>Net loss on joint ventures</v>
      </c>
      <c r="C367" s="109"/>
      <c r="D367" s="491" t="s">
        <v>116</v>
      </c>
      <c r="E367" s="109"/>
      <c r="F367" s="109"/>
      <c r="G367" s="109"/>
      <c r="H367" s="109"/>
      <c r="I367" s="109"/>
      <c r="J367" s="1285">
        <f>IF('WS1-Application'!$D$33="minimum rate increase",".",J54)</f>
        <v>0</v>
      </c>
      <c r="K367" s="1285">
        <f>IF('WS1-Application'!$D$33="minimum rate increase",".",K54)</f>
        <v>0</v>
      </c>
      <c r="L367" s="1285">
        <f>IF('WS1-Application'!$D$33="minimum rate increase",".",L54)</f>
        <v>0</v>
      </c>
      <c r="M367" s="1199">
        <f>IF('WS1-Application'!$D$33="minimum rate increase",".",M54)</f>
        <v>0</v>
      </c>
      <c r="N367" s="1285">
        <f>IF('WS1-Application'!$D$33="minimum rate increase",".",N54)</f>
        <v>0</v>
      </c>
      <c r="O367" s="1285">
        <f>IF('WS1-Application'!$D$33="minimum rate increase",".",O54)</f>
        <v>0</v>
      </c>
      <c r="P367" s="1285">
        <f>IF('WS1-Application'!$D$33="minimum rate increase",".",P54)</f>
        <v>0</v>
      </c>
      <c r="Q367" s="1285">
        <f>IF('WS1-Application'!$D$33="minimum rate increase",".",Q54)</f>
        <v>0</v>
      </c>
      <c r="R367" s="1285">
        <f>IF('WS1-Application'!$D$33="minimum rate increase",".",R54)</f>
        <v>0</v>
      </c>
      <c r="S367" s="1285">
        <f>IF('WS1-Application'!$D$33="minimum rate increase",".",S54)</f>
        <v>0</v>
      </c>
      <c r="T367" s="1285">
        <f>IF('WS1-Application'!$D$33="minimum rate increase",".",T54)</f>
        <v>0</v>
      </c>
      <c r="U367" s="1285">
        <f>IF('WS1-Application'!$D$33="minimum rate increase",".",SUM(K367:T367))</f>
        <v>0</v>
      </c>
      <c r="V367" s="112"/>
      <c r="W367" s="1299">
        <f>IFERROR(T367-J367,".")</f>
        <v>0</v>
      </c>
      <c r="X367" s="1450">
        <f t="shared" si="89"/>
        <v>0</v>
      </c>
      <c r="Y367" s="3"/>
      <c r="Z367" s="16"/>
      <c r="AA367" s="16"/>
      <c r="AB367" s="16"/>
      <c r="AC367" s="16"/>
      <c r="AD367" s="16"/>
      <c r="AE367" s="16"/>
      <c r="AF367" s="16"/>
      <c r="AG367" s="16"/>
      <c r="AH367" s="16"/>
      <c r="AI367" s="16"/>
      <c r="AJ367" s="16"/>
      <c r="AK367" s="16"/>
      <c r="AL367" s="16"/>
      <c r="AM367" s="16"/>
      <c r="AN367" s="16"/>
      <c r="AO367" s="16"/>
      <c r="AP367" s="16"/>
      <c r="AQ367" s="638"/>
      <c r="AR367" s="638"/>
      <c r="AS367" s="638"/>
      <c r="AT367" s="638"/>
      <c r="AU367" s="638"/>
      <c r="AV367" s="638"/>
      <c r="AW367" s="638"/>
      <c r="AX367" s="638"/>
      <c r="AY367" s="638"/>
      <c r="AZ367" s="638"/>
      <c r="BA367" s="638"/>
    </row>
    <row r="368" spans="1:53" ht="11.65" customHeight="1" outlineLevel="1" x14ac:dyDescent="0.2">
      <c r="A368" s="622"/>
      <c r="B368" s="1263" t="str">
        <f>B$55</f>
        <v>Fair value losses</v>
      </c>
      <c r="C368" s="109"/>
      <c r="D368" s="491" t="s">
        <v>116</v>
      </c>
      <c r="E368" s="109"/>
      <c r="F368" s="109"/>
      <c r="G368" s="109"/>
      <c r="H368" s="109"/>
      <c r="I368" s="109"/>
      <c r="J368" s="1285">
        <f>IF('WS1-Application'!$D$33="minimum rate increase",".",J55)</f>
        <v>50000</v>
      </c>
      <c r="K368" s="1285">
        <f>IF('WS1-Application'!$D$33="minimum rate increase",".",K55)</f>
        <v>50000</v>
      </c>
      <c r="L368" s="1285">
        <f>IF('WS1-Application'!$D$33="minimum rate increase",".",L55)</f>
        <v>50000</v>
      </c>
      <c r="M368" s="1199">
        <f>IF('WS1-Application'!$D$33="minimum rate increase",".",M55)</f>
        <v>50000</v>
      </c>
      <c r="N368" s="1285">
        <f>IF('WS1-Application'!$D$33="minimum rate increase",".",N55)</f>
        <v>50000</v>
      </c>
      <c r="O368" s="1285">
        <f>IF('WS1-Application'!$D$33="minimum rate increase",".",O55)</f>
        <v>50000</v>
      </c>
      <c r="P368" s="1285">
        <f>IF('WS1-Application'!$D$33="minimum rate increase",".",P55)</f>
        <v>50000</v>
      </c>
      <c r="Q368" s="1285">
        <f>IF('WS1-Application'!$D$33="minimum rate increase",".",Q55)</f>
        <v>50000</v>
      </c>
      <c r="R368" s="1285">
        <f>IF('WS1-Application'!$D$33="minimum rate increase",".",R55)</f>
        <v>50000</v>
      </c>
      <c r="S368" s="1285">
        <f>IF('WS1-Application'!$D$33="minimum rate increase",".",S55)</f>
        <v>50000</v>
      </c>
      <c r="T368" s="1285">
        <f>IF('WS1-Application'!$D$33="minimum rate increase",".",T55)</f>
        <v>50000</v>
      </c>
      <c r="U368" s="1285">
        <f>IF('WS1-Application'!$D$33="minimum rate increase",".",SUM(K368:T368))</f>
        <v>500000</v>
      </c>
      <c r="V368" s="112"/>
      <c r="W368" s="1299">
        <f>IFERROR(T368-J368,".")</f>
        <v>0</v>
      </c>
      <c r="X368" s="1450">
        <f t="shared" si="89"/>
        <v>0</v>
      </c>
      <c r="Y368" s="3"/>
      <c r="Z368" s="16"/>
      <c r="AA368" s="16"/>
      <c r="AB368" s="16"/>
      <c r="AC368" s="16"/>
      <c r="AD368" s="16"/>
      <c r="AE368" s="16"/>
      <c r="AF368" s="16"/>
      <c r="AG368" s="16"/>
      <c r="AH368" s="16"/>
      <c r="AI368" s="16"/>
      <c r="AJ368" s="16"/>
      <c r="AK368" s="16"/>
      <c r="AL368" s="16"/>
      <c r="AM368" s="16"/>
      <c r="AN368" s="16"/>
      <c r="AO368" s="16"/>
      <c r="AP368" s="16"/>
      <c r="AQ368" s="638"/>
      <c r="AR368" s="638"/>
      <c r="AS368" s="638"/>
      <c r="AT368" s="638"/>
      <c r="AU368" s="638"/>
      <c r="AV368" s="638"/>
      <c r="AW368" s="638"/>
      <c r="AX368" s="638"/>
      <c r="AY368" s="638"/>
      <c r="AZ368" s="638"/>
      <c r="BA368" s="638"/>
    </row>
    <row r="369" spans="1:53" ht="11.65" customHeight="1" outlineLevel="1" x14ac:dyDescent="0.2">
      <c r="A369" s="622"/>
      <c r="B369" s="721" t="str">
        <f>B$56</f>
        <v>Net loss from disposal of assets</v>
      </c>
      <c r="C369" s="109"/>
      <c r="D369" s="491" t="s">
        <v>116</v>
      </c>
      <c r="E369" s="109"/>
      <c r="F369" s="109"/>
      <c r="G369" s="109"/>
      <c r="H369" s="109"/>
      <c r="I369" s="109"/>
      <c r="J369" s="1285">
        <f>IF('WS1-Application'!$D$33="minimum rate increase",".",J56)</f>
        <v>0</v>
      </c>
      <c r="K369" s="1285">
        <f>IF('WS1-Application'!$D$33="minimum rate increase",".",K56)</f>
        <v>0</v>
      </c>
      <c r="L369" s="1285">
        <f>IF('WS1-Application'!$D$33="minimum rate increase",".",L56)</f>
        <v>0</v>
      </c>
      <c r="M369" s="1199">
        <f>IF('WS1-Application'!$D$33="minimum rate increase",".",M56)</f>
        <v>0</v>
      </c>
      <c r="N369" s="1285">
        <f>IF('WS1-Application'!$D$33="minimum rate increase",".",N56)</f>
        <v>0</v>
      </c>
      <c r="O369" s="1285">
        <f>IF('WS1-Application'!$D$33="minimum rate increase",".",O56)</f>
        <v>0</v>
      </c>
      <c r="P369" s="1285">
        <f>IF('WS1-Application'!$D$33="minimum rate increase",".",P56)</f>
        <v>0</v>
      </c>
      <c r="Q369" s="1285">
        <f>IF('WS1-Application'!$D$33="minimum rate increase",".",Q56)</f>
        <v>0</v>
      </c>
      <c r="R369" s="1285">
        <f>IF('WS1-Application'!$D$33="minimum rate increase",".",R56)</f>
        <v>0</v>
      </c>
      <c r="S369" s="1285">
        <f>IF('WS1-Application'!$D$33="minimum rate increase",".",S56)</f>
        <v>0</v>
      </c>
      <c r="T369" s="1285">
        <f>IF('WS1-Application'!$D$33="minimum rate increase",".",T56)</f>
        <v>0</v>
      </c>
      <c r="U369" s="1285">
        <f>IF('WS1-Application'!$D$33="minimum rate increase",".",SUM(K369:T369))</f>
        <v>0</v>
      </c>
      <c r="V369" s="112"/>
      <c r="W369" s="1299">
        <f>IFERROR(T369-J369,".")</f>
        <v>0</v>
      </c>
      <c r="X369" s="1450">
        <f t="shared" si="89"/>
        <v>0</v>
      </c>
      <c r="Y369" s="3"/>
      <c r="Z369" s="16"/>
      <c r="AA369" s="16"/>
      <c r="AB369" s="16"/>
      <c r="AC369" s="16"/>
      <c r="AD369" s="16"/>
      <c r="AE369" s="16"/>
      <c r="AF369" s="16"/>
      <c r="AG369" s="16"/>
      <c r="AH369" s="16"/>
      <c r="AI369" s="16"/>
      <c r="AJ369" s="16"/>
      <c r="AK369" s="16"/>
      <c r="AL369" s="16"/>
      <c r="AM369" s="16"/>
      <c r="AN369" s="16"/>
      <c r="AO369" s="16"/>
      <c r="AP369" s="16"/>
      <c r="AQ369" s="638"/>
      <c r="AR369" s="1453"/>
      <c r="AS369" s="638"/>
      <c r="AT369" s="638"/>
      <c r="AU369" s="638"/>
      <c r="AV369" s="638"/>
      <c r="AW369" s="638"/>
      <c r="AX369" s="638"/>
      <c r="AY369" s="638"/>
      <c r="AZ369" s="638"/>
      <c r="BA369" s="638"/>
    </row>
    <row r="370" spans="1:53" ht="11.65" customHeight="1" outlineLevel="1" x14ac:dyDescent="0.2">
      <c r="A370" s="622"/>
      <c r="B370" s="1263"/>
      <c r="C370" s="1"/>
      <c r="D370" s="1"/>
      <c r="E370" s="1"/>
      <c r="F370" s="1"/>
      <c r="G370" s="1"/>
      <c r="H370" s="1"/>
      <c r="I370" s="1"/>
      <c r="J370" s="1197"/>
      <c r="K370" s="1197"/>
      <c r="L370" s="1197"/>
      <c r="M370" s="1283"/>
      <c r="N370" s="1197"/>
      <c r="O370" s="1197"/>
      <c r="P370" s="1197"/>
      <c r="Q370" s="1197"/>
      <c r="R370" s="1197"/>
      <c r="S370" s="1197"/>
      <c r="T370" s="1197"/>
      <c r="U370" s="1197"/>
      <c r="V370" s="151"/>
      <c r="W370" s="1298"/>
      <c r="X370" s="1450">
        <f t="shared" si="89"/>
        <v>0</v>
      </c>
      <c r="Y370" s="3"/>
      <c r="Z370" s="16"/>
      <c r="AA370" s="16"/>
      <c r="AB370" s="16"/>
      <c r="AC370" s="16"/>
      <c r="AD370" s="16"/>
      <c r="AE370" s="16"/>
      <c r="AF370" s="16"/>
      <c r="AG370" s="16"/>
      <c r="AH370" s="16"/>
      <c r="AI370" s="16"/>
      <c r="AJ370" s="16"/>
      <c r="AK370" s="16"/>
      <c r="AL370" s="16"/>
      <c r="AM370" s="16"/>
      <c r="AN370" s="16"/>
      <c r="AO370" s="16"/>
      <c r="AP370" s="16"/>
      <c r="AQ370" s="638"/>
      <c r="AR370" s="638"/>
      <c r="AS370" s="638"/>
      <c r="AT370" s="638"/>
      <c r="AU370" s="638"/>
      <c r="AV370" s="638"/>
      <c r="AW370" s="638"/>
      <c r="AX370" s="638"/>
      <c r="AY370" s="638"/>
      <c r="AZ370" s="638"/>
      <c r="BA370" s="638"/>
    </row>
    <row r="371" spans="1:53" ht="11.65" customHeight="1" outlineLevel="1" x14ac:dyDescent="0.2">
      <c r="A371" s="622"/>
      <c r="B371" s="1223" t="str">
        <f>B$58</f>
        <v>Total expenses continuing operations</v>
      </c>
      <c r="C371" s="109"/>
      <c r="D371" s="491" t="s">
        <v>116</v>
      </c>
      <c r="E371" s="109"/>
      <c r="F371" s="109"/>
      <c r="G371" s="109"/>
      <c r="H371" s="109"/>
      <c r="I371" s="109"/>
      <c r="J371" s="1286">
        <f>IF('WS1-Application'!$D$33="minimum rate increase",".",SUM(J359:J369))</f>
        <v>132772974.48999998</v>
      </c>
      <c r="K371" s="1286">
        <f>IF('WS1-Application'!$D$33="minimum rate increase",".",SUM(K359:K369))</f>
        <v>135587088.20896569</v>
      </c>
      <c r="L371" s="1286">
        <f>IF('WS1-Application'!$D$33="minimum rate increase",".",SUM(L359:L369))</f>
        <v>139013956.46764156</v>
      </c>
      <c r="M371" s="1286">
        <f>IF('WS1-Application'!$D$33="minimum rate increase",".",SUM(M359:M369))</f>
        <v>142626339.74462843</v>
      </c>
      <c r="N371" s="1286">
        <f>IF('WS1-Application'!$D$33="minimum rate increase",".",SUM(N359:N369))</f>
        <v>147117795.82575655</v>
      </c>
      <c r="O371" s="1286">
        <f>IF('WS1-Application'!$D$33="minimum rate increase",".",SUM(O359:O369))</f>
        <v>153015103.07772899</v>
      </c>
      <c r="P371" s="1286">
        <f>IF('WS1-Application'!$D$33="minimum rate increase",".",SUM(P359:P369))</f>
        <v>156728385.45754886</v>
      </c>
      <c r="Q371" s="1286">
        <f>IF('WS1-Application'!$D$33="minimum rate increase",".",SUM(Q359:Q369))</f>
        <v>160834143.68030107</v>
      </c>
      <c r="R371" s="1286">
        <f>IF('WS1-Application'!$D$33="minimum rate increase",".",SUM(R359:R369))</f>
        <v>165305363.45205012</v>
      </c>
      <c r="S371" s="1286">
        <f>IF('WS1-Application'!$D$33="minimum rate increase",".",SUM(S359:S369))</f>
        <v>170490863.3135663</v>
      </c>
      <c r="T371" s="1286">
        <f>IF('WS1-Application'!$D$33="minimum rate increase",".",SUM(T359:T369))</f>
        <v>175286363.84481701</v>
      </c>
      <c r="U371" s="1285">
        <f>IF('WS1-Application'!$D$33="minimum rate increase",".",SUM(K371:T371))</f>
        <v>1546005403.0730045</v>
      </c>
      <c r="V371" s="118"/>
      <c r="W371" s="1300">
        <f>IFERROR(T371-J371,".")</f>
        <v>42513389.354817033</v>
      </c>
      <c r="X371" s="1450">
        <f t="shared" si="89"/>
        <v>0.32019610555624783</v>
      </c>
      <c r="Y371" s="3"/>
      <c r="Z371" s="16"/>
      <c r="AA371" s="16"/>
      <c r="AB371" s="16"/>
      <c r="AC371" s="16"/>
      <c r="AD371" s="16"/>
      <c r="AE371" s="16"/>
      <c r="AF371" s="16"/>
      <c r="AG371" s="16"/>
      <c r="AH371" s="16"/>
      <c r="AI371" s="16"/>
      <c r="AJ371" s="16"/>
      <c r="AK371" s="16"/>
      <c r="AL371" s="16"/>
      <c r="AM371" s="16"/>
      <c r="AN371" s="16"/>
      <c r="AO371" s="16"/>
      <c r="AP371" s="16"/>
      <c r="AQ371" s="638"/>
      <c r="AR371" s="1452"/>
      <c r="AS371" s="638"/>
      <c r="AT371" s="638"/>
      <c r="AU371" s="638"/>
      <c r="AV371" s="638"/>
      <c r="AW371" s="638"/>
      <c r="AX371" s="638"/>
      <c r="AY371" s="638"/>
      <c r="AZ371" s="638"/>
      <c r="BA371" s="638"/>
    </row>
    <row r="372" spans="1:53" ht="11.65" customHeight="1" outlineLevel="1" x14ac:dyDescent="0.2">
      <c r="A372" s="622"/>
      <c r="B372" s="1223"/>
      <c r="C372" s="109"/>
      <c r="D372" s="109"/>
      <c r="E372" s="109"/>
      <c r="F372" s="109"/>
      <c r="G372" s="109"/>
      <c r="H372" s="109"/>
      <c r="I372" s="109"/>
      <c r="J372" s="1292"/>
      <c r="K372" s="1292"/>
      <c r="L372" s="1292"/>
      <c r="M372" s="1292"/>
      <c r="N372" s="1292"/>
      <c r="O372" s="1292"/>
      <c r="P372" s="1292"/>
      <c r="Q372" s="1292"/>
      <c r="R372" s="1292"/>
      <c r="S372" s="1292"/>
      <c r="T372" s="1292"/>
      <c r="U372" s="1292"/>
      <c r="V372" s="118"/>
      <c r="W372" s="1300"/>
      <c r="X372" s="1450">
        <f t="shared" si="89"/>
        <v>0</v>
      </c>
      <c r="Y372" s="16"/>
      <c r="Z372" s="16"/>
      <c r="AA372" s="16"/>
      <c r="AB372" s="16"/>
      <c r="AC372" s="16"/>
      <c r="AD372" s="16"/>
      <c r="AE372" s="16"/>
      <c r="AF372" s="16"/>
      <c r="AG372" s="16"/>
      <c r="AH372" s="16"/>
      <c r="AI372" s="16"/>
      <c r="AJ372" s="16"/>
      <c r="AK372" s="16"/>
      <c r="AL372" s="16"/>
      <c r="AM372" s="16"/>
      <c r="AN372" s="16"/>
      <c r="AO372" s="16"/>
      <c r="AP372" s="16"/>
      <c r="AQ372" s="638"/>
      <c r="AR372" s="638"/>
      <c r="AS372" s="638"/>
      <c r="AT372" s="638"/>
      <c r="AU372" s="638"/>
      <c r="AV372" s="638"/>
      <c r="AW372" s="638"/>
      <c r="AX372" s="638"/>
      <c r="AY372" s="638"/>
      <c r="AZ372" s="638"/>
      <c r="BA372" s="638"/>
    </row>
    <row r="373" spans="1:53" ht="23.25" customHeight="1" outlineLevel="1" x14ac:dyDescent="0.2">
      <c r="A373" s="622"/>
      <c r="B373" s="1325" t="str">
        <f>$B$60</f>
        <v>Total expenses continuing operations excluding net loss from asset disposals, joint ventures and fair value losses</v>
      </c>
      <c r="C373" s="109"/>
      <c r="D373" s="491" t="s">
        <v>116</v>
      </c>
      <c r="E373" s="109"/>
      <c r="F373" s="109"/>
      <c r="G373" s="109"/>
      <c r="H373" s="109"/>
      <c r="I373" s="109"/>
      <c r="J373" s="1285">
        <f>IF('WS1-Application'!$D$33="minimum rate increase",".",J371-SUM(J367:J369))</f>
        <v>132722974.48999998</v>
      </c>
      <c r="K373" s="1285">
        <f>IF('WS1-Application'!$D$33="minimum rate increase",".",K371-SUM(K367:K369))</f>
        <v>135537088.20896569</v>
      </c>
      <c r="L373" s="1285">
        <f>IF('WS1-Application'!$D$33="minimum rate increase",".",L371-SUM(L367:L369))</f>
        <v>138963956.46764156</v>
      </c>
      <c r="M373" s="1285">
        <f>IF('WS1-Application'!$D$33="minimum rate increase",".",M371-SUM(M367:M369))</f>
        <v>142576339.74462843</v>
      </c>
      <c r="N373" s="1285">
        <f>IF('WS1-Application'!$D$33="minimum rate increase",".",N371-SUM(N367:N369))</f>
        <v>147067795.82575655</v>
      </c>
      <c r="O373" s="1285">
        <f>IF('WS1-Application'!$D$33="minimum rate increase",".",O371-SUM(O367:O369))</f>
        <v>152965103.07772899</v>
      </c>
      <c r="P373" s="1285">
        <f>IF('WS1-Application'!$D$33="minimum rate increase",".",P371-SUM(P367:P369))</f>
        <v>156678385.45754886</v>
      </c>
      <c r="Q373" s="1285">
        <f>IF('WS1-Application'!$D$33="minimum rate increase",".",Q371-SUM(Q367:Q369))</f>
        <v>160784143.68030107</v>
      </c>
      <c r="R373" s="1285">
        <f>IF('WS1-Application'!$D$33="minimum rate increase",".",R371-SUM(R367:R369))</f>
        <v>165255363.45205012</v>
      </c>
      <c r="S373" s="1285">
        <f>IF('WS1-Application'!$D$33="minimum rate increase",".",S371-SUM(S367:S369))</f>
        <v>170440863.3135663</v>
      </c>
      <c r="T373" s="1285">
        <f>IF('WS1-Application'!$D$33="minimum rate increase",".",T371-SUM(T367:T369))</f>
        <v>175236363.84481701</v>
      </c>
      <c r="U373" s="1285">
        <f>IF('WS1-Application'!$D$33="minimum rate increase",".",SUM(K373:T373))</f>
        <v>1545505403.0730045</v>
      </c>
      <c r="V373" s="112"/>
      <c r="W373" s="1299">
        <f>IFERROR(T373-J373,".")</f>
        <v>42513389.354817033</v>
      </c>
      <c r="X373" s="1450">
        <f t="shared" si="89"/>
        <v>0.32031673128317512</v>
      </c>
      <c r="Y373" s="16"/>
      <c r="Z373" s="16"/>
      <c r="AA373" s="16"/>
      <c r="AB373" s="16"/>
      <c r="AC373" s="16"/>
      <c r="AD373" s="16"/>
      <c r="AE373" s="16"/>
      <c r="AF373" s="16"/>
      <c r="AG373" s="16"/>
      <c r="AH373" s="16"/>
      <c r="AI373" s="16"/>
      <c r="AJ373" s="16"/>
      <c r="AK373" s="16"/>
      <c r="AL373" s="16"/>
      <c r="AM373" s="16"/>
      <c r="AN373" s="16"/>
      <c r="AO373" s="16"/>
      <c r="AP373" s="16"/>
      <c r="AQ373" s="638"/>
      <c r="AR373" s="638"/>
      <c r="AS373" s="638"/>
      <c r="AT373" s="638"/>
      <c r="AU373" s="638"/>
      <c r="AV373" s="638"/>
      <c r="AW373" s="638"/>
      <c r="AX373" s="638"/>
      <c r="AY373" s="638"/>
      <c r="AZ373" s="638"/>
      <c r="BA373" s="638"/>
    </row>
    <row r="374" spans="1:53" ht="11.65" customHeight="1" outlineLevel="2" x14ac:dyDescent="0.2">
      <c r="A374" s="622"/>
      <c r="B374" s="1263"/>
      <c r="C374" s="109"/>
      <c r="D374" s="109"/>
      <c r="E374" s="109"/>
      <c r="F374" s="109"/>
      <c r="G374" s="109"/>
      <c r="H374" s="109"/>
      <c r="I374" s="109"/>
      <c r="J374" s="1285"/>
      <c r="K374" s="1285"/>
      <c r="L374" s="1285"/>
      <c r="M374" s="1199"/>
      <c r="N374" s="1285"/>
      <c r="O374" s="1285"/>
      <c r="P374" s="1285"/>
      <c r="Q374" s="1285"/>
      <c r="R374" s="1285"/>
      <c r="S374" s="1285"/>
      <c r="T374" s="1285"/>
      <c r="U374" s="1285"/>
      <c r="V374" s="112"/>
      <c r="W374" s="1299"/>
      <c r="X374" s="1450"/>
      <c r="Y374" s="3"/>
      <c r="Z374" s="16"/>
      <c r="AA374" s="16"/>
      <c r="AB374" s="16"/>
      <c r="AC374" s="16"/>
      <c r="AD374" s="16"/>
      <c r="AE374" s="16"/>
      <c r="AF374" s="16"/>
      <c r="AG374" s="16"/>
      <c r="AH374" s="16"/>
      <c r="AI374" s="16"/>
      <c r="AJ374" s="16"/>
      <c r="AK374" s="16"/>
      <c r="AL374" s="16"/>
      <c r="AM374" s="16"/>
      <c r="AN374" s="16"/>
      <c r="AO374" s="16"/>
      <c r="AP374" s="16"/>
      <c r="AQ374" s="638"/>
      <c r="AR374" s="638"/>
      <c r="AS374" s="638"/>
      <c r="AT374" s="638"/>
      <c r="AU374" s="638"/>
      <c r="AV374" s="638"/>
      <c r="AW374" s="638"/>
      <c r="AX374" s="638"/>
      <c r="AY374" s="638"/>
      <c r="AZ374" s="638"/>
      <c r="BA374" s="638"/>
    </row>
    <row r="375" spans="1:53" customFormat="1" ht="11.65" customHeight="1" x14ac:dyDescent="0.2">
      <c r="A375" s="622"/>
      <c r="B375" s="1324" t="str">
        <f>B$62</f>
        <v>Operating results</v>
      </c>
      <c r="C375" s="265"/>
      <c r="D375" s="265"/>
      <c r="E375" s="265"/>
      <c r="F375" s="265"/>
      <c r="G375" s="265"/>
      <c r="H375" s="265"/>
      <c r="I375" s="265"/>
      <c r="J375" s="1288"/>
      <c r="K375" s="1288"/>
      <c r="L375" s="1288"/>
      <c r="M375" s="1294"/>
      <c r="N375" s="1289"/>
      <c r="O375" s="1289"/>
      <c r="P375" s="1289"/>
      <c r="Q375" s="1289"/>
      <c r="R375" s="1289"/>
      <c r="S375" s="1289"/>
      <c r="T375" s="1289"/>
      <c r="U375" s="1289"/>
      <c r="V375" s="18"/>
      <c r="W375" s="1301"/>
      <c r="X375" s="1451"/>
      <c r="Y375" s="3"/>
      <c r="Z375" s="16"/>
      <c r="AA375" s="16"/>
      <c r="AB375" s="16"/>
      <c r="AC375" s="16"/>
      <c r="AD375" s="16"/>
      <c r="AE375" s="16"/>
      <c r="AF375" s="16"/>
      <c r="AG375" s="16"/>
      <c r="AH375" s="16"/>
      <c r="AI375" s="16"/>
      <c r="AJ375" s="16"/>
      <c r="AK375" s="16"/>
      <c r="AL375" s="16"/>
      <c r="AM375" s="16"/>
      <c r="AN375" s="16"/>
      <c r="AO375" s="16"/>
      <c r="AP375" s="16"/>
      <c r="AQ375" s="638"/>
      <c r="AR375" s="638"/>
      <c r="AS375" s="638"/>
      <c r="AT375" s="638"/>
      <c r="AU375" s="638"/>
      <c r="AV375" s="638"/>
      <c r="AW375" s="638"/>
      <c r="AX375" s="638"/>
      <c r="AY375" s="638"/>
      <c r="AZ375" s="638"/>
      <c r="BA375" s="638"/>
    </row>
    <row r="376" spans="1:53" ht="11.65" customHeight="1" x14ac:dyDescent="0.2">
      <c r="A376" s="622"/>
      <c r="B376" s="581"/>
      <c r="C376" s="1"/>
      <c r="D376" s="1"/>
      <c r="E376" s="1"/>
      <c r="F376" s="1"/>
      <c r="G376" s="1"/>
      <c r="H376" s="1"/>
      <c r="I376" s="1"/>
      <c r="J376" s="1197"/>
      <c r="K376" s="1197"/>
      <c r="L376" s="1197"/>
      <c r="M376" s="1283"/>
      <c r="N376" s="1197"/>
      <c r="O376" s="1197"/>
      <c r="P376" s="1197"/>
      <c r="Q376" s="1197"/>
      <c r="R376" s="1197"/>
      <c r="S376" s="1197"/>
      <c r="T376" s="1197"/>
      <c r="U376" s="1197"/>
      <c r="V376" s="151"/>
      <c r="W376" s="1298"/>
      <c r="X376" s="1449"/>
      <c r="Y376" s="3"/>
      <c r="Z376" s="16"/>
      <c r="AA376" s="16"/>
      <c r="AB376" s="16"/>
      <c r="AC376" s="16"/>
      <c r="AD376" s="16"/>
      <c r="AE376" s="16"/>
      <c r="AF376" s="16"/>
      <c r="AG376" s="16"/>
      <c r="AH376" s="16"/>
      <c r="AI376" s="16"/>
      <c r="AJ376" s="16"/>
      <c r="AK376" s="16"/>
      <c r="AL376" s="16"/>
      <c r="AM376" s="16"/>
      <c r="AN376" s="16"/>
      <c r="AO376" s="16"/>
      <c r="AP376" s="16"/>
      <c r="AQ376" s="638"/>
      <c r="AR376" s="638"/>
      <c r="AS376" s="638"/>
      <c r="AT376" s="638"/>
      <c r="AU376" s="638"/>
      <c r="AV376" s="638"/>
      <c r="AW376" s="638"/>
      <c r="AX376" s="638"/>
      <c r="AY376" s="638"/>
      <c r="AZ376" s="638"/>
      <c r="BA376" s="638"/>
    </row>
    <row r="377" spans="1:53" ht="11.65" customHeight="1" x14ac:dyDescent="0.2">
      <c r="A377" s="622"/>
      <c r="B377" s="1263" t="str">
        <f>B$64</f>
        <v>Operating result from continuing operations</v>
      </c>
      <c r="C377" s="109"/>
      <c r="D377" s="491" t="s">
        <v>116</v>
      </c>
      <c r="E377" s="109"/>
      <c r="F377" s="109"/>
      <c r="G377" s="109"/>
      <c r="H377" s="109"/>
      <c r="I377" s="109"/>
      <c r="J377" s="1285">
        <f>IFERROR(J352-J371,".")</f>
        <v>7838612.7500000298</v>
      </c>
      <c r="K377" s="1285">
        <f t="shared" ref="K377:T377" si="90">IFERROR(K352-K371,".")</f>
        <v>5928032.591034323</v>
      </c>
      <c r="L377" s="1285">
        <f t="shared" si="90"/>
        <v>8537916.7023584247</v>
      </c>
      <c r="M377" s="1285">
        <f t="shared" si="90"/>
        <v>8860541.0453715622</v>
      </c>
      <c r="N377" s="1285">
        <f t="shared" si="90"/>
        <v>7434632.5542434454</v>
      </c>
      <c r="O377" s="1285">
        <f t="shared" si="90"/>
        <v>7081671.9322710037</v>
      </c>
      <c r="P377" s="1285">
        <f t="shared" si="90"/>
        <v>7778612.8324511349</v>
      </c>
      <c r="Q377" s="1285">
        <f t="shared" si="90"/>
        <v>5821387.7396989465</v>
      </c>
      <c r="R377" s="1285">
        <f t="shared" si="90"/>
        <v>6150730.5679498911</v>
      </c>
      <c r="S377" s="1285">
        <f t="shared" si="90"/>
        <v>5913965.5564336777</v>
      </c>
      <c r="T377" s="1285">
        <f t="shared" si="90"/>
        <v>6227600.3439830244</v>
      </c>
      <c r="U377" s="1285">
        <f>IF('WS1-Application'!$D$33="minimum rate increase",".",SUM(K377:T377))</f>
        <v>69735091.865795434</v>
      </c>
      <c r="V377" s="112"/>
      <c r="W377" s="1299">
        <f>IFERROR(T377-J377,".")</f>
        <v>-1611012.4060170054</v>
      </c>
      <c r="X377" s="1450">
        <f t="shared" ref="X377:X379" si="91">IFERROR(IF(J377=0,0,(W377/J377)),"na")</f>
        <v>-0.20552264251311553</v>
      </c>
      <c r="Y377" s="3"/>
      <c r="Z377" s="16"/>
      <c r="AA377" s="16"/>
      <c r="AB377" s="16"/>
      <c r="AC377" s="16"/>
      <c r="AD377" s="16"/>
      <c r="AE377" s="16"/>
      <c r="AF377" s="16"/>
      <c r="AG377" s="16"/>
      <c r="AH377" s="16"/>
      <c r="AI377" s="16"/>
      <c r="AJ377" s="16"/>
      <c r="AK377" s="16"/>
      <c r="AL377" s="16"/>
      <c r="AM377" s="16"/>
      <c r="AN377" s="16"/>
      <c r="AO377" s="16"/>
      <c r="AP377" s="16"/>
      <c r="AQ377" s="638"/>
      <c r="AR377" s="638"/>
      <c r="AS377" s="638"/>
      <c r="AT377" s="638"/>
      <c r="AU377" s="638"/>
      <c r="AV377" s="638"/>
      <c r="AW377" s="638"/>
      <c r="AX377" s="638"/>
      <c r="AY377" s="638"/>
      <c r="AZ377" s="638"/>
      <c r="BA377" s="638"/>
    </row>
    <row r="378" spans="1:53" ht="26.25" customHeight="1" x14ac:dyDescent="0.2">
      <c r="A378" s="622"/>
      <c r="B378" s="1267" t="str">
        <f>B$65</f>
        <v>Net operating result before capital grants &amp; contributions</v>
      </c>
      <c r="C378" s="109"/>
      <c r="D378" s="491" t="s">
        <v>116</v>
      </c>
      <c r="E378" s="109"/>
      <c r="F378" s="109"/>
      <c r="G378" s="109"/>
      <c r="H378" s="109"/>
      <c r="I378" s="109"/>
      <c r="J378" s="1292">
        <f>IFERROR(J354-J371,".")</f>
        <v>-3156301.2499999702</v>
      </c>
      <c r="K378" s="1292">
        <f t="shared" ref="K378:T378" si="92">IFERROR(K354-K371,".")</f>
        <v>-2364379.908965677</v>
      </c>
      <c r="L378" s="1292">
        <f t="shared" si="92"/>
        <v>-2273861.0276415646</v>
      </c>
      <c r="M378" s="1292">
        <f t="shared" si="92"/>
        <v>-2074145.9846284389</v>
      </c>
      <c r="N378" s="1292">
        <f t="shared" si="92"/>
        <v>-3626609.7257565558</v>
      </c>
      <c r="O378" s="1292">
        <f t="shared" si="92"/>
        <v>-4109885.0177289844</v>
      </c>
      <c r="P378" s="1292">
        <f t="shared" si="92"/>
        <v>-3597126.337548852</v>
      </c>
      <c r="Q378" s="1292">
        <f t="shared" si="92"/>
        <v>-3192517.1203010678</v>
      </c>
      <c r="R378" s="1292">
        <f t="shared" si="92"/>
        <v>-3005444.262050122</v>
      </c>
      <c r="S378" s="1292">
        <f t="shared" si="92"/>
        <v>-3384324.3435663283</v>
      </c>
      <c r="T378" s="1292">
        <f t="shared" si="92"/>
        <v>-3256655.3540169895</v>
      </c>
      <c r="U378" s="1285">
        <f>IF('WS1-Application'!$D$33="minimum rate increase",".",SUM(K378:T378))</f>
        <v>-30884949.08220458</v>
      </c>
      <c r="V378" s="112"/>
      <c r="W378" s="1299">
        <f>IFERROR(T378-J378,".")</f>
        <v>-100354.10401701927</v>
      </c>
      <c r="X378" s="1450">
        <f t="shared" si="91"/>
        <v>3.1794843415855895E-2</v>
      </c>
      <c r="Y378" s="16"/>
      <c r="Z378" s="16"/>
      <c r="AA378" s="16"/>
      <c r="AB378" s="16"/>
      <c r="AC378" s="16"/>
      <c r="AD378" s="16"/>
      <c r="AE378" s="16"/>
      <c r="AF378" s="16"/>
      <c r="AG378" s="16"/>
      <c r="AH378" s="16"/>
      <c r="AI378" s="16"/>
      <c r="AJ378" s="16"/>
      <c r="AK378" s="16"/>
      <c r="AL378" s="16"/>
      <c r="AM378" s="16"/>
      <c r="AN378" s="16"/>
      <c r="AO378" s="16"/>
      <c r="AP378" s="16"/>
      <c r="AQ378" s="638"/>
      <c r="AR378" s="638"/>
      <c r="AS378" s="638"/>
      <c r="AT378" s="638"/>
      <c r="AU378" s="638"/>
      <c r="AV378" s="638"/>
      <c r="AW378" s="638"/>
      <c r="AX378" s="638"/>
      <c r="AY378" s="638"/>
      <c r="AZ378" s="638"/>
      <c r="BA378" s="638"/>
    </row>
    <row r="379" spans="1:53" ht="36" x14ac:dyDescent="0.2">
      <c r="A379" s="622"/>
      <c r="B379" s="1268" t="str">
        <f>B$66</f>
        <v>Net operating result before capital grants &amp; contributions, gains/losses on asset disposals, gains/losses on joint ventures and fair value adjustments</v>
      </c>
      <c r="C379" s="109"/>
      <c r="D379" s="491" t="s">
        <v>116</v>
      </c>
      <c r="E379" s="109"/>
      <c r="F379" s="109"/>
      <c r="G379" s="109"/>
      <c r="H379" s="109"/>
      <c r="I379" s="109"/>
      <c r="J379" s="1199">
        <f>IFERROR(J356-J373,".")</f>
        <v>-4276301.2499999702</v>
      </c>
      <c r="K379" s="1199">
        <f t="shared" ref="K379:T379" si="93">IFERROR(K356-K373,".")</f>
        <v>-3484379.908965677</v>
      </c>
      <c r="L379" s="1199">
        <f t="shared" si="93"/>
        <v>-3393861.0276415646</v>
      </c>
      <c r="M379" s="1199">
        <f t="shared" si="93"/>
        <v>-3194145.9846284389</v>
      </c>
      <c r="N379" s="1199">
        <f t="shared" si="93"/>
        <v>-4746609.7257565558</v>
      </c>
      <c r="O379" s="1199">
        <f t="shared" si="93"/>
        <v>-5229885.0177289844</v>
      </c>
      <c r="P379" s="1199">
        <f t="shared" si="93"/>
        <v>-4717126.337548852</v>
      </c>
      <c r="Q379" s="1199">
        <f t="shared" si="93"/>
        <v>-4312517.1203010678</v>
      </c>
      <c r="R379" s="1199">
        <f t="shared" si="93"/>
        <v>-4125444.262050122</v>
      </c>
      <c r="S379" s="1199">
        <f t="shared" si="93"/>
        <v>-4504324.3435663283</v>
      </c>
      <c r="T379" s="1199">
        <f t="shared" si="93"/>
        <v>-4376655.3540169895</v>
      </c>
      <c r="U379" s="1285">
        <f>IF('WS1-Application'!$D$33="minimum rate increase",".",SUM(K379:T379))</f>
        <v>-42084949.08220458</v>
      </c>
      <c r="V379" s="118"/>
      <c r="W379" s="1300">
        <f>IFERROR(T379-J379,".")</f>
        <v>-100354.10401701927</v>
      </c>
      <c r="X379" s="1450">
        <f t="shared" si="91"/>
        <v>2.3467501036560503E-2</v>
      </c>
      <c r="Y379" s="16"/>
      <c r="Z379" s="16"/>
      <c r="AA379" s="16"/>
      <c r="AB379" s="16"/>
      <c r="AC379" s="16"/>
      <c r="AD379" s="16"/>
      <c r="AE379" s="16"/>
      <c r="AF379" s="16"/>
      <c r="AG379" s="16"/>
      <c r="AH379" s="16"/>
      <c r="AI379" s="16"/>
      <c r="AJ379" s="16"/>
      <c r="AK379" s="16"/>
      <c r="AL379" s="16"/>
      <c r="AM379" s="16"/>
      <c r="AN379" s="16"/>
      <c r="AO379" s="16"/>
      <c r="AP379" s="16"/>
      <c r="AQ379" s="638"/>
      <c r="AR379" s="638"/>
      <c r="AS379" s="638"/>
      <c r="AT379" s="638"/>
      <c r="AU379" s="638"/>
      <c r="AV379" s="638"/>
      <c r="AW379" s="638"/>
      <c r="AX379" s="638"/>
      <c r="AY379" s="638"/>
      <c r="AZ379" s="638"/>
      <c r="BA379" s="638"/>
    </row>
    <row r="380" spans="1:53" ht="11.65" customHeight="1" x14ac:dyDescent="0.2">
      <c r="A380" s="622"/>
      <c r="B380" s="1362"/>
      <c r="C380" s="110"/>
      <c r="D380" s="110"/>
      <c r="E380" s="110"/>
      <c r="F380" s="110"/>
      <c r="G380" s="110"/>
      <c r="H380" s="110"/>
      <c r="I380" s="110"/>
      <c r="J380" s="1364"/>
      <c r="K380" s="1364"/>
      <c r="L380" s="1364"/>
      <c r="M380" s="1364"/>
      <c r="N380" s="1364"/>
      <c r="O380" s="1364"/>
      <c r="P380" s="1364"/>
      <c r="Q380" s="1364"/>
      <c r="R380" s="1364"/>
      <c r="S380" s="1364"/>
      <c r="T380" s="1364"/>
      <c r="U380" s="1364"/>
      <c r="V380" s="119"/>
      <c r="W380" s="1369"/>
      <c r="X380" s="1363"/>
      <c r="Y380" s="3"/>
      <c r="Z380" s="16"/>
      <c r="AA380" s="16"/>
      <c r="AB380" s="16"/>
      <c r="AC380" s="16"/>
      <c r="AD380" s="16"/>
      <c r="AE380" s="16"/>
      <c r="AF380" s="16"/>
      <c r="AG380" s="16"/>
      <c r="AH380" s="16"/>
      <c r="AI380" s="16"/>
      <c r="AJ380" s="16"/>
      <c r="AK380" s="16"/>
      <c r="AL380" s="16"/>
      <c r="AM380" s="16"/>
      <c r="AN380" s="16"/>
      <c r="AO380" s="16"/>
      <c r="AP380" s="16"/>
      <c r="AQ380" s="638"/>
      <c r="AR380" s="638"/>
      <c r="AS380" s="638"/>
      <c r="AT380" s="638"/>
      <c r="AU380" s="638"/>
      <c r="AV380" s="638"/>
      <c r="AW380" s="638"/>
      <c r="AX380" s="638"/>
      <c r="AY380" s="638"/>
      <c r="AZ380" s="638"/>
      <c r="BA380" s="638"/>
    </row>
    <row r="381" spans="1:53" customFormat="1" ht="11.65" customHeight="1" outlineLevel="1" x14ac:dyDescent="0.2">
      <c r="A381" s="622"/>
      <c r="B381" s="1336" t="str">
        <f>B$68</f>
        <v>Increase in rates and annual charges</v>
      </c>
      <c r="C381" s="464"/>
      <c r="D381" s="464"/>
      <c r="E381" s="464"/>
      <c r="F381" s="464"/>
      <c r="G381" s="464"/>
      <c r="H381" s="464"/>
      <c r="I381" s="464"/>
      <c r="J381" s="1365"/>
      <c r="K381" s="1366"/>
      <c r="L381" s="1365"/>
      <c r="M381" s="1367"/>
      <c r="N381" s="1368"/>
      <c r="O381" s="1368"/>
      <c r="P381" s="1368"/>
      <c r="Q381" s="1368"/>
      <c r="R381" s="1368"/>
      <c r="S381" s="1368"/>
      <c r="T381" s="1368"/>
      <c r="U381" s="1289"/>
      <c r="V381" s="18"/>
      <c r="W381" s="1301"/>
      <c r="X381" s="1162"/>
      <c r="Y381" s="3"/>
      <c r="Z381" s="16"/>
      <c r="AA381" s="16"/>
      <c r="AB381" s="16"/>
      <c r="AC381" s="16"/>
      <c r="AD381" s="16"/>
      <c r="AE381" s="16"/>
      <c r="AF381" s="16"/>
      <c r="AG381" s="16"/>
      <c r="AH381" s="16"/>
      <c r="AI381" s="16"/>
      <c r="AJ381" s="16"/>
      <c r="AK381" s="16"/>
      <c r="AL381" s="16"/>
      <c r="AM381" s="16"/>
      <c r="AN381" s="16"/>
      <c r="AO381" s="16"/>
      <c r="AP381" s="16"/>
      <c r="AQ381" s="638"/>
      <c r="AR381" s="638"/>
      <c r="AS381" s="638"/>
      <c r="AT381" s="638"/>
      <c r="AU381" s="638"/>
      <c r="AV381" s="638"/>
      <c r="AW381" s="638"/>
      <c r="AX381" s="638"/>
      <c r="AY381" s="638"/>
      <c r="AZ381" s="638"/>
      <c r="BA381" s="638"/>
    </row>
    <row r="382" spans="1:53" ht="11.65" customHeight="1" outlineLevel="1" x14ac:dyDescent="0.2">
      <c r="A382" s="622"/>
      <c r="B382" s="581"/>
      <c r="C382" s="1"/>
      <c r="D382" s="1"/>
      <c r="E382" s="1"/>
      <c r="F382" s="1"/>
      <c r="G382" s="1"/>
      <c r="H382" s="1"/>
      <c r="I382" s="1"/>
      <c r="J382" s="1283"/>
      <c r="K382" s="1283"/>
      <c r="L382" s="1283"/>
      <c r="M382" s="1283"/>
      <c r="N382" s="1283"/>
      <c r="O382" s="1283"/>
      <c r="P382" s="1283"/>
      <c r="Q382" s="1283"/>
      <c r="R382" s="1283"/>
      <c r="S382" s="1283"/>
      <c r="T382" s="1283"/>
      <c r="U382" s="1283"/>
      <c r="V382" s="151"/>
      <c r="W382" s="1298"/>
      <c r="X382" s="1261"/>
      <c r="Y382" s="3"/>
      <c r="Z382" s="16"/>
      <c r="AA382" s="16"/>
      <c r="AB382" s="16"/>
      <c r="AC382" s="16"/>
      <c r="AD382" s="16"/>
      <c r="AE382" s="16"/>
      <c r="AF382" s="16"/>
      <c r="AG382" s="16"/>
      <c r="AH382" s="16"/>
      <c r="AI382" s="16"/>
      <c r="AJ382" s="16"/>
      <c r="AK382" s="16"/>
      <c r="AL382" s="16"/>
      <c r="AM382" s="16"/>
      <c r="AN382" s="16"/>
      <c r="AO382" s="16"/>
      <c r="AP382" s="16"/>
      <c r="AQ382" s="638"/>
      <c r="AR382" s="638"/>
      <c r="AS382" s="638"/>
      <c r="AT382" s="638"/>
      <c r="AU382" s="638"/>
      <c r="AV382" s="638"/>
      <c r="AW382" s="638"/>
      <c r="AX382" s="638"/>
      <c r="AY382" s="638"/>
      <c r="AZ382" s="638"/>
      <c r="BA382" s="638"/>
    </row>
    <row r="383" spans="1:53" ht="11.65" customHeight="1" outlineLevel="1" x14ac:dyDescent="0.2">
      <c r="A383" s="622"/>
      <c r="B383" s="1263" t="str">
        <f>B$70</f>
        <v>$ Increase in rates and annual charges</v>
      </c>
      <c r="C383" s="109"/>
      <c r="D383" s="491" t="s">
        <v>116</v>
      </c>
      <c r="E383" s="109"/>
      <c r="F383" s="109"/>
      <c r="G383" s="109"/>
      <c r="H383" s="109"/>
      <c r="I383" s="109"/>
      <c r="J383" s="1335"/>
      <c r="K383" s="1199">
        <f>IFERROR(SUM(K339:K340)-SUM(J339:J340),".")</f>
        <v>3348995</v>
      </c>
      <c r="L383" s="1199">
        <f t="shared" ref="L383:T383" si="94">IFERROR(SUM(L339:L340)-SUM(K339:K340),".")</f>
        <v>2278499.849999994</v>
      </c>
      <c r="M383" s="1199">
        <f t="shared" si="94"/>
        <v>2346854.8400000036</v>
      </c>
      <c r="N383" s="1199">
        <f t="shared" si="94"/>
        <v>2417260.4899999946</v>
      </c>
      <c r="O383" s="1199">
        <f t="shared" si="94"/>
        <v>3973150.4600000083</v>
      </c>
      <c r="P383" s="1199">
        <f t="shared" si="94"/>
        <v>2608972.8299999982</v>
      </c>
      <c r="Q383" s="1199">
        <f t="shared" si="94"/>
        <v>2687242.0099999905</v>
      </c>
      <c r="R383" s="1199">
        <f t="shared" si="94"/>
        <v>2767859.2700000107</v>
      </c>
      <c r="S383" s="1199">
        <f t="shared" si="94"/>
        <v>2850895.0600000024</v>
      </c>
      <c r="T383" s="1199">
        <f t="shared" si="94"/>
        <v>2957421.8942999989</v>
      </c>
      <c r="U383" s="1199">
        <f>IFERROR(SUM(T339:T340)-SUM(J339:J340),".")</f>
        <v>28237151.704300001</v>
      </c>
      <c r="V383" s="112"/>
      <c r="W383" s="657"/>
      <c r="X383" s="1269"/>
      <c r="Y383" s="3"/>
      <c r="Z383" s="16"/>
      <c r="AA383" s="16"/>
      <c r="AB383" s="16"/>
      <c r="AC383" s="16"/>
      <c r="AD383" s="16"/>
      <c r="AE383" s="16"/>
      <c r="AF383" s="16"/>
      <c r="AG383" s="16"/>
      <c r="AH383" s="16"/>
      <c r="AI383" s="16"/>
      <c r="AJ383" s="16"/>
      <c r="AK383" s="16"/>
      <c r="AL383" s="16"/>
      <c r="AM383" s="16"/>
      <c r="AN383" s="16"/>
      <c r="AO383" s="16"/>
      <c r="AP383" s="16"/>
      <c r="AQ383" s="638"/>
      <c r="AR383" s="638"/>
      <c r="AS383" s="638"/>
      <c r="AT383" s="638"/>
      <c r="AU383" s="638"/>
      <c r="AV383" s="638"/>
      <c r="AW383" s="638"/>
      <c r="AX383" s="638"/>
      <c r="AY383" s="638"/>
      <c r="AZ383" s="638"/>
      <c r="BA383" s="638"/>
    </row>
    <row r="384" spans="1:53" ht="11.65" customHeight="1" outlineLevel="1" x14ac:dyDescent="0.2">
      <c r="A384" s="622"/>
      <c r="B384" s="1270" t="str">
        <f>B$71</f>
        <v>% Increase in rates and annual charges</v>
      </c>
      <c r="C384" s="1271"/>
      <c r="D384" s="1271" t="s">
        <v>108</v>
      </c>
      <c r="E384" s="1271"/>
      <c r="F384" s="1271"/>
      <c r="G384" s="1271"/>
      <c r="H384" s="1271"/>
      <c r="I384" s="1271"/>
      <c r="J384" s="1296"/>
      <c r="K384" s="1297">
        <f>IFERROR(IF(SUM(J339:J340)=".",".",SUM(K339:K340)/SUM(J339:J340)-1),"na")</f>
        <v>4.5688258004665583E-2</v>
      </c>
      <c r="L384" s="1297">
        <f t="shared" ref="L384:U384" si="95">IFERROR(IF(SUM(K339:K340)=".",".",SUM(L339:L340)/SUM(K339:K340)-1),"na")</f>
        <v>2.9726027379388453E-2</v>
      </c>
      <c r="M384" s="1297">
        <f t="shared" si="95"/>
        <v>2.9733936323758536E-2</v>
      </c>
      <c r="N384" s="1297">
        <f t="shared" si="95"/>
        <v>2.9741619066788294E-2</v>
      </c>
      <c r="O384" s="1297">
        <f t="shared" si="95"/>
        <v>4.7473133547332846E-2</v>
      </c>
      <c r="P384" s="1297">
        <f t="shared" si="95"/>
        <v>2.9760453921272134E-2</v>
      </c>
      <c r="Q384" s="1297">
        <f t="shared" si="95"/>
        <v>2.976737683632158E-2</v>
      </c>
      <c r="R384" s="1297">
        <f t="shared" si="95"/>
        <v>2.9774101246326179E-2</v>
      </c>
      <c r="S384" s="1297">
        <f t="shared" si="95"/>
        <v>2.9780632834530252E-2</v>
      </c>
      <c r="T384" s="1297">
        <f t="shared" si="95"/>
        <v>3.0000000000000027E-2</v>
      </c>
      <c r="U384" s="1297">
        <f t="shared" si="95"/>
        <v>7.7385639848782493</v>
      </c>
      <c r="V384" s="1152"/>
      <c r="W384" s="1303"/>
      <c r="X384" s="1273"/>
      <c r="Y384" s="3"/>
      <c r="Z384" s="16"/>
      <c r="AA384" s="16"/>
      <c r="AB384" s="16"/>
      <c r="AC384" s="16"/>
      <c r="AD384" s="16"/>
      <c r="AE384" s="16"/>
      <c r="AF384" s="16"/>
      <c r="AG384" s="16"/>
      <c r="AH384" s="16"/>
      <c r="AI384" s="16"/>
      <c r="AJ384" s="16"/>
      <c r="AK384" s="16"/>
      <c r="AL384" s="16"/>
      <c r="AM384" s="16"/>
      <c r="AN384" s="16"/>
      <c r="AO384" s="16"/>
      <c r="AP384" s="16"/>
      <c r="AQ384" s="638"/>
      <c r="AR384" s="638"/>
      <c r="AS384" s="638"/>
      <c r="AT384" s="638"/>
      <c r="AU384" s="638"/>
      <c r="AV384" s="638"/>
      <c r="AW384" s="638"/>
      <c r="AX384" s="638"/>
      <c r="AY384" s="638"/>
      <c r="AZ384" s="638"/>
      <c r="BA384" s="638"/>
    </row>
    <row r="385" spans="1:53" ht="11.65" customHeight="1" x14ac:dyDescent="0.2">
      <c r="A385" s="622"/>
      <c r="B385" s="347" t="s">
        <v>77</v>
      </c>
      <c r="C385" s="1"/>
      <c r="D385" s="1"/>
      <c r="E385" s="1"/>
      <c r="F385" s="1"/>
      <c r="G385" s="1"/>
      <c r="H385" s="1"/>
      <c r="I385" s="1"/>
      <c r="J385" s="16"/>
      <c r="K385" s="222">
        <f>IFERROR(K378-K379-K350+K369,".")</f>
        <v>1020000</v>
      </c>
      <c r="L385" s="222">
        <f t="shared" ref="L385:U385" si="96">IFERROR(L378-L379-L350+L369,".")</f>
        <v>1020000</v>
      </c>
      <c r="M385" s="222">
        <f t="shared" si="96"/>
        <v>1020000</v>
      </c>
      <c r="N385" s="222">
        <f t="shared" si="96"/>
        <v>1020000</v>
      </c>
      <c r="O385" s="222">
        <f t="shared" si="96"/>
        <v>1020000</v>
      </c>
      <c r="P385" s="222">
        <f t="shared" si="96"/>
        <v>1020000</v>
      </c>
      <c r="Q385" s="222">
        <f t="shared" si="96"/>
        <v>1020000</v>
      </c>
      <c r="R385" s="222">
        <f t="shared" si="96"/>
        <v>1020000</v>
      </c>
      <c r="S385" s="222">
        <f t="shared" si="96"/>
        <v>1020000</v>
      </c>
      <c r="T385" s="222">
        <f>IFERROR(T378-T379-T350+T369,".")</f>
        <v>1020000</v>
      </c>
      <c r="U385" s="222">
        <f t="shared" si="96"/>
        <v>10200000</v>
      </c>
      <c r="V385" s="16"/>
      <c r="W385" s="16"/>
      <c r="X385" s="16"/>
      <c r="Y385" s="16"/>
      <c r="Z385" s="16"/>
      <c r="AA385" s="16"/>
      <c r="AB385" s="16"/>
      <c r="AC385" s="16"/>
      <c r="AD385" s="16"/>
      <c r="AE385" s="16"/>
      <c r="AF385" s="16"/>
      <c r="AG385" s="16"/>
      <c r="AH385" s="16"/>
      <c r="AI385" s="16"/>
      <c r="AJ385" s="16"/>
      <c r="AK385" s="16"/>
      <c r="AP385" s="638"/>
      <c r="AQ385" s="638"/>
      <c r="AR385" s="638"/>
      <c r="AS385" s="638"/>
      <c r="AT385" s="638"/>
      <c r="AU385" s="638"/>
      <c r="AV385" s="638"/>
      <c r="AW385" s="638"/>
      <c r="AX385" s="638"/>
      <c r="AY385" s="638"/>
      <c r="AZ385" s="638"/>
      <c r="BA385" s="638"/>
    </row>
    <row r="386" spans="1:53" customFormat="1" ht="12" customHeight="1" x14ac:dyDescent="0.2"/>
    <row r="387" spans="1:53" ht="12" customHeight="1" x14ac:dyDescent="0.2">
      <c r="A387" s="622"/>
      <c r="B387" s="1"/>
      <c r="C387" s="1"/>
      <c r="D387" s="1"/>
      <c r="E387" s="1"/>
      <c r="F387" s="1"/>
      <c r="G387" s="1"/>
      <c r="H387" s="1"/>
      <c r="I387" s="1"/>
      <c r="J387" s="16"/>
      <c r="K387"/>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row>
    <row r="388" spans="1:53" customFormat="1" ht="12.75" x14ac:dyDescent="0.2">
      <c r="A388" s="639" t="s">
        <v>875</v>
      </c>
      <c r="B388" s="461" t="str">
        <f>"Table "&amp;A1&amp;A388&amp;": Difference between Scenario 1 (with proposed SV income and expenditure) and Scenario 2 (base case - no SV income or expenditure)"</f>
        <v>Table 10.5: Difference between Scenario 1 (with proposed SV income and expenditure) and Scenario 2 (base case - no SV income or expenditure)</v>
      </c>
      <c r="C388" s="2"/>
      <c r="D388" s="2"/>
      <c r="E388" s="2"/>
      <c r="F388" s="2"/>
      <c r="G388" s="2"/>
      <c r="H388" s="2"/>
      <c r="I388" s="2"/>
      <c r="J388" s="637"/>
      <c r="K388" s="637" t="str">
        <f>IF('WS1-Application'!$D$33="Minimum rate increase","[N/A - This table does not apply]",".")</f>
        <v>.</v>
      </c>
      <c r="L388" s="633"/>
      <c r="M388" s="633"/>
      <c r="N388" s="633"/>
      <c r="O388" s="633"/>
      <c r="P388" s="14"/>
      <c r="Q388" s="633"/>
      <c r="R388" s="633"/>
      <c r="S388" s="633"/>
      <c r="T388" s="633"/>
      <c r="U388" s="633"/>
      <c r="V388" s="16"/>
      <c r="W388" s="16"/>
      <c r="X388" s="16"/>
      <c r="Y388" s="3"/>
      <c r="Z388" s="16"/>
      <c r="AA388" s="3"/>
      <c r="AB388" s="3"/>
      <c r="AC388" s="3"/>
      <c r="AD388" s="3"/>
      <c r="AE388" s="3"/>
      <c r="AF388" s="3"/>
      <c r="AG388" s="3"/>
      <c r="AH388" s="3"/>
      <c r="AI388" s="3"/>
      <c r="AJ388" s="3"/>
      <c r="AK388" s="3"/>
    </row>
    <row r="389" spans="1:53" ht="11.65" customHeight="1" x14ac:dyDescent="0.2">
      <c r="A389" s="622"/>
      <c r="B389" s="674"/>
      <c r="C389" s="666"/>
      <c r="D389" s="666"/>
      <c r="E389" s="666"/>
      <c r="F389" s="666"/>
      <c r="G389" s="666"/>
      <c r="H389" s="666"/>
      <c r="I389" s="666"/>
      <c r="J389" s="1167" t="str">
        <f t="shared" ref="J389:U389" si="97">J$22</f>
        <v>Year 0</v>
      </c>
      <c r="K389" s="1167" t="str">
        <f t="shared" si="97"/>
        <v>Year 1</v>
      </c>
      <c r="L389" s="1167" t="str">
        <f t="shared" si="97"/>
        <v>Year 2</v>
      </c>
      <c r="M389" s="1167" t="str">
        <f t="shared" si="97"/>
        <v>Year 3</v>
      </c>
      <c r="N389" s="1167" t="str">
        <f t="shared" si="97"/>
        <v>Year 4</v>
      </c>
      <c r="O389" s="1167" t="str">
        <f t="shared" si="97"/>
        <v>Year 5</v>
      </c>
      <c r="P389" s="1167" t="str">
        <f t="shared" si="97"/>
        <v>Year 6</v>
      </c>
      <c r="Q389" s="1167" t="str">
        <f t="shared" si="97"/>
        <v>Year 7</v>
      </c>
      <c r="R389" s="1167" t="str">
        <f t="shared" si="97"/>
        <v>Year 8</v>
      </c>
      <c r="S389" s="1167" t="str">
        <f t="shared" si="97"/>
        <v>Year 9</v>
      </c>
      <c r="T389" s="1167" t="str">
        <f t="shared" si="97"/>
        <v>Year 10</v>
      </c>
      <c r="U389" s="1329" t="str">
        <f t="shared" si="97"/>
        <v>Sum of 10 years</v>
      </c>
      <c r="V389" s="696"/>
      <c r="W389" s="696"/>
      <c r="X389" s="697"/>
      <c r="Y389" s="16"/>
      <c r="Z389"/>
      <c r="AA389"/>
      <c r="AB389"/>
      <c r="AC389"/>
      <c r="AD389"/>
      <c r="AE389"/>
      <c r="AF389"/>
      <c r="AG389"/>
      <c r="AH389"/>
      <c r="AI389"/>
      <c r="AJ389"/>
      <c r="AK389"/>
      <c r="AL389"/>
      <c r="AM389"/>
      <c r="AN389"/>
      <c r="AO389"/>
      <c r="AP389"/>
      <c r="AQ389"/>
      <c r="AR389"/>
      <c r="AS389"/>
      <c r="AT389"/>
      <c r="AU389"/>
      <c r="AV389"/>
      <c r="AW389"/>
      <c r="AX389"/>
      <c r="AY389"/>
      <c r="AZ389"/>
    </row>
    <row r="390" spans="1:53" ht="11.65" customHeight="1" x14ac:dyDescent="0.2">
      <c r="A390" s="622"/>
      <c r="B390" s="1274"/>
      <c r="C390" s="606"/>
      <c r="D390" s="606"/>
      <c r="E390" s="606"/>
      <c r="F390" s="606"/>
      <c r="G390" s="606"/>
      <c r="H390" s="606"/>
      <c r="I390" s="606"/>
      <c r="J390" s="1278" t="str">
        <f t="shared" ref="J390:T390" si="98">J$23</f>
        <v>2023-24</v>
      </c>
      <c r="K390" s="1278" t="str">
        <f t="shared" si="98"/>
        <v>2024-25</v>
      </c>
      <c r="L390" s="1278" t="str">
        <f t="shared" si="98"/>
        <v>2025-26</v>
      </c>
      <c r="M390" s="1278" t="str">
        <f t="shared" si="98"/>
        <v>2026-27</v>
      </c>
      <c r="N390" s="1278" t="str">
        <f t="shared" si="98"/>
        <v>2027-28</v>
      </c>
      <c r="O390" s="1278" t="str">
        <f t="shared" si="98"/>
        <v>2028-29</v>
      </c>
      <c r="P390" s="1278" t="str">
        <f t="shared" si="98"/>
        <v>2029-30</v>
      </c>
      <c r="Q390" s="1278" t="str">
        <f t="shared" si="98"/>
        <v>2030-31</v>
      </c>
      <c r="R390" s="1278" t="str">
        <f t="shared" si="98"/>
        <v>2031-32</v>
      </c>
      <c r="S390" s="1278" t="str">
        <f t="shared" si="98"/>
        <v>2032-33</v>
      </c>
      <c r="T390" s="1278" t="str">
        <f t="shared" si="98"/>
        <v>2033-34</v>
      </c>
      <c r="U390" s="775"/>
      <c r="V390" s="154"/>
      <c r="W390" s="154"/>
      <c r="X390" s="1314"/>
      <c r="Y390" s="16"/>
      <c r="Z390"/>
      <c r="AA390"/>
      <c r="AB390"/>
      <c r="AC390"/>
      <c r="AD390"/>
      <c r="AE390"/>
      <c r="AF390"/>
      <c r="AG390"/>
      <c r="AH390"/>
      <c r="AI390"/>
      <c r="AJ390"/>
      <c r="AK390"/>
      <c r="AL390"/>
      <c r="AM390"/>
      <c r="AN390"/>
      <c r="AO390"/>
      <c r="AP390"/>
      <c r="AQ390"/>
      <c r="AR390"/>
      <c r="AS390"/>
      <c r="AT390"/>
      <c r="AU390"/>
      <c r="AV390"/>
      <c r="AW390"/>
      <c r="AX390"/>
      <c r="AY390"/>
      <c r="AZ390"/>
    </row>
    <row r="391" spans="1:53" customFormat="1" ht="11.65" customHeight="1" outlineLevel="1" x14ac:dyDescent="0.2">
      <c r="A391" s="622"/>
      <c r="B391" s="1324" t="str">
        <f>B$24</f>
        <v>Income from continuing operations</v>
      </c>
      <c r="C391" s="265"/>
      <c r="D391" s="265"/>
      <c r="E391" s="265"/>
      <c r="F391" s="265"/>
      <c r="G391" s="265"/>
      <c r="H391" s="265"/>
      <c r="I391" s="265"/>
      <c r="J391" s="1288"/>
      <c r="K391" s="1293"/>
      <c r="L391" s="1289"/>
      <c r="M391" s="1290"/>
      <c r="N391" s="1289"/>
      <c r="O391" s="1289"/>
      <c r="P391" s="1289"/>
      <c r="Q391" s="1289"/>
      <c r="R391" s="1289"/>
      <c r="S391" s="1289"/>
      <c r="T391" s="1289"/>
      <c r="U391" s="1289"/>
      <c r="V391" s="16"/>
      <c r="W391" s="16"/>
      <c r="X391" s="687"/>
      <c r="Y391" s="3"/>
    </row>
    <row r="392" spans="1:53" ht="11.65" customHeight="1" outlineLevel="1" x14ac:dyDescent="0.2">
      <c r="A392" s="622"/>
      <c r="B392" s="1223" t="str">
        <f>B$25</f>
        <v>Revenue:</v>
      </c>
      <c r="C392" s="1"/>
      <c r="D392" s="1"/>
      <c r="E392" s="1"/>
      <c r="F392" s="1"/>
      <c r="G392" s="1"/>
      <c r="H392" s="1"/>
      <c r="I392" s="1"/>
      <c r="J392" s="1283"/>
      <c r="K392" s="1283"/>
      <c r="L392" s="1283"/>
      <c r="M392" s="1283"/>
      <c r="N392" s="1283"/>
      <c r="O392" s="1283"/>
      <c r="P392" s="1283"/>
      <c r="Q392" s="1283"/>
      <c r="R392" s="1283"/>
      <c r="S392" s="1283"/>
      <c r="T392" s="1283"/>
      <c r="U392" s="1283"/>
      <c r="V392" s="16"/>
      <c r="W392" s="16"/>
      <c r="X392" s="687"/>
      <c r="Y392" s="3"/>
      <c r="Z392"/>
      <c r="AA392"/>
      <c r="AB392"/>
      <c r="AC392"/>
      <c r="AD392"/>
      <c r="AE392"/>
      <c r="AF392"/>
      <c r="AG392"/>
      <c r="AH392"/>
      <c r="AI392"/>
      <c r="AJ392"/>
      <c r="AK392"/>
      <c r="AL392"/>
      <c r="AM392"/>
      <c r="AN392"/>
      <c r="AO392"/>
      <c r="AP392"/>
      <c r="AQ392"/>
      <c r="AR392"/>
      <c r="AS392"/>
      <c r="AT392"/>
      <c r="AU392"/>
      <c r="AV392"/>
      <c r="AW392"/>
      <c r="AX392"/>
      <c r="AY392"/>
      <c r="AZ392"/>
    </row>
    <row r="393" spans="1:53" ht="11.65" customHeight="1" outlineLevel="1" x14ac:dyDescent="0.2">
      <c r="A393" s="622"/>
      <c r="B393" s="1263" t="str">
        <f>B$26</f>
        <v xml:space="preserve">Rates  </v>
      </c>
      <c r="C393" s="1"/>
      <c r="D393" s="491" t="s">
        <v>116</v>
      </c>
      <c r="E393" s="1"/>
      <c r="F393" s="1"/>
      <c r="G393" s="1"/>
      <c r="H393" s="1"/>
      <c r="I393" s="1"/>
      <c r="J393" s="1199">
        <f>IF('WS1-Application'!$D$33="minimum rate increase",".",J26-J172)</f>
        <v>0</v>
      </c>
      <c r="K393" s="1199">
        <f>IF('WS1-Application'!$D$33="minimum rate increase",".",K26-K172)</f>
        <v>5435200.3999999911</v>
      </c>
      <c r="L393" s="1199">
        <f>IF('WS1-Application'!$D$33="minimum rate increase",".",L26-L172)</f>
        <v>5598256.411999993</v>
      </c>
      <c r="M393" s="1199">
        <f>IF('WS1-Application'!$D$33="minimum rate increase",".",M26-M172)</f>
        <v>5766204.1043599918</v>
      </c>
      <c r="N393" s="1199">
        <f>IF('WS1-Application'!$D$33="minimum rate increase",".",N26-N172)</f>
        <v>5939190.2268590331</v>
      </c>
      <c r="O393" s="1199">
        <f>IF('WS1-Application'!$D$33="minimum rate increase",".",O26-O172)</f>
        <v>6117365.9340420961</v>
      </c>
      <c r="P393" s="1199">
        <f>IF('WS1-Application'!$D$33="minimum rate increase",".",P26-P172)</f>
        <v>6300886.911571987</v>
      </c>
      <c r="Q393" s="1199">
        <f>IF('WS1-Application'!$D$33="minimum rate increase",".",Q26-Q172)</f>
        <v>6489913.5192525834</v>
      </c>
      <c r="R393" s="1199">
        <f>IF('WS1-Application'!$D$33="minimum rate increase",".",R26-R172)</f>
        <v>6684610.9244002104</v>
      </c>
      <c r="S393" s="1199">
        <f>IF('WS1-Application'!$D$33="minimum rate increase",".",S26-S172)</f>
        <v>6885149.2518865466</v>
      </c>
      <c r="T393" s="1199">
        <f>IF('WS1-Application'!$D$33="minimum rate increase",".",T26-T172)</f>
        <v>7091703.7294431478</v>
      </c>
      <c r="U393" s="1199">
        <f>IF('WS1-Application'!$D$33="minimum rate increase",".",U26-U172)</f>
        <v>62308481.413815618</v>
      </c>
      <c r="V393" s="16"/>
      <c r="W393" s="16"/>
      <c r="X393" s="687"/>
      <c r="Y393" s="3"/>
      <c r="Z393"/>
      <c r="AA393"/>
      <c r="AB393"/>
      <c r="AC393"/>
      <c r="AD393"/>
      <c r="AE393"/>
      <c r="AF393"/>
      <c r="AG393"/>
      <c r="AH393"/>
      <c r="AI393"/>
      <c r="AJ393"/>
      <c r="AK393"/>
      <c r="AL393"/>
      <c r="AM393"/>
      <c r="AN393"/>
      <c r="AO393"/>
      <c r="AP393"/>
      <c r="AQ393"/>
      <c r="AR393"/>
      <c r="AS393"/>
      <c r="AT393"/>
      <c r="AU393"/>
      <c r="AV393"/>
      <c r="AW393"/>
      <c r="AX393"/>
      <c r="AY393"/>
      <c r="AZ393"/>
    </row>
    <row r="394" spans="1:53" ht="11.65" customHeight="1" outlineLevel="1" x14ac:dyDescent="0.2">
      <c r="A394" s="622"/>
      <c r="B394" s="721" t="str">
        <f>B$27</f>
        <v>Annual Charges</v>
      </c>
      <c r="C394" s="109"/>
      <c r="D394" s="491" t="s">
        <v>116</v>
      </c>
      <c r="E394" s="109"/>
      <c r="F394" s="109"/>
      <c r="G394" s="109"/>
      <c r="H394" s="109"/>
      <c r="I394" s="109"/>
      <c r="J394" s="1199">
        <f>IF('WS1-Application'!$D$33="minimum rate increase",".",J27-J173)</f>
        <v>0</v>
      </c>
      <c r="K394" s="1199">
        <f>IF('WS1-Application'!$D$33="minimum rate increase",".",K27-K173)</f>
        <v>-48800.399999991059</v>
      </c>
      <c r="L394" s="1199">
        <f>IF('WS1-Application'!$D$33="minimum rate increase",".",L27-L173)</f>
        <v>-50264.411999993026</v>
      </c>
      <c r="M394" s="1199">
        <f>IF('WS1-Application'!$D$33="minimum rate increase",".",M27-M173)</f>
        <v>-51772.344359986484</v>
      </c>
      <c r="N394" s="1199">
        <f>IF('WS1-Application'!$D$33="minimum rate increase",".",N27-N173)</f>
        <v>-53325.516859009862</v>
      </c>
      <c r="O394" s="1199">
        <f>IF('WS1-Application'!$D$33="minimum rate increase",".",O27-O173)</f>
        <v>-54925.284042105079</v>
      </c>
      <c r="P394" s="1199">
        <f>IF('WS1-Application'!$D$33="minimum rate increase",".",P27-P173)</f>
        <v>-56573.061571992934</v>
      </c>
      <c r="Q394" s="1199">
        <f>IF('WS1-Application'!$D$33="minimum rate increase",".",Q27-Q173)</f>
        <v>-58270.25925257802</v>
      </c>
      <c r="R394" s="1199">
        <f>IF('WS1-Application'!$D$33="minimum rate increase",".",R27-R173)</f>
        <v>-60018.374400228262</v>
      </c>
      <c r="S394" s="1199">
        <f>IF('WS1-Application'!$D$33="minimum rate increase",".",S27-S173)</f>
        <v>-61818.941886559129</v>
      </c>
      <c r="T394" s="1199">
        <f>IF('WS1-Application'!$D$33="minimum rate increase",".",T27-T173)</f>
        <v>-63673.51014316082</v>
      </c>
      <c r="U394" s="1199">
        <f>IF('WS1-Application'!$D$33="minimum rate increase",".",U27-U173)</f>
        <v>-559442.10451561213</v>
      </c>
      <c r="V394" s="16"/>
      <c r="W394" s="16"/>
      <c r="X394" s="687"/>
      <c r="Y394" s="3"/>
      <c r="Z394"/>
      <c r="AA394"/>
      <c r="AB394"/>
      <c r="AC394"/>
      <c r="AD394"/>
      <c r="AE394"/>
      <c r="AF394"/>
      <c r="AG394"/>
      <c r="AH394"/>
      <c r="AI394"/>
      <c r="AJ394"/>
      <c r="AK394"/>
      <c r="AL394"/>
      <c r="AM394"/>
      <c r="AN394"/>
      <c r="AO394"/>
      <c r="AP394"/>
      <c r="AQ394"/>
      <c r="AR394"/>
      <c r="AS394"/>
      <c r="AT394"/>
      <c r="AU394"/>
      <c r="AV394"/>
      <c r="AW394"/>
      <c r="AX394"/>
      <c r="AY394"/>
      <c r="AZ394"/>
    </row>
    <row r="395" spans="1:53" ht="11.65" customHeight="1" outlineLevel="1" x14ac:dyDescent="0.2">
      <c r="A395" s="622"/>
      <c r="B395" s="721" t="str">
        <f>B$28</f>
        <v>User Charges &amp; Fees</v>
      </c>
      <c r="C395" s="109"/>
      <c r="D395" s="491" t="s">
        <v>116</v>
      </c>
      <c r="E395" s="109"/>
      <c r="F395" s="109"/>
      <c r="G395" s="109"/>
      <c r="H395" s="109"/>
      <c r="I395" s="109"/>
      <c r="J395" s="1199">
        <f>IF('WS1-Application'!$D$33="minimum rate increase",".",J28-J174)</f>
        <v>0</v>
      </c>
      <c r="K395" s="1199">
        <f>IF('WS1-Application'!$D$33="minimum rate increase",".",K28-K174)</f>
        <v>500000</v>
      </c>
      <c r="L395" s="1199">
        <f>IF('WS1-Application'!$D$33="minimum rate increase",".",L28-L174)</f>
        <v>515000</v>
      </c>
      <c r="M395" s="1199">
        <f>IF('WS1-Application'!$D$33="minimum rate increase",".",M28-M174)</f>
        <v>530450</v>
      </c>
      <c r="N395" s="1199">
        <f>IF('WS1-Application'!$D$33="minimum rate increase",".",N28-N174)</f>
        <v>546363.5</v>
      </c>
      <c r="O395" s="1199">
        <f>IF('WS1-Application'!$D$33="minimum rate increase",".",O28-O174)</f>
        <v>562754.39999999851</v>
      </c>
      <c r="P395" s="1199">
        <f>IF('WS1-Application'!$D$33="minimum rate increase",".",P28-P174)</f>
        <v>579637.03000000119</v>
      </c>
      <c r="Q395" s="1199">
        <f>IF('WS1-Application'!$D$33="minimum rate increase",".",Q28-Q174)</f>
        <v>597026.1400000006</v>
      </c>
      <c r="R395" s="1199">
        <f>IF('WS1-Application'!$D$33="minimum rate increase",".",R28-R174)</f>
        <v>614936.9299999997</v>
      </c>
      <c r="S395" s="1199">
        <f>IF('WS1-Application'!$D$33="minimum rate increase",".",S28-S174)</f>
        <v>633385.03999999911</v>
      </c>
      <c r="T395" s="1199">
        <f>IF('WS1-Application'!$D$33="minimum rate increase",".",T28-T174)</f>
        <v>652386.59119999781</v>
      </c>
      <c r="U395" s="1199">
        <f>IF('WS1-Application'!$D$33="minimum rate increase",".",U28-U174)</f>
        <v>5731939.6311999559</v>
      </c>
      <c r="V395" s="16"/>
      <c r="W395" s="16"/>
      <c r="X395" s="687"/>
      <c r="Y395" s="3"/>
      <c r="Z395"/>
      <c r="AA395"/>
      <c r="AB395"/>
      <c r="AC395"/>
      <c r="AD395"/>
      <c r="AE395"/>
      <c r="AF395"/>
      <c r="AG395"/>
      <c r="AH395"/>
      <c r="AI395"/>
      <c r="AJ395"/>
      <c r="AK395"/>
      <c r="AL395"/>
      <c r="AM395"/>
      <c r="AN395"/>
      <c r="AO395"/>
      <c r="AP395"/>
      <c r="AQ395"/>
      <c r="AR395"/>
      <c r="AS395"/>
      <c r="AT395"/>
      <c r="AU395"/>
      <c r="AV395"/>
      <c r="AW395"/>
      <c r="AX395"/>
      <c r="AY395"/>
      <c r="AZ395"/>
    </row>
    <row r="396" spans="1:53" ht="11.65" customHeight="1" outlineLevel="1" x14ac:dyDescent="0.2">
      <c r="A396" s="622"/>
      <c r="B396" s="721" t="str">
        <f>B$29</f>
        <v>Interest &amp; Investment Revenue</v>
      </c>
      <c r="C396" s="109"/>
      <c r="D396" s="491" t="s">
        <v>116</v>
      </c>
      <c r="E396" s="109"/>
      <c r="F396" s="109"/>
      <c r="G396" s="109"/>
      <c r="H396" s="109"/>
      <c r="I396" s="109"/>
      <c r="J396" s="1199">
        <f>IF('WS1-Application'!$D$33="minimum rate increase",".",J29-J175)</f>
        <v>0</v>
      </c>
      <c r="K396" s="1199">
        <f>IF('WS1-Application'!$D$33="minimum rate increase",".",K29-K175)</f>
        <v>-32447</v>
      </c>
      <c r="L396" s="1199">
        <f>IF('WS1-Application'!$D$33="minimum rate increase",".",L29-L175)</f>
        <v>228766</v>
      </c>
      <c r="M396" s="1199">
        <f>IF('WS1-Application'!$D$33="minimum rate increase",".",M29-M175)</f>
        <v>277496</v>
      </c>
      <c r="N396" s="1199">
        <f>IF('WS1-Application'!$D$33="minimum rate increase",".",N29-N175)</f>
        <v>820344</v>
      </c>
      <c r="O396" s="1199">
        <f>IF('WS1-Application'!$D$33="minimum rate increase",".",O29-O175)</f>
        <v>1091254</v>
      </c>
      <c r="P396" s="1199">
        <f>IF('WS1-Application'!$D$33="minimum rate increase",".",P29-P175)</f>
        <v>1379957.9999999991</v>
      </c>
      <c r="Q396" s="1199">
        <f>IF('WS1-Application'!$D$33="minimum rate increase",".",Q29-Q175)</f>
        <v>1887729</v>
      </c>
      <c r="R396" s="1199">
        <f>IF('WS1-Application'!$D$33="minimum rate increase",".",R29-R175)</f>
        <v>2322772.0000000019</v>
      </c>
      <c r="S396" s="1199">
        <f>IF('WS1-Application'!$D$33="minimum rate increase",".",S29-S175)</f>
        <v>2782412.9999999991</v>
      </c>
      <c r="T396" s="1199">
        <f>IF('WS1-Application'!$D$33="minimum rate increase",".",T29-T175)</f>
        <v>3417316.7080999995</v>
      </c>
      <c r="U396" s="1199">
        <f>IF('WS1-Application'!$D$33="minimum rate increase",".",U29-U175)</f>
        <v>14175601.708100006</v>
      </c>
      <c r="V396" s="16"/>
      <c r="W396" s="16"/>
      <c r="X396" s="687"/>
      <c r="Y396" s="3"/>
      <c r="Z396"/>
      <c r="AA396"/>
      <c r="AB396"/>
      <c r="AC396"/>
      <c r="AD396"/>
      <c r="AE396"/>
      <c r="AF396"/>
      <c r="AG396"/>
      <c r="AH396"/>
      <c r="AI396"/>
      <c r="AJ396"/>
      <c r="AK396"/>
      <c r="AL396"/>
      <c r="AM396"/>
      <c r="AN396"/>
      <c r="AO396"/>
      <c r="AP396"/>
      <c r="AQ396"/>
      <c r="AR396"/>
      <c r="AS396"/>
      <c r="AT396"/>
      <c r="AU396"/>
      <c r="AV396"/>
      <c r="AW396"/>
      <c r="AX396"/>
      <c r="AY396"/>
      <c r="AZ396"/>
    </row>
    <row r="397" spans="1:53" ht="11.65" customHeight="1" outlineLevel="1" x14ac:dyDescent="0.2">
      <c r="A397" s="622"/>
      <c r="B397" s="721" t="str">
        <f>B$30</f>
        <v>Other Revenues</v>
      </c>
      <c r="C397" s="109"/>
      <c r="D397" s="491" t="s">
        <v>116</v>
      </c>
      <c r="E397" s="109"/>
      <c r="F397" s="109"/>
      <c r="G397" s="109"/>
      <c r="H397" s="109"/>
      <c r="I397" s="109"/>
      <c r="J397" s="1199">
        <f>IF('WS1-Application'!$D$33="minimum rate increase",".",J30-J176)</f>
        <v>0</v>
      </c>
      <c r="K397" s="1199">
        <f>IF('WS1-Application'!$D$33="minimum rate increase",".",K30-K176)</f>
        <v>0</v>
      </c>
      <c r="L397" s="1199">
        <f>IF('WS1-Application'!$D$33="minimum rate increase",".",L30-L176)</f>
        <v>0</v>
      </c>
      <c r="M397" s="1199">
        <f>IF('WS1-Application'!$D$33="minimum rate increase",".",M30-M176)</f>
        <v>0</v>
      </c>
      <c r="N397" s="1199">
        <f>IF('WS1-Application'!$D$33="minimum rate increase",".",N30-N176)</f>
        <v>0</v>
      </c>
      <c r="O397" s="1199">
        <f>IF('WS1-Application'!$D$33="minimum rate increase",".",O30-O176)</f>
        <v>0</v>
      </c>
      <c r="P397" s="1199">
        <f>IF('WS1-Application'!$D$33="minimum rate increase",".",P30-P176)</f>
        <v>0</v>
      </c>
      <c r="Q397" s="1199">
        <f>IF('WS1-Application'!$D$33="minimum rate increase",".",Q30-Q176)</f>
        <v>0</v>
      </c>
      <c r="R397" s="1199">
        <f>IF('WS1-Application'!$D$33="minimum rate increase",".",R30-R176)</f>
        <v>0</v>
      </c>
      <c r="S397" s="1199">
        <f>IF('WS1-Application'!$D$33="minimum rate increase",".",S30-S176)</f>
        <v>0</v>
      </c>
      <c r="T397" s="1199">
        <f>IF('WS1-Application'!$D$33="minimum rate increase",".",T30-T176)</f>
        <v>0</v>
      </c>
      <c r="U397" s="1199">
        <f>IF('WS1-Application'!$D$33="minimum rate increase",".",U30-U176)</f>
        <v>0</v>
      </c>
      <c r="V397" s="16"/>
      <c r="W397" s="16"/>
      <c r="X397" s="687"/>
      <c r="Y397" s="3"/>
      <c r="Z397"/>
      <c r="AA397"/>
      <c r="AB397"/>
      <c r="AC397"/>
      <c r="AD397"/>
      <c r="AE397"/>
      <c r="AF397"/>
      <c r="AG397"/>
      <c r="AH397"/>
      <c r="AI397"/>
      <c r="AJ397"/>
      <c r="AK397"/>
      <c r="AL397"/>
      <c r="AM397"/>
      <c r="AN397"/>
      <c r="AO397"/>
      <c r="AP397"/>
      <c r="AQ397"/>
      <c r="AR397"/>
      <c r="AS397"/>
      <c r="AT397"/>
      <c r="AU397"/>
      <c r="AV397"/>
      <c r="AW397"/>
      <c r="AX397"/>
      <c r="AY397"/>
      <c r="AZ397"/>
    </row>
    <row r="398" spans="1:53" ht="11.65" customHeight="1" outlineLevel="1" x14ac:dyDescent="0.2">
      <c r="A398" s="622"/>
      <c r="B398" s="721" t="str">
        <f>B$31</f>
        <v>Grants &amp; Contributions Op Purposes</v>
      </c>
      <c r="C398" s="109"/>
      <c r="D398" s="491" t="s">
        <v>116</v>
      </c>
      <c r="E398" s="109"/>
      <c r="F398" s="109"/>
      <c r="G398" s="109"/>
      <c r="H398" s="109"/>
      <c r="I398" s="109"/>
      <c r="J398" s="1199">
        <f>IF('WS1-Application'!$D$33="minimum rate increase",".",J31-J177)</f>
        <v>0</v>
      </c>
      <c r="K398" s="1199">
        <f>IF('WS1-Application'!$D$33="minimum rate increase",".",K31-K177)</f>
        <v>0</v>
      </c>
      <c r="L398" s="1199">
        <f>IF('WS1-Application'!$D$33="minimum rate increase",".",L31-L177)</f>
        <v>0</v>
      </c>
      <c r="M398" s="1199">
        <f>IF('WS1-Application'!$D$33="minimum rate increase",".",M31-M177)</f>
        <v>0</v>
      </c>
      <c r="N398" s="1199">
        <f>IF('WS1-Application'!$D$33="minimum rate increase",".",N31-N177)</f>
        <v>0</v>
      </c>
      <c r="O398" s="1199">
        <f>IF('WS1-Application'!$D$33="minimum rate increase",".",O31-O177)</f>
        <v>0</v>
      </c>
      <c r="P398" s="1199">
        <f>IF('WS1-Application'!$D$33="minimum rate increase",".",P31-P177)</f>
        <v>0</v>
      </c>
      <c r="Q398" s="1199">
        <f>IF('WS1-Application'!$D$33="minimum rate increase",".",Q31-Q177)</f>
        <v>0</v>
      </c>
      <c r="R398" s="1199">
        <f>IF('WS1-Application'!$D$33="minimum rate increase",".",R31-R177)</f>
        <v>0</v>
      </c>
      <c r="S398" s="1199">
        <f>IF('WS1-Application'!$D$33="minimum rate increase",".",S31-S177)</f>
        <v>0</v>
      </c>
      <c r="T398" s="1199">
        <f>IF('WS1-Application'!$D$33="minimum rate increase",".",T31-T177)</f>
        <v>0</v>
      </c>
      <c r="U398" s="1199">
        <f>IF('WS1-Application'!$D$33="minimum rate increase",".",U31-U177)</f>
        <v>0</v>
      </c>
      <c r="V398" s="16"/>
      <c r="W398" s="16"/>
      <c r="X398" s="687"/>
      <c r="Y398" s="3"/>
      <c r="Z398"/>
      <c r="AA398"/>
      <c r="AB398"/>
      <c r="AC398"/>
      <c r="AD398"/>
      <c r="AE398"/>
      <c r="AF398"/>
      <c r="AG398"/>
      <c r="AH398"/>
      <c r="AI398"/>
      <c r="AJ398"/>
      <c r="AK398"/>
      <c r="AL398"/>
      <c r="AM398"/>
      <c r="AN398"/>
      <c r="AO398"/>
      <c r="AP398"/>
      <c r="AQ398"/>
      <c r="AR398"/>
      <c r="AS398"/>
      <c r="AT398"/>
      <c r="AU398"/>
      <c r="AV398"/>
      <c r="AW398"/>
      <c r="AX398"/>
      <c r="AY398"/>
      <c r="AZ398"/>
    </row>
    <row r="399" spans="1:53" ht="11.65" customHeight="1" outlineLevel="1" x14ac:dyDescent="0.2">
      <c r="A399" s="622"/>
      <c r="B399" s="721" t="str">
        <f>B$32</f>
        <v>Grants &amp; Contributions Capital Purposes</v>
      </c>
      <c r="C399" s="109"/>
      <c r="D399" s="491" t="s">
        <v>116</v>
      </c>
      <c r="E399" s="109"/>
      <c r="F399" s="109"/>
      <c r="G399" s="109"/>
      <c r="H399" s="109"/>
      <c r="I399" s="109"/>
      <c r="J399" s="1199">
        <f>IF('WS1-Application'!$D$33="minimum rate increase",".",J32-J178)</f>
        <v>0</v>
      </c>
      <c r="K399" s="1199">
        <f>IF('WS1-Application'!$D$33="minimum rate increase",".",K32-K178)</f>
        <v>0</v>
      </c>
      <c r="L399" s="1199">
        <f>IF('WS1-Application'!$D$33="minimum rate increase",".",L32-L178)</f>
        <v>0</v>
      </c>
      <c r="M399" s="1199">
        <f>IF('WS1-Application'!$D$33="minimum rate increase",".",M32-M178)</f>
        <v>0</v>
      </c>
      <c r="N399" s="1199">
        <f>IF('WS1-Application'!$D$33="minimum rate increase",".",N32-N178)</f>
        <v>0</v>
      </c>
      <c r="O399" s="1199">
        <f>IF('WS1-Application'!$D$33="minimum rate increase",".",O32-O178)</f>
        <v>0</v>
      </c>
      <c r="P399" s="1199">
        <f>IF('WS1-Application'!$D$33="minimum rate increase",".",P32-P178)</f>
        <v>0</v>
      </c>
      <c r="Q399" s="1199">
        <f>IF('WS1-Application'!$D$33="minimum rate increase",".",Q32-Q178)</f>
        <v>0</v>
      </c>
      <c r="R399" s="1199">
        <f>IF('WS1-Application'!$D$33="minimum rate increase",".",R32-R178)</f>
        <v>0</v>
      </c>
      <c r="S399" s="1199">
        <f>IF('WS1-Application'!$D$33="minimum rate increase",".",S32-S178)</f>
        <v>0</v>
      </c>
      <c r="T399" s="1199">
        <f>IF('WS1-Application'!$D$33="minimum rate increase",".",T32-T178)</f>
        <v>0</v>
      </c>
      <c r="U399" s="1199">
        <f>IF('WS1-Application'!$D$33="minimum rate increase",".",U32-U178)</f>
        <v>0</v>
      </c>
      <c r="V399" s="16"/>
      <c r="W399" s="16"/>
      <c r="X399" s="687"/>
      <c r="Y399" s="3"/>
      <c r="Z399"/>
      <c r="AA399"/>
      <c r="AB399"/>
      <c r="AC399"/>
      <c r="AD399"/>
      <c r="AE399"/>
      <c r="AF399"/>
      <c r="AG399"/>
      <c r="AH399"/>
      <c r="AI399"/>
      <c r="AJ399"/>
      <c r="AK399"/>
      <c r="AL399"/>
      <c r="AM399"/>
      <c r="AN399"/>
      <c r="AO399"/>
      <c r="AP399"/>
      <c r="AQ399"/>
      <c r="AR399"/>
      <c r="AS399"/>
      <c r="AT399"/>
      <c r="AU399"/>
      <c r="AV399"/>
      <c r="AW399"/>
      <c r="AX399"/>
      <c r="AY399"/>
      <c r="AZ399"/>
    </row>
    <row r="400" spans="1:53" ht="11.65" customHeight="1" outlineLevel="1" x14ac:dyDescent="0.2">
      <c r="A400" s="622"/>
      <c r="B400" s="1263" t="str">
        <f>B$33</f>
        <v>Other Income (Rental Income)</v>
      </c>
      <c r="C400" s="109"/>
      <c r="D400" s="491" t="s">
        <v>116</v>
      </c>
      <c r="E400" s="109"/>
      <c r="F400" s="109"/>
      <c r="G400" s="109"/>
      <c r="H400" s="109"/>
      <c r="I400" s="109"/>
      <c r="J400" s="1199">
        <f>IF('WS1-Application'!$D$33="minimum rate increase",".",J33-J179)</f>
        <v>0</v>
      </c>
      <c r="K400" s="1199">
        <f>IF('WS1-Application'!$D$33="minimum rate increase",".",K33-K179)</f>
        <v>0</v>
      </c>
      <c r="L400" s="1199">
        <f>IF('WS1-Application'!$D$33="minimum rate increase",".",L33-L179)</f>
        <v>0</v>
      </c>
      <c r="M400" s="1199">
        <f>IF('WS1-Application'!$D$33="minimum rate increase",".",M33-M179)</f>
        <v>0</v>
      </c>
      <c r="N400" s="1199">
        <f>IF('WS1-Application'!$D$33="minimum rate increase",".",N33-N179)</f>
        <v>0</v>
      </c>
      <c r="O400" s="1199">
        <f>IF('WS1-Application'!$D$33="minimum rate increase",".",O33-O179)</f>
        <v>0</v>
      </c>
      <c r="P400" s="1199">
        <f>IF('WS1-Application'!$D$33="minimum rate increase",".",P33-P179)</f>
        <v>0</v>
      </c>
      <c r="Q400" s="1199">
        <f>IF('WS1-Application'!$D$33="minimum rate increase",".",Q33-Q179)</f>
        <v>0</v>
      </c>
      <c r="R400" s="1199">
        <f>IF('WS1-Application'!$D$33="minimum rate increase",".",R33-R179)</f>
        <v>0</v>
      </c>
      <c r="S400" s="1199">
        <f>IF('WS1-Application'!$D$33="minimum rate increase",".",S33-S179)</f>
        <v>0</v>
      </c>
      <c r="T400" s="1199">
        <f>IF('WS1-Application'!$D$33="minimum rate increase",".",T33-T179)</f>
        <v>0</v>
      </c>
      <c r="U400" s="1199">
        <f>IF('WS1-Application'!$D$33="minimum rate increase",".",U33-U179)</f>
        <v>0</v>
      </c>
      <c r="V400" s="16"/>
      <c r="W400" s="16"/>
      <c r="X400" s="687"/>
      <c r="Y400" s="3"/>
      <c r="Z400"/>
      <c r="AA400"/>
      <c r="AB400"/>
      <c r="AC400"/>
      <c r="AD400"/>
      <c r="AE400"/>
      <c r="AF400"/>
      <c r="AG400"/>
      <c r="AH400"/>
      <c r="AI400"/>
      <c r="AJ400"/>
      <c r="AK400"/>
      <c r="AL400"/>
      <c r="AM400"/>
      <c r="AN400"/>
      <c r="AO400"/>
      <c r="AP400"/>
      <c r="AQ400"/>
      <c r="AR400"/>
      <c r="AS400"/>
      <c r="AT400"/>
      <c r="AU400"/>
      <c r="AV400"/>
      <c r="AW400"/>
      <c r="AX400"/>
      <c r="AY400"/>
      <c r="AZ400"/>
    </row>
    <row r="401" spans="1:52" ht="11.65" customHeight="1" outlineLevel="1" x14ac:dyDescent="0.2">
      <c r="A401" s="622"/>
      <c r="B401" s="1361" t="str">
        <f>B$34</f>
        <v>Other Income (items excluded from ratio analyis)</v>
      </c>
      <c r="C401" s="1"/>
      <c r="D401" s="491" t="s">
        <v>116</v>
      </c>
      <c r="E401" s="1"/>
      <c r="F401" s="1"/>
      <c r="G401" s="1"/>
      <c r="H401" s="1"/>
      <c r="I401" s="1"/>
      <c r="J401" s="1199"/>
      <c r="K401" s="1199"/>
      <c r="L401" s="1199"/>
      <c r="M401" s="1199"/>
      <c r="N401" s="1199"/>
      <c r="O401" s="1199"/>
      <c r="P401" s="1199"/>
      <c r="Q401" s="1199"/>
      <c r="R401" s="1199"/>
      <c r="S401" s="1199"/>
      <c r="T401" s="1199"/>
      <c r="U401" s="1199"/>
      <c r="V401" s="16"/>
      <c r="W401" s="16"/>
      <c r="X401" s="687"/>
      <c r="Y401" s="3"/>
      <c r="Z401"/>
      <c r="AA401"/>
      <c r="AB401"/>
      <c r="AC401"/>
      <c r="AD401"/>
      <c r="AE401"/>
      <c r="AF401"/>
      <c r="AG401"/>
      <c r="AH401"/>
      <c r="AI401"/>
      <c r="AJ401"/>
      <c r="AK401"/>
      <c r="AL401"/>
      <c r="AM401"/>
      <c r="AN401"/>
      <c r="AO401"/>
      <c r="AP401"/>
      <c r="AQ401"/>
      <c r="AR401"/>
      <c r="AS401"/>
      <c r="AT401"/>
      <c r="AU401"/>
      <c r="AV401"/>
      <c r="AW401"/>
      <c r="AX401"/>
      <c r="AY401"/>
      <c r="AZ401"/>
    </row>
    <row r="402" spans="1:52" ht="11.65" customHeight="1" outlineLevel="1" x14ac:dyDescent="0.2">
      <c r="A402" s="622"/>
      <c r="B402" s="1263" t="str">
        <f>B$35</f>
        <v>Net share of profit  on joint ventures</v>
      </c>
      <c r="C402" s="109"/>
      <c r="D402" s="491" t="s">
        <v>116</v>
      </c>
      <c r="E402" s="109"/>
      <c r="F402" s="109"/>
      <c r="G402" s="109"/>
      <c r="H402" s="109"/>
      <c r="I402" s="109"/>
      <c r="J402" s="1199">
        <f>IF('WS1-Application'!$D$33="minimum rate increase",".",J35-J181)</f>
        <v>0</v>
      </c>
      <c r="K402" s="1199">
        <f>IF('WS1-Application'!$D$33="minimum rate increase",".",K35-K181)</f>
        <v>0</v>
      </c>
      <c r="L402" s="1199">
        <f>IF('WS1-Application'!$D$33="minimum rate increase",".",L35-L181)</f>
        <v>0</v>
      </c>
      <c r="M402" s="1199">
        <f>IF('WS1-Application'!$D$33="minimum rate increase",".",M35-M181)</f>
        <v>0</v>
      </c>
      <c r="N402" s="1199">
        <f>IF('WS1-Application'!$D$33="minimum rate increase",".",N35-N181)</f>
        <v>0</v>
      </c>
      <c r="O402" s="1199">
        <f>IF('WS1-Application'!$D$33="minimum rate increase",".",O35-O181)</f>
        <v>0</v>
      </c>
      <c r="P402" s="1199">
        <f>IF('WS1-Application'!$D$33="minimum rate increase",".",P35-P181)</f>
        <v>0</v>
      </c>
      <c r="Q402" s="1199">
        <f>IF('WS1-Application'!$D$33="minimum rate increase",".",Q35-Q181)</f>
        <v>0</v>
      </c>
      <c r="R402" s="1199">
        <f>IF('WS1-Application'!$D$33="minimum rate increase",".",R35-R181)</f>
        <v>0</v>
      </c>
      <c r="S402" s="1199">
        <f>IF('WS1-Application'!$D$33="minimum rate increase",".",S35-S181)</f>
        <v>0</v>
      </c>
      <c r="T402" s="1199">
        <f>IF('WS1-Application'!$D$33="minimum rate increase",".",T35-T181)</f>
        <v>0</v>
      </c>
      <c r="U402" s="1199">
        <f>IF('WS1-Application'!$D$33="minimum rate increase",".",U35-U181)</f>
        <v>0</v>
      </c>
      <c r="V402" s="16"/>
      <c r="W402" s="16"/>
      <c r="X402" s="687"/>
      <c r="Y402" s="3"/>
      <c r="Z402"/>
      <c r="AA402"/>
      <c r="AB402"/>
      <c r="AC402"/>
      <c r="AD402"/>
      <c r="AE402"/>
      <c r="AF402"/>
      <c r="AG402"/>
      <c r="AH402"/>
      <c r="AI402"/>
      <c r="AJ402"/>
      <c r="AK402"/>
      <c r="AL402"/>
      <c r="AM402"/>
      <c r="AN402"/>
      <c r="AO402"/>
      <c r="AP402"/>
      <c r="AQ402"/>
      <c r="AR402"/>
      <c r="AS402"/>
      <c r="AT402"/>
      <c r="AU402"/>
      <c r="AV402"/>
      <c r="AW402"/>
      <c r="AX402"/>
      <c r="AY402"/>
      <c r="AZ402"/>
    </row>
    <row r="403" spans="1:52" ht="11.65" customHeight="1" outlineLevel="1" x14ac:dyDescent="0.2">
      <c r="A403" s="622"/>
      <c r="B403" s="1263" t="str">
        <f>B$36</f>
        <v>Fair value gains</v>
      </c>
      <c r="C403" s="109"/>
      <c r="D403" s="491" t="s">
        <v>116</v>
      </c>
      <c r="E403" s="109"/>
      <c r="F403" s="109"/>
      <c r="G403" s="109"/>
      <c r="H403" s="109"/>
      <c r="I403" s="109"/>
      <c r="J403" s="1199">
        <f>IF('WS1-Application'!$D$33="minimum rate increase",".",J36-J182)</f>
        <v>0</v>
      </c>
      <c r="K403" s="1199">
        <f>IF('WS1-Application'!$D$33="minimum rate increase",".",K36-K182)</f>
        <v>0</v>
      </c>
      <c r="L403" s="1199">
        <f>IF('WS1-Application'!$D$33="minimum rate increase",".",L36-L182)</f>
        <v>0</v>
      </c>
      <c r="M403" s="1199">
        <f>IF('WS1-Application'!$D$33="minimum rate increase",".",M36-M182)</f>
        <v>0</v>
      </c>
      <c r="N403" s="1199">
        <f>IF('WS1-Application'!$D$33="minimum rate increase",".",N36-N182)</f>
        <v>0</v>
      </c>
      <c r="O403" s="1199">
        <f>IF('WS1-Application'!$D$33="minimum rate increase",".",O36-O182)</f>
        <v>0</v>
      </c>
      <c r="P403" s="1199">
        <f>IF('WS1-Application'!$D$33="minimum rate increase",".",P36-P182)</f>
        <v>0</v>
      </c>
      <c r="Q403" s="1199">
        <f>IF('WS1-Application'!$D$33="minimum rate increase",".",Q36-Q182)</f>
        <v>0</v>
      </c>
      <c r="R403" s="1199">
        <f>IF('WS1-Application'!$D$33="minimum rate increase",".",R36-R182)</f>
        <v>0</v>
      </c>
      <c r="S403" s="1199">
        <f>IF('WS1-Application'!$D$33="minimum rate increase",".",S36-S182)</f>
        <v>0</v>
      </c>
      <c r="T403" s="1199">
        <f>IF('WS1-Application'!$D$33="minimum rate increase",".",T36-T182)</f>
        <v>0</v>
      </c>
      <c r="U403" s="1199">
        <f>IF('WS1-Application'!$D$33="minimum rate increase",".",U36-U182)</f>
        <v>0</v>
      </c>
      <c r="V403" s="16"/>
      <c r="W403" s="16"/>
      <c r="X403" s="687"/>
      <c r="Y403" s="3"/>
      <c r="Z403"/>
      <c r="AA403"/>
      <c r="AB403"/>
      <c r="AC403"/>
      <c r="AD403"/>
      <c r="AE403"/>
      <c r="AF403"/>
      <c r="AG403"/>
      <c r="AH403"/>
      <c r="AI403"/>
      <c r="AJ403"/>
      <c r="AK403"/>
      <c r="AL403"/>
      <c r="AM403"/>
      <c r="AN403"/>
      <c r="AO403"/>
      <c r="AP403"/>
      <c r="AQ403"/>
      <c r="AR403"/>
      <c r="AS403"/>
      <c r="AT403"/>
      <c r="AU403"/>
      <c r="AV403"/>
      <c r="AW403"/>
      <c r="AX403"/>
      <c r="AY403"/>
      <c r="AZ403"/>
    </row>
    <row r="404" spans="1:52" ht="11.65" customHeight="1" outlineLevel="1" x14ac:dyDescent="0.2">
      <c r="A404" s="622"/>
      <c r="B404" s="1263" t="str">
        <f>B$37</f>
        <v>Net gains from disposal of assets</v>
      </c>
      <c r="C404" s="109"/>
      <c r="D404" s="491" t="s">
        <v>116</v>
      </c>
      <c r="E404" s="109"/>
      <c r="F404" s="109"/>
      <c r="G404" s="109"/>
      <c r="H404" s="109"/>
      <c r="I404" s="109"/>
      <c r="J404" s="1199">
        <f>IF('WS1-Application'!$D$33="minimum rate increase",".",J37-J183)</f>
        <v>0</v>
      </c>
      <c r="K404" s="1199">
        <f>IF('WS1-Application'!$D$33="minimum rate increase",".",K37-K183)</f>
        <v>0</v>
      </c>
      <c r="L404" s="1199">
        <f>IF('WS1-Application'!$D$33="minimum rate increase",".",L37-L183)</f>
        <v>0</v>
      </c>
      <c r="M404" s="1199">
        <f>IF('WS1-Application'!$D$33="minimum rate increase",".",M37-M183)</f>
        <v>0</v>
      </c>
      <c r="N404" s="1199">
        <f>IF('WS1-Application'!$D$33="minimum rate increase",".",N37-N183)</f>
        <v>0</v>
      </c>
      <c r="O404" s="1199">
        <f>IF('WS1-Application'!$D$33="minimum rate increase",".",O37-O183)</f>
        <v>0</v>
      </c>
      <c r="P404" s="1199">
        <f>IF('WS1-Application'!$D$33="minimum rate increase",".",P37-P183)</f>
        <v>0</v>
      </c>
      <c r="Q404" s="1199">
        <f>IF('WS1-Application'!$D$33="minimum rate increase",".",Q37-Q183)</f>
        <v>0</v>
      </c>
      <c r="R404" s="1199">
        <f>IF('WS1-Application'!$D$33="minimum rate increase",".",R37-R183)</f>
        <v>0</v>
      </c>
      <c r="S404" s="1199">
        <f>IF('WS1-Application'!$D$33="minimum rate increase",".",S37-S183)</f>
        <v>0</v>
      </c>
      <c r="T404" s="1199">
        <f>IF('WS1-Application'!$D$33="minimum rate increase",".",T37-T183)</f>
        <v>0</v>
      </c>
      <c r="U404" s="1199">
        <f>IF('WS1-Application'!$D$33="minimum rate increase",".",U37-U183)</f>
        <v>0</v>
      </c>
      <c r="V404" s="16"/>
      <c r="W404" s="16"/>
      <c r="X404" s="687"/>
      <c r="Y404" s="3"/>
      <c r="Z404"/>
      <c r="AA404"/>
      <c r="AB404"/>
      <c r="AC404"/>
      <c r="AD404"/>
      <c r="AE404"/>
      <c r="AF404"/>
      <c r="AG404"/>
      <c r="AH404"/>
      <c r="AI404"/>
      <c r="AJ404"/>
      <c r="AK404"/>
      <c r="AL404"/>
      <c r="AM404"/>
      <c r="AN404"/>
      <c r="AO404"/>
      <c r="AP404"/>
      <c r="AQ404"/>
      <c r="AR404"/>
      <c r="AS404"/>
      <c r="AT404"/>
      <c r="AU404"/>
      <c r="AV404"/>
      <c r="AW404"/>
      <c r="AX404"/>
      <c r="AY404"/>
      <c r="AZ404"/>
    </row>
    <row r="405" spans="1:52" ht="11.65" customHeight="1" outlineLevel="1" x14ac:dyDescent="0.2">
      <c r="A405" s="622"/>
      <c r="B405" s="1263"/>
      <c r="C405" s="1"/>
      <c r="D405" s="491"/>
      <c r="E405" s="1"/>
      <c r="F405" s="1"/>
      <c r="G405" s="1"/>
      <c r="H405" s="1"/>
      <c r="I405" s="1"/>
      <c r="J405" s="1283"/>
      <c r="K405" s="1283"/>
      <c r="L405" s="1283"/>
      <c r="M405" s="1283"/>
      <c r="N405" s="1283"/>
      <c r="O405" s="1283"/>
      <c r="P405" s="1283"/>
      <c r="Q405" s="1283"/>
      <c r="R405" s="1283"/>
      <c r="S405" s="1283"/>
      <c r="T405" s="1283"/>
      <c r="U405" s="1283"/>
      <c r="V405" s="16"/>
      <c r="W405" s="16"/>
      <c r="X405" s="687"/>
      <c r="Y405" s="3"/>
      <c r="Z405"/>
      <c r="AA405"/>
      <c r="AB405"/>
      <c r="AC405"/>
      <c r="AD405"/>
      <c r="AE405"/>
      <c r="AF405"/>
      <c r="AG405"/>
      <c r="AH405"/>
      <c r="AI405"/>
      <c r="AJ405"/>
      <c r="AK405"/>
      <c r="AL405"/>
      <c r="AM405"/>
      <c r="AN405"/>
      <c r="AO405"/>
      <c r="AP405"/>
      <c r="AQ405"/>
      <c r="AR405"/>
      <c r="AS405"/>
      <c r="AT405"/>
      <c r="AU405"/>
      <c r="AV405"/>
      <c r="AW405"/>
      <c r="AX405"/>
      <c r="AY405"/>
      <c r="AZ405"/>
    </row>
    <row r="406" spans="1:52" ht="11.65" customHeight="1" outlineLevel="1" x14ac:dyDescent="0.2">
      <c r="A406" s="622"/>
      <c r="B406" s="1223" t="str">
        <f>B$39</f>
        <v>Total Income Continuing Operations</v>
      </c>
      <c r="C406" s="109"/>
      <c r="D406" s="491" t="s">
        <v>116</v>
      </c>
      <c r="E406" s="109"/>
      <c r="F406" s="109"/>
      <c r="G406" s="109"/>
      <c r="H406" s="109"/>
      <c r="I406" s="109"/>
      <c r="J406" s="1199">
        <f>IF('WS1-Application'!$D$33="minimum rate increase",".",J39-J185)</f>
        <v>0</v>
      </c>
      <c r="K406" s="1199">
        <f>IF('WS1-Application'!$D$33="minimum rate increase",".",K39-K185)</f>
        <v>5853953</v>
      </c>
      <c r="L406" s="1199">
        <f>IF('WS1-Application'!$D$33="minimum rate increase",".",L39-L185)</f>
        <v>6291757.9999999702</v>
      </c>
      <c r="M406" s="1199">
        <f>IF('WS1-Application'!$D$33="minimum rate increase",".",M39-M185)</f>
        <v>6522377.7599999905</v>
      </c>
      <c r="N406" s="1199">
        <f>IF('WS1-Application'!$D$33="minimum rate increase",".",N39-N185)</f>
        <v>7252572.2100000381</v>
      </c>
      <c r="O406" s="1199">
        <f>IF('WS1-Application'!$D$33="minimum rate increase",".",O39-O185)</f>
        <v>7716449.0499999523</v>
      </c>
      <c r="P406" s="1199">
        <f>IF('WS1-Application'!$D$33="minimum rate increase",".",P39-P185)</f>
        <v>8203908.8799999654</v>
      </c>
      <c r="Q406" s="1199">
        <f>IF('WS1-Application'!$D$33="minimum rate increase",".",Q39-Q185)</f>
        <v>8916398.3999999762</v>
      </c>
      <c r="R406" s="1199">
        <f>IF('WS1-Application'!$D$33="minimum rate increase",".",R39-R185)</f>
        <v>9562301.4800000191</v>
      </c>
      <c r="S406" s="1199">
        <f>IF('WS1-Application'!$D$33="minimum rate increase",".",S39-S185)</f>
        <v>10239128.350000024</v>
      </c>
      <c r="T406" s="1199">
        <f>IF('WS1-Application'!$D$33="minimum rate increase",".",T39-T185)</f>
        <v>11097733.518599987</v>
      </c>
      <c r="U406" s="1292">
        <f>IF('WS1-Application'!$D$33="minimum rate increase",".",U39-U185)</f>
        <v>81656580.648599625</v>
      </c>
      <c r="V406" s="16"/>
      <c r="W406" s="16"/>
      <c r="X406" s="687"/>
      <c r="Y406" s="3"/>
      <c r="Z406"/>
      <c r="AA406"/>
      <c r="AB406"/>
      <c r="AC406"/>
      <c r="AD406"/>
      <c r="AE406"/>
      <c r="AF406"/>
      <c r="AG406"/>
      <c r="AH406"/>
      <c r="AI406"/>
      <c r="AJ406"/>
      <c r="AK406"/>
      <c r="AL406"/>
      <c r="AM406"/>
      <c r="AN406"/>
      <c r="AO406"/>
      <c r="AP406"/>
      <c r="AQ406"/>
      <c r="AR406"/>
      <c r="AS406"/>
      <c r="AT406"/>
      <c r="AU406"/>
      <c r="AV406"/>
      <c r="AW406"/>
      <c r="AX406"/>
      <c r="AY406"/>
      <c r="AZ406"/>
    </row>
    <row r="407" spans="1:52" ht="11.65" customHeight="1" outlineLevel="1" x14ac:dyDescent="0.2">
      <c r="A407" s="622"/>
      <c r="B407" s="668"/>
      <c r="C407" s="109"/>
      <c r="D407" s="109"/>
      <c r="E407" s="109"/>
      <c r="F407" s="109"/>
      <c r="G407" s="109"/>
      <c r="H407" s="109"/>
      <c r="I407" s="109"/>
      <c r="J407" s="1199"/>
      <c r="K407" s="1199"/>
      <c r="L407" s="1199"/>
      <c r="M407" s="1199"/>
      <c r="N407" s="1199"/>
      <c r="O407" s="1199"/>
      <c r="P407" s="1199"/>
      <c r="Q407" s="1199"/>
      <c r="R407" s="1199"/>
      <c r="S407" s="1199"/>
      <c r="T407" s="1199"/>
      <c r="U407" s="1199"/>
      <c r="V407" s="16"/>
      <c r="W407" s="16"/>
      <c r="X407" s="687"/>
      <c r="Y407" s="3"/>
      <c r="Z407"/>
      <c r="AA407"/>
      <c r="AB407"/>
      <c r="AC407"/>
      <c r="AD407"/>
      <c r="AE407"/>
      <c r="AF407"/>
      <c r="AG407"/>
      <c r="AH407"/>
      <c r="AI407"/>
      <c r="AJ407"/>
      <c r="AK407"/>
      <c r="AL407"/>
      <c r="AM407"/>
      <c r="AN407"/>
      <c r="AO407"/>
      <c r="AP407"/>
      <c r="AQ407"/>
      <c r="AR407"/>
      <c r="AS407"/>
      <c r="AT407"/>
      <c r="AU407"/>
      <c r="AV407"/>
      <c r="AW407"/>
      <c r="AX407"/>
      <c r="AY407"/>
      <c r="AZ407"/>
    </row>
    <row r="408" spans="1:52" ht="23.25" customHeight="1" outlineLevel="1" x14ac:dyDescent="0.2">
      <c r="A408" s="622"/>
      <c r="B408" s="1370" t="str">
        <f>B$41</f>
        <v>Income excluding capital grants and contributions</v>
      </c>
      <c r="C408" s="109"/>
      <c r="D408" s="491" t="s">
        <v>116</v>
      </c>
      <c r="E408" s="109"/>
      <c r="F408" s="109"/>
      <c r="G408" s="109"/>
      <c r="H408" s="109"/>
      <c r="I408" s="109"/>
      <c r="J408" s="1199">
        <f>IF('WS1-Application'!$D$33="minimum rate increase",".",J41-J187)</f>
        <v>0</v>
      </c>
      <c r="K408" s="1199">
        <f>IF('WS1-Application'!$D$33="minimum rate increase",".",K41-K187)</f>
        <v>5853953</v>
      </c>
      <c r="L408" s="1199">
        <f>IF('WS1-Application'!$D$33="minimum rate increase",".",L41-L187)</f>
        <v>6291757.9999999702</v>
      </c>
      <c r="M408" s="1199">
        <f>IF('WS1-Application'!$D$33="minimum rate increase",".",M41-M187)</f>
        <v>6522377.7599999905</v>
      </c>
      <c r="N408" s="1199">
        <f>IF('WS1-Application'!$D$33="minimum rate increase",".",N41-N187)</f>
        <v>7252572.2100000381</v>
      </c>
      <c r="O408" s="1199">
        <f>IF('WS1-Application'!$D$33="minimum rate increase",".",O41-O187)</f>
        <v>7716449.0499999523</v>
      </c>
      <c r="P408" s="1199">
        <f>IF('WS1-Application'!$D$33="minimum rate increase",".",P41-P187)</f>
        <v>8203908.8799999654</v>
      </c>
      <c r="Q408" s="1199">
        <f>IF('WS1-Application'!$D$33="minimum rate increase",".",Q41-Q187)</f>
        <v>8916398.3999999762</v>
      </c>
      <c r="R408" s="1199">
        <f>IF('WS1-Application'!$D$33="minimum rate increase",".",R41-R187)</f>
        <v>9562301.4800000191</v>
      </c>
      <c r="S408" s="1199">
        <f>IF('WS1-Application'!$D$33="minimum rate increase",".",S41-S187)</f>
        <v>10239128.350000024</v>
      </c>
      <c r="T408" s="1199">
        <f>IF('WS1-Application'!$D$33="minimum rate increase",".",T41-T187)</f>
        <v>11097733.518599987</v>
      </c>
      <c r="U408" s="1292">
        <f>IF('WS1-Application'!$D$33="minimum rate increase",".",U41-U187)</f>
        <v>81656580.648599625</v>
      </c>
      <c r="V408" s="16"/>
      <c r="W408" s="16"/>
      <c r="X408" s="687"/>
      <c r="Y408" s="3"/>
      <c r="Z408"/>
      <c r="AA408"/>
      <c r="AB408"/>
      <c r="AC408"/>
      <c r="AD408"/>
      <c r="AE408"/>
      <c r="AF408"/>
      <c r="AG408"/>
      <c r="AH408"/>
      <c r="AI408"/>
      <c r="AJ408"/>
      <c r="AK408"/>
      <c r="AL408"/>
      <c r="AM408"/>
      <c r="AN408"/>
      <c r="AO408"/>
      <c r="AP408"/>
      <c r="AQ408"/>
      <c r="AR408"/>
      <c r="AS408"/>
      <c r="AT408"/>
      <c r="AU408"/>
      <c r="AV408"/>
      <c r="AW408"/>
      <c r="AX408"/>
      <c r="AY408"/>
      <c r="AZ408"/>
    </row>
    <row r="409" spans="1:52" ht="11.65" customHeight="1" outlineLevel="1" x14ac:dyDescent="0.2">
      <c r="A409" s="622"/>
      <c r="B409" s="668"/>
      <c r="C409" s="109"/>
      <c r="D409" s="109"/>
      <c r="E409" s="109"/>
      <c r="F409" s="109"/>
      <c r="G409" s="109"/>
      <c r="H409" s="109"/>
      <c r="I409" s="109"/>
      <c r="J409" s="1199"/>
      <c r="K409" s="1199"/>
      <c r="L409" s="1199"/>
      <c r="M409" s="1199"/>
      <c r="N409" s="1199"/>
      <c r="O409" s="1199"/>
      <c r="P409" s="1199"/>
      <c r="Q409" s="1199"/>
      <c r="R409" s="1199"/>
      <c r="S409" s="1199"/>
      <c r="T409" s="1199"/>
      <c r="U409" s="1199"/>
      <c r="V409" s="16"/>
      <c r="W409" s="16"/>
      <c r="X409" s="687"/>
      <c r="Y409" s="3"/>
      <c r="Z409"/>
      <c r="AA409"/>
      <c r="AB409"/>
      <c r="AC409"/>
      <c r="AD409"/>
      <c r="AE409"/>
      <c r="AF409"/>
      <c r="AG409"/>
      <c r="AH409"/>
      <c r="AI409"/>
      <c r="AJ409"/>
      <c r="AK409"/>
      <c r="AL409"/>
      <c r="AM409"/>
      <c r="AN409"/>
      <c r="AO409"/>
      <c r="AP409"/>
      <c r="AQ409"/>
      <c r="AR409"/>
      <c r="AS409"/>
      <c r="AT409"/>
      <c r="AU409"/>
      <c r="AV409"/>
      <c r="AW409"/>
      <c r="AX409"/>
      <c r="AY409"/>
      <c r="AZ409"/>
    </row>
    <row r="410" spans="1:52" ht="52.15" customHeight="1" outlineLevel="1" x14ac:dyDescent="0.2">
      <c r="A410" s="622"/>
      <c r="B410" s="1325" t="str">
        <f>B$43</f>
        <v>Income excluding capital grants and contributions, net gains from asset disposals, profit on joint ventures and fair value gains</v>
      </c>
      <c r="C410" s="109"/>
      <c r="D410" s="491" t="s">
        <v>116</v>
      </c>
      <c r="E410" s="109"/>
      <c r="F410" s="109"/>
      <c r="G410" s="109"/>
      <c r="H410" s="109"/>
      <c r="I410" s="109"/>
      <c r="J410" s="1199">
        <f>IF('WS1-Application'!$D$33="minimum rate increase",".",J43-J189)</f>
        <v>0</v>
      </c>
      <c r="K410" s="1199">
        <f>IF('WS1-Application'!$D$33="minimum rate increase",".",K43-K189)</f>
        <v>5853953</v>
      </c>
      <c r="L410" s="1199">
        <f>IF('WS1-Application'!$D$33="minimum rate increase",".",L43-L189)</f>
        <v>6291757.9999999702</v>
      </c>
      <c r="M410" s="1199">
        <f>IF('WS1-Application'!$D$33="minimum rate increase",".",M43-M189)</f>
        <v>6522377.7599999905</v>
      </c>
      <c r="N410" s="1199">
        <f>IF('WS1-Application'!$D$33="minimum rate increase",".",N43-N189)</f>
        <v>7252572.2100000381</v>
      </c>
      <c r="O410" s="1199">
        <f>IF('WS1-Application'!$D$33="minimum rate increase",".",O43-O189)</f>
        <v>7716449.0499999523</v>
      </c>
      <c r="P410" s="1199">
        <f>IF('WS1-Application'!$D$33="minimum rate increase",".",P43-P189)</f>
        <v>8203908.8799999654</v>
      </c>
      <c r="Q410" s="1199">
        <f>IF('WS1-Application'!$D$33="minimum rate increase",".",Q43-Q189)</f>
        <v>8916398.3999999762</v>
      </c>
      <c r="R410" s="1199">
        <f>IF('WS1-Application'!$D$33="minimum rate increase",".",R43-R189)</f>
        <v>9562301.4800000191</v>
      </c>
      <c r="S410" s="1199">
        <f>IF('WS1-Application'!$D$33="minimum rate increase",".",S43-S189)</f>
        <v>10239128.350000024</v>
      </c>
      <c r="T410" s="1199">
        <f>IF('WS1-Application'!$D$33="minimum rate increase",".",T43-T189)</f>
        <v>11097733.518599987</v>
      </c>
      <c r="U410" s="1292">
        <f>IF('WS1-Application'!$D$33="minimum rate increase",".",U43-U189)</f>
        <v>81656580.648599625</v>
      </c>
      <c r="V410" s="16"/>
      <c r="W410" s="16"/>
      <c r="X410" s="687"/>
      <c r="Y410" s="3"/>
      <c r="Z410"/>
      <c r="AA410"/>
      <c r="AB410"/>
      <c r="AC410"/>
      <c r="AD410"/>
      <c r="AE410"/>
      <c r="AF410"/>
      <c r="AG410"/>
      <c r="AH410"/>
      <c r="AI410"/>
      <c r="AJ410"/>
      <c r="AK410"/>
      <c r="AL410"/>
      <c r="AM410"/>
      <c r="AN410"/>
      <c r="AO410"/>
      <c r="AP410"/>
      <c r="AQ410"/>
      <c r="AR410"/>
      <c r="AS410"/>
      <c r="AT410"/>
      <c r="AU410"/>
      <c r="AV410"/>
      <c r="AW410"/>
      <c r="AX410"/>
      <c r="AY410"/>
      <c r="AZ410"/>
    </row>
    <row r="411" spans="1:52" ht="11.25" customHeight="1" outlineLevel="1" x14ac:dyDescent="0.2">
      <c r="A411" s="622"/>
      <c r="B411" s="581"/>
      <c r="C411" s="1"/>
      <c r="D411" s="1"/>
      <c r="E411" s="1"/>
      <c r="F411" s="1"/>
      <c r="G411" s="1"/>
      <c r="H411" s="1"/>
      <c r="I411" s="1"/>
      <c r="J411" s="1283"/>
      <c r="K411" s="1283"/>
      <c r="L411" s="1283"/>
      <c r="M411" s="1283"/>
      <c r="N411" s="1283"/>
      <c r="O411" s="1283"/>
      <c r="P411" s="1283"/>
      <c r="Q411" s="1283"/>
      <c r="R411" s="1283"/>
      <c r="S411" s="1283"/>
      <c r="T411" s="1283"/>
      <c r="U411" s="1283"/>
      <c r="V411" s="16"/>
      <c r="W411" s="16"/>
      <c r="X411" s="687"/>
      <c r="Y411" s="3"/>
      <c r="Z411"/>
      <c r="AA411"/>
      <c r="AB411"/>
      <c r="AC411"/>
      <c r="AD411"/>
      <c r="AE411"/>
      <c r="AF411"/>
      <c r="AG411"/>
      <c r="AH411"/>
      <c r="AI411"/>
      <c r="AJ411"/>
      <c r="AK411"/>
      <c r="AL411"/>
      <c r="AM411"/>
      <c r="AN411"/>
      <c r="AO411"/>
      <c r="AP411"/>
      <c r="AQ411"/>
      <c r="AR411"/>
      <c r="AS411"/>
      <c r="AT411"/>
      <c r="AU411"/>
      <c r="AV411"/>
      <c r="AW411"/>
      <c r="AX411"/>
      <c r="AY411"/>
      <c r="AZ411"/>
    </row>
    <row r="412" spans="1:52" customFormat="1" ht="11.65" customHeight="1" outlineLevel="1" x14ac:dyDescent="0.2">
      <c r="A412" s="622"/>
      <c r="B412" s="1324" t="str">
        <f>B$45</f>
        <v>Expenses from continuing operations</v>
      </c>
      <c r="C412" s="265"/>
      <c r="D412" s="265"/>
      <c r="E412" s="265"/>
      <c r="F412" s="265"/>
      <c r="G412" s="265"/>
      <c r="H412" s="265"/>
      <c r="I412" s="265"/>
      <c r="J412" s="1288"/>
      <c r="K412" s="1293"/>
      <c r="L412" s="1288"/>
      <c r="M412" s="1294"/>
      <c r="N412" s="1289"/>
      <c r="O412" s="1289"/>
      <c r="P412" s="1289"/>
      <c r="Q412" s="1289"/>
      <c r="R412" s="1289"/>
      <c r="S412" s="1289"/>
      <c r="T412" s="1289"/>
      <c r="U412" s="1289"/>
      <c r="V412" s="16"/>
      <c r="W412" s="16"/>
      <c r="X412" s="687"/>
      <c r="Y412" s="3"/>
    </row>
    <row r="413" spans="1:52" ht="11.65" customHeight="1" outlineLevel="1" x14ac:dyDescent="0.2">
      <c r="A413" s="622"/>
      <c r="B413" s="581"/>
      <c r="C413" s="1"/>
      <c r="D413" s="1"/>
      <c r="E413" s="1"/>
      <c r="F413" s="1"/>
      <c r="G413" s="1"/>
      <c r="H413" s="1"/>
      <c r="I413" s="1"/>
      <c r="J413" s="1283"/>
      <c r="K413" s="1283"/>
      <c r="L413" s="1283"/>
      <c r="M413" s="1283"/>
      <c r="N413" s="1283"/>
      <c r="O413" s="1283"/>
      <c r="P413" s="1283"/>
      <c r="Q413" s="1283"/>
      <c r="R413" s="1283"/>
      <c r="S413" s="1283"/>
      <c r="T413" s="1283"/>
      <c r="U413" s="1283"/>
      <c r="V413" s="16"/>
      <c r="W413" s="16"/>
      <c r="X413" s="687"/>
      <c r="Y413" s="3"/>
      <c r="Z413"/>
      <c r="AA413"/>
      <c r="AB413"/>
      <c r="AC413"/>
      <c r="AD413"/>
      <c r="AE413"/>
      <c r="AF413"/>
      <c r="AG413"/>
      <c r="AH413"/>
      <c r="AI413"/>
      <c r="AJ413"/>
      <c r="AK413"/>
      <c r="AL413"/>
      <c r="AM413"/>
      <c r="AN413"/>
      <c r="AO413"/>
      <c r="AP413"/>
      <c r="AQ413"/>
      <c r="AR413"/>
      <c r="AS413"/>
      <c r="AT413"/>
      <c r="AU413"/>
      <c r="AV413"/>
      <c r="AW413"/>
      <c r="AX413"/>
      <c r="AY413"/>
      <c r="AZ413"/>
    </row>
    <row r="414" spans="1:52" ht="11.65" customHeight="1" outlineLevel="1" x14ac:dyDescent="0.2">
      <c r="A414" s="622"/>
      <c r="B414" s="721" t="str">
        <f>B$47</f>
        <v>Employee Benefits &amp; On-costs</v>
      </c>
      <c r="C414" s="109"/>
      <c r="D414" s="491" t="s">
        <v>116</v>
      </c>
      <c r="E414" s="109"/>
      <c r="F414" s="109"/>
      <c r="G414" s="109"/>
      <c r="H414" s="109"/>
      <c r="I414" s="109"/>
      <c r="J414" s="1199">
        <f>IF('WS1-Application'!$D$33="minimum rate increase",".",J47-J193)</f>
        <v>0</v>
      </c>
      <c r="K414" s="1199">
        <f>IF('WS1-Application'!$D$33="minimum rate increase",".",K47-K193)</f>
        <v>0</v>
      </c>
      <c r="L414" s="1199">
        <f>IF('WS1-Application'!$D$33="minimum rate increase",".",L47-L193)</f>
        <v>0</v>
      </c>
      <c r="M414" s="1199">
        <f>IF('WS1-Application'!$D$33="minimum rate increase",".",M47-M193)</f>
        <v>971417.6099999994</v>
      </c>
      <c r="N414" s="1199">
        <f>IF('WS1-Application'!$D$33="minimum rate increase",".",N47-N193)</f>
        <v>1000560.1400000006</v>
      </c>
      <c r="O414" s="1199">
        <f>IF('WS1-Application'!$D$33="minimum rate increase",".",O47-O193)</f>
        <v>1030576.9399999976</v>
      </c>
      <c r="P414" s="1199">
        <f>IF('WS1-Application'!$D$33="minimum rate increase",".",P47-P193)</f>
        <v>1061494.25</v>
      </c>
      <c r="Q414" s="1199">
        <f>IF('WS1-Application'!$D$33="minimum rate increase",".",Q47-Q193)</f>
        <v>1093339.0799999982</v>
      </c>
      <c r="R414" s="1199">
        <f>IF('WS1-Application'!$D$33="minimum rate increase",".",R47-R193)</f>
        <v>1126139.25</v>
      </c>
      <c r="S414" s="1199">
        <f>IF('WS1-Application'!$D$33="minimum rate increase",".",S47-S193)</f>
        <v>1159923.4299999997</v>
      </c>
      <c r="T414" s="1199">
        <f>IF('WS1-Application'!$D$33="minimum rate increase",".",T47-T193)</f>
        <v>1194721.1328999922</v>
      </c>
      <c r="U414" s="1292">
        <f>IF('WS1-Application'!$D$33="minimum rate increase",".",U47-U193)</f>
        <v>8638171.8329000473</v>
      </c>
      <c r="V414" s="16"/>
      <c r="W414" s="16"/>
      <c r="X414" s="687"/>
      <c r="Y414" s="3"/>
      <c r="Z414"/>
      <c r="AA414"/>
      <c r="AB414"/>
      <c r="AC414"/>
      <c r="AD414"/>
      <c r="AE414"/>
      <c r="AF414"/>
      <c r="AG414"/>
      <c r="AH414"/>
      <c r="AI414"/>
      <c r="AJ414"/>
      <c r="AK414"/>
      <c r="AL414"/>
      <c r="AM414"/>
      <c r="AN414"/>
      <c r="AO414"/>
      <c r="AP414"/>
      <c r="AQ414"/>
      <c r="AR414"/>
      <c r="AS414"/>
      <c r="AT414"/>
      <c r="AU414"/>
      <c r="AV414"/>
      <c r="AW414"/>
      <c r="AX414"/>
      <c r="AY414"/>
      <c r="AZ414"/>
    </row>
    <row r="415" spans="1:52" ht="11.65" customHeight="1" outlineLevel="1" x14ac:dyDescent="0.2">
      <c r="A415" s="622"/>
      <c r="B415" s="721" t="str">
        <f>B$48</f>
        <v>Borrowing Costs (i.e. interest costs)</v>
      </c>
      <c r="C415" s="109"/>
      <c r="D415" s="491" t="s">
        <v>116</v>
      </c>
      <c r="E415" s="109"/>
      <c r="F415" s="109"/>
      <c r="G415" s="109"/>
      <c r="H415" s="109"/>
      <c r="I415" s="109"/>
      <c r="J415" s="1199">
        <f>IF('WS1-Application'!$D$33="minimum rate increase",".",J48-J194)</f>
        <v>0</v>
      </c>
      <c r="K415" s="1199">
        <f>IF('WS1-Application'!$D$33="minimum rate increase",".",K48-K194)</f>
        <v>0</v>
      </c>
      <c r="L415" s="1199">
        <f>IF('WS1-Application'!$D$33="minimum rate increase",".",L48-L194)</f>
        <v>0</v>
      </c>
      <c r="M415" s="1199">
        <f>IF('WS1-Application'!$D$33="minimum rate increase",".",M48-M194)</f>
        <v>0</v>
      </c>
      <c r="N415" s="1199">
        <f>IF('WS1-Application'!$D$33="minimum rate increase",".",N48-N194)</f>
        <v>0</v>
      </c>
      <c r="O415" s="1199">
        <f>IF('WS1-Application'!$D$33="minimum rate increase",".",O48-O194)</f>
        <v>0</v>
      </c>
      <c r="P415" s="1199">
        <f>IF('WS1-Application'!$D$33="minimum rate increase",".",P48-P194)</f>
        <v>0</v>
      </c>
      <c r="Q415" s="1199">
        <f>IF('WS1-Application'!$D$33="minimum rate increase",".",Q48-Q194)</f>
        <v>0</v>
      </c>
      <c r="R415" s="1199">
        <f>IF('WS1-Application'!$D$33="minimum rate increase",".",R48-R194)</f>
        <v>0</v>
      </c>
      <c r="S415" s="1199">
        <f>IF('WS1-Application'!$D$33="minimum rate increase",".",S48-S194)</f>
        <v>0</v>
      </c>
      <c r="T415" s="1199">
        <f>IF('WS1-Application'!$D$33="minimum rate increase",".",T48-T194)</f>
        <v>0</v>
      </c>
      <c r="U415" s="1292">
        <f>IF('WS1-Application'!$D$33="minimum rate increase",".",U48-U194)</f>
        <v>0</v>
      </c>
      <c r="V415" s="16"/>
      <c r="W415" s="16"/>
      <c r="X415" s="687"/>
      <c r="Y415" s="3"/>
      <c r="Z415"/>
      <c r="AA415"/>
      <c r="AB415"/>
      <c r="AC415"/>
      <c r="AD415"/>
      <c r="AE415"/>
      <c r="AF415"/>
      <c r="AG415"/>
      <c r="AH415"/>
      <c r="AI415"/>
      <c r="AJ415"/>
      <c r="AK415"/>
      <c r="AL415"/>
      <c r="AM415"/>
      <c r="AN415"/>
      <c r="AO415"/>
      <c r="AP415"/>
      <c r="AQ415"/>
      <c r="AR415"/>
      <c r="AS415"/>
      <c r="AT415"/>
      <c r="AU415"/>
      <c r="AV415"/>
      <c r="AW415"/>
      <c r="AX415"/>
      <c r="AY415"/>
      <c r="AZ415"/>
    </row>
    <row r="416" spans="1:52" ht="11.65" customHeight="1" outlineLevel="1" x14ac:dyDescent="0.2">
      <c r="A416" s="622"/>
      <c r="B416" s="721" t="str">
        <f>B$49</f>
        <v>Materials &amp; Contracts</v>
      </c>
      <c r="C416" s="109"/>
      <c r="D416" s="491" t="s">
        <v>116</v>
      </c>
      <c r="E416" s="109"/>
      <c r="F416" s="109"/>
      <c r="G416" s="109"/>
      <c r="H416" s="109"/>
      <c r="I416" s="109"/>
      <c r="J416" s="1199">
        <f>IF('WS1-Application'!$D$33="minimum rate increase",".",J49-J195)</f>
        <v>0</v>
      </c>
      <c r="K416" s="1199">
        <f>IF('WS1-Application'!$D$33="minimum rate increase",".",K49-K195)</f>
        <v>982040</v>
      </c>
      <c r="L416" s="1199">
        <f>IF('WS1-Application'!$D$33="minimum rate increase",".",L49-L195)</f>
        <v>2397801.1999999955</v>
      </c>
      <c r="M416" s="1199">
        <f>IF('WS1-Application'!$D$33="minimum rate increase",".",M49-M195)</f>
        <v>2032317.6200000048</v>
      </c>
      <c r="N416" s="1199">
        <f>IF('WS1-Application'!$D$33="minimum rate increase",".",N49-N195)</f>
        <v>2093287.150000006</v>
      </c>
      <c r="O416" s="1199">
        <f>IF('WS1-Application'!$D$33="minimum rate increase",".",O49-O195)</f>
        <v>2156085.7600000128</v>
      </c>
      <c r="P416" s="1199">
        <f>IF('WS1-Application'!$D$33="minimum rate increase",".",P49-P195)</f>
        <v>2220768.3299999684</v>
      </c>
      <c r="Q416" s="1199">
        <f>IF('WS1-Application'!$D$33="minimum rate increase",".",Q49-Q195)</f>
        <v>2287391.3799999505</v>
      </c>
      <c r="R416" s="1199">
        <f>IF('WS1-Application'!$D$33="minimum rate increase",".",R49-R195)</f>
        <v>2356013.1199999899</v>
      </c>
      <c r="S416" s="1199">
        <f>IF('WS1-Application'!$D$33="minimum rate increase",".",S49-S195)</f>
        <v>2426693.5199999511</v>
      </c>
      <c r="T416" s="1199">
        <f>IF('WS1-Application'!$D$33="minimum rate increase",".",T49-T195)</f>
        <v>2499494.3255999535</v>
      </c>
      <c r="U416" s="1292">
        <f>IF('WS1-Application'!$D$33="minimum rate increase",".",U49-U195)</f>
        <v>21451892.405599713</v>
      </c>
      <c r="V416" s="16"/>
      <c r="W416" s="16"/>
      <c r="X416" s="687"/>
      <c r="Y416" s="3"/>
      <c r="Z416"/>
      <c r="AA416"/>
      <c r="AB416"/>
      <c r="AC416"/>
      <c r="AD416"/>
      <c r="AE416"/>
      <c r="AF416"/>
      <c r="AG416"/>
      <c r="AH416"/>
      <c r="AI416"/>
      <c r="AJ416"/>
      <c r="AK416"/>
      <c r="AL416"/>
      <c r="AM416"/>
      <c r="AN416"/>
      <c r="AO416"/>
      <c r="AP416"/>
      <c r="AQ416"/>
      <c r="AR416"/>
      <c r="AS416"/>
      <c r="AT416"/>
      <c r="AU416"/>
      <c r="AV416"/>
      <c r="AW416"/>
      <c r="AX416"/>
      <c r="AY416"/>
      <c r="AZ416"/>
    </row>
    <row r="417" spans="1:52" ht="11.65" customHeight="1" outlineLevel="1" x14ac:dyDescent="0.2">
      <c r="A417" s="622"/>
      <c r="B417" s="721" t="str">
        <f>B$50</f>
        <v>Depreciation &amp; Amortisation</v>
      </c>
      <c r="C417" s="109"/>
      <c r="D417" s="491" t="s">
        <v>116</v>
      </c>
      <c r="E417" s="109"/>
      <c r="F417" s="109"/>
      <c r="G417" s="109"/>
      <c r="H417" s="109"/>
      <c r="I417" s="109"/>
      <c r="J417" s="1199">
        <f>IF('WS1-Application'!$D$33="minimum rate increase",".",J50-J196)</f>
        <v>0</v>
      </c>
      <c r="K417" s="1199">
        <f>IF('WS1-Application'!$D$33="minimum rate increase",".",K50-K196)</f>
        <v>0</v>
      </c>
      <c r="L417" s="1199">
        <f>IF('WS1-Application'!$D$33="minimum rate increase",".",L50-L196)</f>
        <v>0</v>
      </c>
      <c r="M417" s="1199">
        <f>IF('WS1-Application'!$D$33="minimum rate increase",".",M50-M196)</f>
        <v>0</v>
      </c>
      <c r="N417" s="1199">
        <f>IF('WS1-Application'!$D$33="minimum rate increase",".",N50-N196)</f>
        <v>0</v>
      </c>
      <c r="O417" s="1199">
        <f>IF('WS1-Application'!$D$33="minimum rate increase",".",O50-O196)</f>
        <v>0</v>
      </c>
      <c r="P417" s="1199">
        <f>IF('WS1-Application'!$D$33="minimum rate increase",".",P50-P196)</f>
        <v>0</v>
      </c>
      <c r="Q417" s="1199">
        <f>IF('WS1-Application'!$D$33="minimum rate increase",".",Q50-Q196)</f>
        <v>0</v>
      </c>
      <c r="R417" s="1199">
        <f>IF('WS1-Application'!$D$33="minimum rate increase",".",R50-R196)</f>
        <v>0</v>
      </c>
      <c r="S417" s="1199">
        <f>IF('WS1-Application'!$D$33="minimum rate increase",".",S50-S196)</f>
        <v>0</v>
      </c>
      <c r="T417" s="1199">
        <f>IF('WS1-Application'!$D$33="minimum rate increase",".",T50-T196)</f>
        <v>0</v>
      </c>
      <c r="U417" s="1292">
        <f>IF('WS1-Application'!$D$33="minimum rate increase",".",U50-U196)</f>
        <v>0</v>
      </c>
      <c r="V417" s="16"/>
      <c r="W417" s="16"/>
      <c r="X417" s="687"/>
      <c r="Y417" s="3"/>
      <c r="Z417"/>
      <c r="AA417"/>
      <c r="AB417"/>
      <c r="AC417"/>
      <c r="AD417"/>
      <c r="AE417"/>
      <c r="AF417"/>
      <c r="AG417"/>
      <c r="AH417"/>
      <c r="AI417"/>
      <c r="AJ417"/>
      <c r="AK417"/>
      <c r="AL417"/>
      <c r="AM417"/>
      <c r="AN417"/>
      <c r="AO417"/>
      <c r="AP417"/>
      <c r="AQ417"/>
      <c r="AR417"/>
      <c r="AS417"/>
      <c r="AT417"/>
      <c r="AU417"/>
      <c r="AV417"/>
      <c r="AW417"/>
      <c r="AX417"/>
      <c r="AY417"/>
      <c r="AZ417"/>
    </row>
    <row r="418" spans="1:52" ht="11.65" customHeight="1" outlineLevel="1" x14ac:dyDescent="0.2">
      <c r="A418" s="622"/>
      <c r="B418" s="721" t="str">
        <f>B$51</f>
        <v>Other Expenses</v>
      </c>
      <c r="C418" s="109"/>
      <c r="D418" s="491" t="s">
        <v>116</v>
      </c>
      <c r="E418" s="109"/>
      <c r="F418" s="109"/>
      <c r="G418" s="109"/>
      <c r="H418" s="109"/>
      <c r="I418" s="109"/>
      <c r="J418" s="1199">
        <f>IF('WS1-Application'!$D$33="minimum rate increase",".",J51-J197)</f>
        <v>0</v>
      </c>
      <c r="K418" s="1199">
        <f>IF('WS1-Application'!$D$33="minimum rate increase",".",K51-K197)</f>
        <v>0</v>
      </c>
      <c r="L418" s="1199">
        <f>IF('WS1-Application'!$D$33="minimum rate increase",".",L51-L197)</f>
        <v>0</v>
      </c>
      <c r="M418" s="1199">
        <f>IF('WS1-Application'!$D$33="minimum rate increase",".",M51-M197)</f>
        <v>0</v>
      </c>
      <c r="N418" s="1199">
        <f>IF('WS1-Application'!$D$33="minimum rate increase",".",N51-N197)</f>
        <v>0</v>
      </c>
      <c r="O418" s="1199">
        <f>IF('WS1-Application'!$D$33="minimum rate increase",".",O51-O197)</f>
        <v>0</v>
      </c>
      <c r="P418" s="1199">
        <f>IF('WS1-Application'!$D$33="minimum rate increase",".",P51-P197)</f>
        <v>0</v>
      </c>
      <c r="Q418" s="1199">
        <f>IF('WS1-Application'!$D$33="minimum rate increase",".",Q51-Q197)</f>
        <v>0</v>
      </c>
      <c r="R418" s="1199">
        <f>IF('WS1-Application'!$D$33="minimum rate increase",".",R51-R197)</f>
        <v>0</v>
      </c>
      <c r="S418" s="1199">
        <f>IF('WS1-Application'!$D$33="minimum rate increase",".",S51-S197)</f>
        <v>0</v>
      </c>
      <c r="T418" s="1199">
        <f>IF('WS1-Application'!$D$33="minimum rate increase",".",T51-T197)</f>
        <v>-51500</v>
      </c>
      <c r="U418" s="1292">
        <f>IF('WS1-Application'!$D$33="minimum rate increase",".",U51-U197)</f>
        <v>-51500</v>
      </c>
      <c r="V418" s="16"/>
      <c r="W418" s="16"/>
      <c r="X418" s="687"/>
      <c r="Y418" s="3"/>
      <c r="Z418"/>
      <c r="AA418"/>
      <c r="AB418"/>
      <c r="AC418"/>
      <c r="AD418"/>
      <c r="AE418"/>
      <c r="AF418"/>
      <c r="AG418"/>
      <c r="AH418"/>
      <c r="AI418"/>
      <c r="AJ418"/>
      <c r="AK418"/>
      <c r="AL418"/>
      <c r="AM418"/>
      <c r="AN418"/>
      <c r="AO418"/>
      <c r="AP418"/>
      <c r="AQ418"/>
      <c r="AR418"/>
      <c r="AS418"/>
      <c r="AT418"/>
      <c r="AU418"/>
      <c r="AV418"/>
      <c r="AW418"/>
      <c r="AX418"/>
      <c r="AY418"/>
      <c r="AZ418"/>
    </row>
    <row r="419" spans="1:52" ht="11.65" customHeight="1" outlineLevel="1" x14ac:dyDescent="0.2">
      <c r="A419" s="622"/>
      <c r="B419" s="1263" t="str">
        <f>B$52</f>
        <v>&lt;include additional items here&gt;</v>
      </c>
      <c r="C419" s="109"/>
      <c r="D419" s="491" t="s">
        <v>116</v>
      </c>
      <c r="E419" s="109"/>
      <c r="F419" s="109"/>
      <c r="G419" s="109"/>
      <c r="H419" s="109"/>
      <c r="I419" s="109"/>
      <c r="J419" s="1199">
        <f>IF('WS1-Application'!$D$33="minimum rate increase",".",J52-J198)</f>
        <v>0</v>
      </c>
      <c r="K419" s="1199">
        <f>IF('WS1-Application'!$D$33="minimum rate increase",".",K52-K198)</f>
        <v>0</v>
      </c>
      <c r="L419" s="1199">
        <f>IF('WS1-Application'!$D$33="minimum rate increase",".",L52-L198)</f>
        <v>0</v>
      </c>
      <c r="M419" s="1199">
        <f>IF('WS1-Application'!$D$33="minimum rate increase",".",M52-M198)</f>
        <v>0</v>
      </c>
      <c r="N419" s="1199">
        <f>IF('WS1-Application'!$D$33="minimum rate increase",".",N52-N198)</f>
        <v>0</v>
      </c>
      <c r="O419" s="1199">
        <f>IF('WS1-Application'!$D$33="minimum rate increase",".",O52-O198)</f>
        <v>0</v>
      </c>
      <c r="P419" s="1199">
        <f>IF('WS1-Application'!$D$33="minimum rate increase",".",P52-P198)</f>
        <v>0</v>
      </c>
      <c r="Q419" s="1199">
        <f>IF('WS1-Application'!$D$33="minimum rate increase",".",Q52-Q198)</f>
        <v>0</v>
      </c>
      <c r="R419" s="1199">
        <f>IF('WS1-Application'!$D$33="minimum rate increase",".",R52-R198)</f>
        <v>0</v>
      </c>
      <c r="S419" s="1199">
        <f>IF('WS1-Application'!$D$33="minimum rate increase",".",S52-S198)</f>
        <v>0</v>
      </c>
      <c r="T419" s="1199">
        <f>IF('WS1-Application'!$D$33="minimum rate increase",".",T52-T198)</f>
        <v>0</v>
      </c>
      <c r="U419" s="1292">
        <f>IF('WS1-Application'!$D$33="minimum rate increase",".",U52-U198)</f>
        <v>0</v>
      </c>
      <c r="V419" s="16"/>
      <c r="W419" s="16"/>
      <c r="X419" s="687"/>
      <c r="Y419" s="3"/>
      <c r="Z419"/>
      <c r="AA419"/>
      <c r="AB419"/>
      <c r="AC419"/>
      <c r="AD419"/>
      <c r="AE419"/>
      <c r="AF419"/>
      <c r="AG419"/>
      <c r="AH419"/>
      <c r="AI419"/>
      <c r="AJ419"/>
      <c r="AK419"/>
      <c r="AL419"/>
      <c r="AM419"/>
      <c r="AN419"/>
      <c r="AO419"/>
      <c r="AP419"/>
      <c r="AQ419"/>
      <c r="AR419"/>
      <c r="AS419"/>
      <c r="AT419"/>
      <c r="AU419"/>
      <c r="AV419"/>
      <c r="AW419"/>
      <c r="AX419"/>
      <c r="AY419"/>
      <c r="AZ419"/>
    </row>
    <row r="420" spans="1:52" ht="11.65" customHeight="1" outlineLevel="1" x14ac:dyDescent="0.2">
      <c r="A420" s="622"/>
      <c r="B420" s="1361" t="str">
        <f>B$53</f>
        <v>Other Expenses (items excluded from ratio analyis)</v>
      </c>
      <c r="C420" s="109"/>
      <c r="D420" s="491" t="s">
        <v>116</v>
      </c>
      <c r="E420" s="109"/>
      <c r="F420" s="109"/>
      <c r="G420" s="109"/>
      <c r="H420" s="109"/>
      <c r="I420" s="109"/>
      <c r="J420" s="1199"/>
      <c r="K420" s="1199"/>
      <c r="L420" s="1199"/>
      <c r="M420" s="1199"/>
      <c r="N420" s="1199"/>
      <c r="O420" s="1199"/>
      <c r="P420" s="1199"/>
      <c r="Q420" s="1199"/>
      <c r="R420" s="1199"/>
      <c r="S420" s="1199"/>
      <c r="T420" s="1199"/>
      <c r="U420" s="1199"/>
      <c r="V420" s="16"/>
      <c r="W420" s="16"/>
      <c r="X420" s="687"/>
      <c r="Y420" s="3"/>
      <c r="Z420"/>
      <c r="AA420"/>
      <c r="AB420"/>
      <c r="AC420"/>
      <c r="AD420"/>
      <c r="AE420"/>
      <c r="AF420"/>
      <c r="AG420"/>
      <c r="AH420"/>
      <c r="AI420"/>
      <c r="AJ420"/>
      <c r="AK420"/>
      <c r="AL420"/>
      <c r="AM420"/>
      <c r="AN420"/>
      <c r="AO420"/>
      <c r="AP420"/>
      <c r="AQ420"/>
      <c r="AR420"/>
      <c r="AS420"/>
      <c r="AT420"/>
      <c r="AU420"/>
      <c r="AV420"/>
      <c r="AW420"/>
      <c r="AX420"/>
      <c r="AY420"/>
      <c r="AZ420"/>
    </row>
    <row r="421" spans="1:52" ht="11.65" customHeight="1" outlineLevel="1" x14ac:dyDescent="0.2">
      <c r="A421" s="622"/>
      <c r="B421" s="1263" t="str">
        <f>B$54</f>
        <v>Net loss on joint ventures</v>
      </c>
      <c r="C421" s="109"/>
      <c r="D421" s="491" t="s">
        <v>116</v>
      </c>
      <c r="E421" s="109"/>
      <c r="F421" s="109"/>
      <c r="G421" s="109"/>
      <c r="H421" s="109"/>
      <c r="I421" s="109"/>
      <c r="J421" s="1199">
        <f>IF('WS1-Application'!$D$33="minimum rate increase",".",J54-J200)</f>
        <v>0</v>
      </c>
      <c r="K421" s="1199">
        <f>IF('WS1-Application'!$D$33="minimum rate increase",".",K54-K200)</f>
        <v>0</v>
      </c>
      <c r="L421" s="1199">
        <f>IF('WS1-Application'!$D$33="minimum rate increase",".",L54-L200)</f>
        <v>0</v>
      </c>
      <c r="M421" s="1199">
        <f>IF('WS1-Application'!$D$33="minimum rate increase",".",M54-M200)</f>
        <v>0</v>
      </c>
      <c r="N421" s="1199">
        <f>IF('WS1-Application'!$D$33="minimum rate increase",".",N54-N200)</f>
        <v>0</v>
      </c>
      <c r="O421" s="1199">
        <f>IF('WS1-Application'!$D$33="minimum rate increase",".",O54-O200)</f>
        <v>0</v>
      </c>
      <c r="P421" s="1199">
        <f>IF('WS1-Application'!$D$33="minimum rate increase",".",P54-P200)</f>
        <v>0</v>
      </c>
      <c r="Q421" s="1199">
        <f>IF('WS1-Application'!$D$33="minimum rate increase",".",Q54-Q200)</f>
        <v>0</v>
      </c>
      <c r="R421" s="1199">
        <f>IF('WS1-Application'!$D$33="minimum rate increase",".",R54-R200)</f>
        <v>0</v>
      </c>
      <c r="S421" s="1199">
        <f>IF('WS1-Application'!$D$33="minimum rate increase",".",S54-S200)</f>
        <v>0</v>
      </c>
      <c r="T421" s="1199">
        <f>IF('WS1-Application'!$D$33="minimum rate increase",".",T54-T200)</f>
        <v>0</v>
      </c>
      <c r="U421" s="1292">
        <f>IF('WS1-Application'!$D$33="minimum rate increase",".",U54-U200)</f>
        <v>0</v>
      </c>
      <c r="V421" s="16"/>
      <c r="W421" s="16"/>
      <c r="X421" s="687"/>
      <c r="Y421" s="3"/>
      <c r="Z421"/>
      <c r="AA421"/>
      <c r="AB421"/>
      <c r="AC421"/>
      <c r="AD421"/>
      <c r="AE421"/>
      <c r="AF421"/>
      <c r="AG421"/>
      <c r="AH421"/>
      <c r="AI421"/>
      <c r="AJ421"/>
      <c r="AK421"/>
      <c r="AL421"/>
      <c r="AM421"/>
      <c r="AN421"/>
      <c r="AO421"/>
      <c r="AP421"/>
      <c r="AQ421"/>
      <c r="AR421"/>
      <c r="AS421"/>
      <c r="AT421"/>
      <c r="AU421"/>
      <c r="AV421"/>
      <c r="AW421"/>
      <c r="AX421"/>
      <c r="AY421"/>
      <c r="AZ421"/>
    </row>
    <row r="422" spans="1:52" ht="11.65" customHeight="1" outlineLevel="1" x14ac:dyDescent="0.2">
      <c r="A422" s="622"/>
      <c r="B422" s="1263" t="str">
        <f>B$55</f>
        <v>Fair value losses</v>
      </c>
      <c r="C422" s="109"/>
      <c r="D422" s="491" t="s">
        <v>116</v>
      </c>
      <c r="E422" s="109"/>
      <c r="F422" s="109"/>
      <c r="G422" s="109"/>
      <c r="H422" s="109"/>
      <c r="I422" s="109"/>
      <c r="J422" s="1199">
        <f>IF('WS1-Application'!$D$33="minimum rate increase",".",J55-J201)</f>
        <v>0</v>
      </c>
      <c r="K422" s="1199">
        <f>IF('WS1-Application'!$D$33="minimum rate increase",".",K55-K201)</f>
        <v>0</v>
      </c>
      <c r="L422" s="1199">
        <f>IF('WS1-Application'!$D$33="minimum rate increase",".",L55-L201)</f>
        <v>0</v>
      </c>
      <c r="M422" s="1199">
        <f>IF('WS1-Application'!$D$33="minimum rate increase",".",M55-M201)</f>
        <v>0</v>
      </c>
      <c r="N422" s="1199">
        <f>IF('WS1-Application'!$D$33="minimum rate increase",".",N55-N201)</f>
        <v>0</v>
      </c>
      <c r="O422" s="1199">
        <f>IF('WS1-Application'!$D$33="minimum rate increase",".",O55-O201)</f>
        <v>0</v>
      </c>
      <c r="P422" s="1199">
        <f>IF('WS1-Application'!$D$33="minimum rate increase",".",P55-P201)</f>
        <v>0</v>
      </c>
      <c r="Q422" s="1199">
        <f>IF('WS1-Application'!$D$33="minimum rate increase",".",Q55-Q201)</f>
        <v>0</v>
      </c>
      <c r="R422" s="1199">
        <f>IF('WS1-Application'!$D$33="minimum rate increase",".",R55-R201)</f>
        <v>0</v>
      </c>
      <c r="S422" s="1199">
        <f>IF('WS1-Application'!$D$33="minimum rate increase",".",S55-S201)</f>
        <v>0</v>
      </c>
      <c r="T422" s="1199">
        <f>IF('WS1-Application'!$D$33="minimum rate increase",".",T55-T201)</f>
        <v>0</v>
      </c>
      <c r="U422" s="1292">
        <f>IF('WS1-Application'!$D$33="minimum rate increase",".",U55-U201)</f>
        <v>0</v>
      </c>
      <c r="V422" s="16"/>
      <c r="W422" s="16"/>
      <c r="X422" s="687"/>
      <c r="Y422" s="3"/>
      <c r="Z422"/>
      <c r="AA422"/>
      <c r="AB422"/>
      <c r="AC422"/>
      <c r="AD422"/>
      <c r="AE422"/>
      <c r="AF422"/>
      <c r="AG422"/>
      <c r="AH422"/>
      <c r="AI422"/>
      <c r="AJ422"/>
      <c r="AK422"/>
      <c r="AL422"/>
      <c r="AM422"/>
      <c r="AN422"/>
      <c r="AO422"/>
      <c r="AP422"/>
      <c r="AQ422"/>
      <c r="AR422"/>
      <c r="AS422"/>
      <c r="AT422"/>
      <c r="AU422"/>
      <c r="AV422"/>
      <c r="AW422"/>
      <c r="AX422"/>
      <c r="AY422"/>
      <c r="AZ422"/>
    </row>
    <row r="423" spans="1:52" ht="11.65" customHeight="1" outlineLevel="1" x14ac:dyDescent="0.2">
      <c r="A423" s="622"/>
      <c r="B423" s="721" t="str">
        <f>B$56</f>
        <v>Net loss from disposal of assets</v>
      </c>
      <c r="C423" s="109"/>
      <c r="D423" s="491" t="s">
        <v>116</v>
      </c>
      <c r="E423" s="109"/>
      <c r="F423" s="109"/>
      <c r="G423" s="109"/>
      <c r="H423" s="109"/>
      <c r="I423" s="109"/>
      <c r="J423" s="1199">
        <f>IF('WS1-Application'!$D$33="minimum rate increase",".",J56-J202)</f>
        <v>0</v>
      </c>
      <c r="K423" s="1199">
        <f>IF('WS1-Application'!$D$33="minimum rate increase",".",K56-K202)</f>
        <v>0</v>
      </c>
      <c r="L423" s="1199">
        <f>IF('WS1-Application'!$D$33="minimum rate increase",".",L56-L202)</f>
        <v>0</v>
      </c>
      <c r="M423" s="1199">
        <f>IF('WS1-Application'!$D$33="minimum rate increase",".",M56-M202)</f>
        <v>0</v>
      </c>
      <c r="N423" s="1199">
        <f>IF('WS1-Application'!$D$33="minimum rate increase",".",N56-N202)</f>
        <v>0</v>
      </c>
      <c r="O423" s="1199">
        <f>IF('WS1-Application'!$D$33="minimum rate increase",".",O56-O202)</f>
        <v>0</v>
      </c>
      <c r="P423" s="1199">
        <f>IF('WS1-Application'!$D$33="minimum rate increase",".",P56-P202)</f>
        <v>0</v>
      </c>
      <c r="Q423" s="1199">
        <f>IF('WS1-Application'!$D$33="minimum rate increase",".",Q56-Q202)</f>
        <v>0</v>
      </c>
      <c r="R423" s="1199">
        <f>IF('WS1-Application'!$D$33="minimum rate increase",".",R56-R202)</f>
        <v>0</v>
      </c>
      <c r="S423" s="1199">
        <f>IF('WS1-Application'!$D$33="minimum rate increase",".",S56-S202)</f>
        <v>0</v>
      </c>
      <c r="T423" s="1199">
        <f>IF('WS1-Application'!$D$33="minimum rate increase",".",T56-T202)</f>
        <v>0</v>
      </c>
      <c r="U423" s="1292">
        <f>IF('WS1-Application'!$D$33="minimum rate increase",".",U56-U202)</f>
        <v>0</v>
      </c>
      <c r="V423" s="16"/>
      <c r="W423" s="16"/>
      <c r="X423" s="687"/>
      <c r="Y423" s="3"/>
      <c r="Z423"/>
      <c r="AA423"/>
      <c r="AB423"/>
      <c r="AC423"/>
      <c r="AD423"/>
      <c r="AE423"/>
      <c r="AF423"/>
      <c r="AG423"/>
      <c r="AH423"/>
      <c r="AI423"/>
      <c r="AJ423"/>
      <c r="AK423"/>
      <c r="AL423"/>
      <c r="AM423"/>
      <c r="AN423"/>
      <c r="AO423"/>
      <c r="AP423"/>
      <c r="AQ423"/>
      <c r="AR423"/>
      <c r="AS423"/>
      <c r="AT423"/>
      <c r="AU423"/>
      <c r="AV423"/>
      <c r="AW423"/>
      <c r="AX423"/>
      <c r="AY423"/>
      <c r="AZ423"/>
    </row>
    <row r="424" spans="1:52" ht="11.65" customHeight="1" outlineLevel="1" x14ac:dyDescent="0.2">
      <c r="A424" s="622"/>
      <c r="B424" s="1263"/>
      <c r="C424" s="1"/>
      <c r="D424" s="1"/>
      <c r="E424" s="1"/>
      <c r="F424" s="1"/>
      <c r="G424" s="1"/>
      <c r="H424" s="1"/>
      <c r="I424" s="1"/>
      <c r="J424" s="1283"/>
      <c r="K424" s="1283"/>
      <c r="L424" s="1283"/>
      <c r="M424" s="1283"/>
      <c r="N424" s="1283"/>
      <c r="O424" s="1283"/>
      <c r="P424" s="1283"/>
      <c r="Q424" s="1283"/>
      <c r="R424" s="1283"/>
      <c r="S424" s="1283"/>
      <c r="T424" s="1283"/>
      <c r="U424" s="1283"/>
      <c r="V424" s="16"/>
      <c r="W424" s="16"/>
      <c r="X424" s="687"/>
      <c r="Y424" s="3"/>
      <c r="Z424"/>
      <c r="AA424"/>
      <c r="AB424"/>
      <c r="AC424"/>
      <c r="AD424"/>
      <c r="AE424"/>
      <c r="AF424"/>
      <c r="AG424"/>
      <c r="AH424"/>
      <c r="AI424"/>
      <c r="AJ424"/>
      <c r="AK424"/>
      <c r="AL424"/>
      <c r="AM424"/>
      <c r="AN424"/>
      <c r="AO424"/>
      <c r="AP424"/>
      <c r="AQ424"/>
      <c r="AR424"/>
      <c r="AS424"/>
      <c r="AT424"/>
      <c r="AU424"/>
      <c r="AV424"/>
      <c r="AW424"/>
      <c r="AX424"/>
      <c r="AY424"/>
      <c r="AZ424"/>
    </row>
    <row r="425" spans="1:52" ht="11.65" customHeight="1" outlineLevel="1" x14ac:dyDescent="0.2">
      <c r="A425" s="622"/>
      <c r="B425" s="1223" t="str">
        <f>B$58</f>
        <v>Total expenses continuing operations</v>
      </c>
      <c r="C425" s="109"/>
      <c r="D425" s="491" t="s">
        <v>116</v>
      </c>
      <c r="E425" s="109"/>
      <c r="F425" s="109"/>
      <c r="G425" s="109"/>
      <c r="H425" s="109"/>
      <c r="I425" s="109"/>
      <c r="J425" s="1199">
        <f>IF('WS1-Application'!$D$33="minimum rate increase",".",J58-J204)</f>
        <v>0</v>
      </c>
      <c r="K425" s="1199">
        <f>IF('WS1-Application'!$D$33="minimum rate increase",".",K58-K204)</f>
        <v>982040</v>
      </c>
      <c r="L425" s="1199">
        <f>IF('WS1-Application'!$D$33="minimum rate increase",".",L58-L204)</f>
        <v>2397801.1999999881</v>
      </c>
      <c r="M425" s="1199">
        <f>IF('WS1-Application'!$D$33="minimum rate increase",".",M58-M204)</f>
        <v>3003735.2300000191</v>
      </c>
      <c r="N425" s="1199">
        <f>IF('WS1-Application'!$D$33="minimum rate increase",".",N58-N204)</f>
        <v>3093847.2900000215</v>
      </c>
      <c r="O425" s="1199">
        <f>IF('WS1-Application'!$D$33="minimum rate increase",".",O58-O204)</f>
        <v>3186662.6999999881</v>
      </c>
      <c r="P425" s="1199">
        <f>IF('WS1-Application'!$D$33="minimum rate increase",".",P58-P204)</f>
        <v>3282262.5799999535</v>
      </c>
      <c r="Q425" s="1199">
        <f>IF('WS1-Application'!$D$33="minimum rate increase",".",Q58-Q204)</f>
        <v>3380730.4599999785</v>
      </c>
      <c r="R425" s="1199">
        <f>IF('WS1-Application'!$D$33="minimum rate increase",".",R58-R204)</f>
        <v>3482152.3699999452</v>
      </c>
      <c r="S425" s="1199">
        <f>IF('WS1-Application'!$D$33="minimum rate increase",".",S58-S204)</f>
        <v>3586616.9499999583</v>
      </c>
      <c r="T425" s="1199">
        <f>IF('WS1-Application'!$D$33="minimum rate increase",".",T58-T204)</f>
        <v>3642715.4584999382</v>
      </c>
      <c r="U425" s="1292">
        <f>IF('WS1-Application'!$D$33="minimum rate increase",".",U58-U204)</f>
        <v>30038564.23849988</v>
      </c>
      <c r="V425" s="16"/>
      <c r="W425" s="16"/>
      <c r="X425" s="687"/>
      <c r="Y425" s="3"/>
      <c r="Z425"/>
      <c r="AA425"/>
      <c r="AB425"/>
      <c r="AC425"/>
      <c r="AD425"/>
      <c r="AE425"/>
      <c r="AF425"/>
      <c r="AG425"/>
      <c r="AH425"/>
      <c r="AI425"/>
      <c r="AJ425"/>
      <c r="AK425"/>
      <c r="AL425"/>
      <c r="AM425"/>
      <c r="AN425"/>
      <c r="AO425"/>
      <c r="AP425"/>
      <c r="AQ425"/>
      <c r="AR425"/>
      <c r="AS425"/>
      <c r="AT425"/>
      <c r="AU425"/>
      <c r="AV425"/>
      <c r="AW425"/>
      <c r="AX425"/>
      <c r="AY425"/>
      <c r="AZ425"/>
    </row>
    <row r="426" spans="1:52" ht="11.65" customHeight="1" outlineLevel="1" x14ac:dyDescent="0.2">
      <c r="A426" s="622"/>
      <c r="B426" s="1263"/>
      <c r="C426" s="109"/>
      <c r="D426" s="109"/>
      <c r="E426" s="109"/>
      <c r="F426" s="109"/>
      <c r="G426" s="109"/>
      <c r="H426" s="109"/>
      <c r="I426" s="109"/>
      <c r="J426" s="1199"/>
      <c r="K426" s="1199"/>
      <c r="L426" s="1199"/>
      <c r="M426" s="1199"/>
      <c r="N426" s="1199"/>
      <c r="O426" s="1199"/>
      <c r="P426" s="1199"/>
      <c r="Q426" s="1199"/>
      <c r="R426" s="1199"/>
      <c r="S426" s="1199"/>
      <c r="T426" s="1199"/>
      <c r="U426" s="1199"/>
      <c r="V426" s="16"/>
      <c r="W426" s="16"/>
      <c r="X426" s="687"/>
      <c r="Y426" s="3"/>
      <c r="Z426"/>
      <c r="AA426"/>
      <c r="AB426"/>
      <c r="AC426"/>
      <c r="AD426"/>
      <c r="AE426"/>
      <c r="AF426"/>
      <c r="AG426"/>
      <c r="AH426"/>
      <c r="AI426"/>
      <c r="AJ426"/>
      <c r="AK426"/>
      <c r="AL426"/>
      <c r="AM426"/>
      <c r="AN426"/>
      <c r="AO426"/>
      <c r="AP426"/>
      <c r="AQ426"/>
      <c r="AR426"/>
      <c r="AS426"/>
      <c r="AT426"/>
      <c r="AU426"/>
      <c r="AV426"/>
      <c r="AW426"/>
      <c r="AX426"/>
      <c r="AY426"/>
      <c r="AZ426"/>
    </row>
    <row r="427" spans="1:52" customFormat="1" ht="11.65" customHeight="1" x14ac:dyDescent="0.2">
      <c r="A427" s="622"/>
      <c r="B427" s="1324" t="str">
        <f>B$62</f>
        <v>Operating results</v>
      </c>
      <c r="C427" s="265"/>
      <c r="D427" s="265"/>
      <c r="E427" s="265"/>
      <c r="F427" s="265"/>
      <c r="G427" s="265"/>
      <c r="H427" s="265"/>
      <c r="I427" s="265"/>
      <c r="J427" s="1288"/>
      <c r="K427" s="1293"/>
      <c r="L427" s="1288"/>
      <c r="M427" s="1294"/>
      <c r="N427" s="1289"/>
      <c r="O427" s="1289"/>
      <c r="P427" s="1289"/>
      <c r="Q427" s="1289"/>
      <c r="R427" s="1289"/>
      <c r="S427" s="1289"/>
      <c r="T427" s="1289"/>
      <c r="U427" s="1289"/>
      <c r="V427" s="16"/>
      <c r="W427" s="16"/>
      <c r="X427" s="687"/>
      <c r="Y427" s="3"/>
      <c r="AL427" s="1454"/>
    </row>
    <row r="428" spans="1:52" ht="11.65" customHeight="1" x14ac:dyDescent="0.2">
      <c r="A428" s="622"/>
      <c r="B428" s="581"/>
      <c r="C428" s="1"/>
      <c r="D428" s="1"/>
      <c r="E428" s="1"/>
      <c r="F428" s="1"/>
      <c r="G428" s="1"/>
      <c r="H428" s="1"/>
      <c r="I428" s="1"/>
      <c r="J428" s="1283"/>
      <c r="K428" s="1283"/>
      <c r="L428" s="1283"/>
      <c r="M428" s="1283"/>
      <c r="N428" s="1283"/>
      <c r="O428" s="1283"/>
      <c r="P428" s="1283"/>
      <c r="Q428" s="1283"/>
      <c r="R428" s="1283"/>
      <c r="S428" s="1283"/>
      <c r="T428" s="1283"/>
      <c r="U428" s="1283"/>
      <c r="V428" s="16"/>
      <c r="W428" s="16"/>
      <c r="X428" s="687"/>
      <c r="Y428" s="3"/>
      <c r="Z428"/>
      <c r="AA428"/>
      <c r="AB428"/>
      <c r="AC428"/>
      <c r="AD428"/>
      <c r="AE428"/>
      <c r="AF428"/>
      <c r="AG428"/>
      <c r="AH428"/>
      <c r="AI428"/>
      <c r="AJ428"/>
      <c r="AK428"/>
      <c r="AL428"/>
      <c r="AM428"/>
      <c r="AN428"/>
      <c r="AO428"/>
      <c r="AP428"/>
      <c r="AQ428"/>
      <c r="AR428"/>
      <c r="AS428"/>
      <c r="AT428"/>
      <c r="AU428"/>
      <c r="AV428"/>
      <c r="AW428"/>
      <c r="AX428"/>
      <c r="AY428"/>
      <c r="AZ428"/>
    </row>
    <row r="429" spans="1:52" ht="11.65" customHeight="1" x14ac:dyDescent="0.2">
      <c r="A429" s="622"/>
      <c r="B429" s="1263" t="str">
        <f>B$64</f>
        <v>Operating result from continuing operations</v>
      </c>
      <c r="C429" s="109"/>
      <c r="D429" s="491" t="s">
        <v>116</v>
      </c>
      <c r="E429" s="109"/>
      <c r="F429" s="109"/>
      <c r="G429" s="109"/>
      <c r="H429" s="109"/>
      <c r="I429" s="109"/>
      <c r="J429" s="1199">
        <f>IF('WS1-Application'!$D$33="minimum rate increase",".",J64-J210)</f>
        <v>0</v>
      </c>
      <c r="K429" s="1199">
        <f>IF('WS1-Application'!$D$33="minimum rate increase",".",K64-K210)</f>
        <v>4871913</v>
      </c>
      <c r="L429" s="1199">
        <f>IF('WS1-Application'!$D$33="minimum rate increase",".",L64-L210)</f>
        <v>3893956.7999999821</v>
      </c>
      <c r="M429" s="1199">
        <f>IF('WS1-Application'!$D$33="minimum rate increase",".",M64-M210)</f>
        <v>3518642.5299999714</v>
      </c>
      <c r="N429" s="1199">
        <f>IF('WS1-Application'!$D$33="minimum rate increase",".",N64-N210)</f>
        <v>4158724.9200000167</v>
      </c>
      <c r="O429" s="1199">
        <f>IF('WS1-Application'!$D$33="minimum rate increase",".",O64-O210)</f>
        <v>4529786.3499999642</v>
      </c>
      <c r="P429" s="1199">
        <f>IF('WS1-Application'!$D$33="minimum rate increase",".",P64-P210)</f>
        <v>4921646.3000000119</v>
      </c>
      <c r="Q429" s="1199">
        <f>IF('WS1-Application'!$D$33="minimum rate increase",".",Q64-Q210)</f>
        <v>5535667.9399999976</v>
      </c>
      <c r="R429" s="1199">
        <f>IF('WS1-Application'!$D$33="minimum rate increase",".",R64-R210)</f>
        <v>6080149.1100000739</v>
      </c>
      <c r="S429" s="1199">
        <f>IF('WS1-Application'!$D$33="minimum rate increase",".",S64-S210)</f>
        <v>6652511.4000000656</v>
      </c>
      <c r="T429" s="1199">
        <f>IF('WS1-Application'!$D$33="minimum rate increase",".",T64-T210)</f>
        <v>7455018.0601000488</v>
      </c>
      <c r="U429" s="1199">
        <f>IF('WS1-Application'!$D$33="minimum rate increase",".",U64-U210)</f>
        <v>51618016.410100132</v>
      </c>
      <c r="V429" s="16"/>
      <c r="W429" s="16"/>
      <c r="X429" s="687"/>
      <c r="Y429" s="3"/>
      <c r="Z429"/>
      <c r="AA429"/>
      <c r="AB429"/>
      <c r="AC429"/>
      <c r="AD429"/>
      <c r="AE429"/>
      <c r="AF429"/>
      <c r="AG429"/>
      <c r="AH429"/>
      <c r="AI429"/>
      <c r="AJ429"/>
      <c r="AK429"/>
      <c r="AL429" s="1454"/>
      <c r="AM429"/>
      <c r="AN429"/>
      <c r="AO429"/>
      <c r="AP429"/>
      <c r="AQ429"/>
      <c r="AR429"/>
      <c r="AS429"/>
      <c r="AT429"/>
      <c r="AU429"/>
      <c r="AV429"/>
      <c r="AW429"/>
      <c r="AX429"/>
      <c r="AY429"/>
      <c r="AZ429"/>
    </row>
    <row r="430" spans="1:52" ht="47.25" customHeight="1" x14ac:dyDescent="0.2">
      <c r="A430" s="622"/>
      <c r="B430" s="1267" t="str">
        <f>B$65</f>
        <v>Net operating result before capital grants &amp; contributions</v>
      </c>
      <c r="C430" s="342"/>
      <c r="D430" s="491" t="s">
        <v>116</v>
      </c>
      <c r="E430" s="342"/>
      <c r="F430" s="342"/>
      <c r="G430" s="342"/>
      <c r="H430" s="342"/>
      <c r="I430" s="342"/>
      <c r="J430" s="1199">
        <f>IF('WS1-Application'!$D$33="minimum rate increase",".",J65-J211)</f>
        <v>0</v>
      </c>
      <c r="K430" s="1199">
        <f>IF('WS1-Application'!$D$33="minimum rate increase",".",K65-K211)</f>
        <v>4871913</v>
      </c>
      <c r="L430" s="1199">
        <f>IF('WS1-Application'!$D$33="minimum rate increase",".",L65-L211)</f>
        <v>3893956.7999999821</v>
      </c>
      <c r="M430" s="1199">
        <f>IF('WS1-Application'!$D$33="minimum rate increase",".",M65-M211)</f>
        <v>3518642.5299999714</v>
      </c>
      <c r="N430" s="1199">
        <f>IF('WS1-Application'!$D$33="minimum rate increase",".",N65-N211)</f>
        <v>4158724.9200000167</v>
      </c>
      <c r="O430" s="1199">
        <f>IF('WS1-Application'!$D$33="minimum rate increase",".",O65-O211)</f>
        <v>4529786.3499999642</v>
      </c>
      <c r="P430" s="1199">
        <f>IF('WS1-Application'!$D$33="minimum rate increase",".",P65-P211)</f>
        <v>4921646.3000000119</v>
      </c>
      <c r="Q430" s="1199">
        <f>IF('WS1-Application'!$D$33="minimum rate increase",".",Q65-Q211)</f>
        <v>5535667.9399999976</v>
      </c>
      <c r="R430" s="1199">
        <f>IF('WS1-Application'!$D$33="minimum rate increase",".",R65-R211)</f>
        <v>6080149.1100000739</v>
      </c>
      <c r="S430" s="1199">
        <f>IF('WS1-Application'!$D$33="minimum rate increase",".",S65-S211)</f>
        <v>6652511.4000000656</v>
      </c>
      <c r="T430" s="1199">
        <f>IF('WS1-Application'!$D$33="minimum rate increase",".",T65-T211)</f>
        <v>7455018.0601000488</v>
      </c>
      <c r="U430" s="1199">
        <f>IF('WS1-Application'!$D$33="minimum rate increase",".",U65-U211)</f>
        <v>51618016.410100132</v>
      </c>
      <c r="V430" s="16"/>
      <c r="W430" s="16"/>
      <c r="X430" s="687"/>
      <c r="Y430" s="3"/>
      <c r="Z430"/>
      <c r="AA430"/>
      <c r="AB430"/>
      <c r="AC430"/>
      <c r="AD430"/>
      <c r="AE430"/>
      <c r="AF430"/>
      <c r="AG430"/>
      <c r="AH430"/>
      <c r="AI430"/>
      <c r="AJ430"/>
      <c r="AK430"/>
      <c r="AL430"/>
      <c r="AM430"/>
      <c r="AN430"/>
      <c r="AO430"/>
      <c r="AP430"/>
      <c r="AQ430"/>
      <c r="AR430"/>
      <c r="AS430"/>
      <c r="AT430"/>
      <c r="AU430"/>
      <c r="AV430"/>
      <c r="AW430"/>
      <c r="AX430"/>
      <c r="AY430"/>
      <c r="AZ430"/>
    </row>
    <row r="431" spans="1:52" ht="53.25" customHeight="1" x14ac:dyDescent="0.2">
      <c r="A431" s="622"/>
      <c r="B431" s="1268" t="str">
        <f>B$66</f>
        <v>Net operating result before capital grants &amp; contributions, gains/losses on asset disposals, gains/losses on joint ventures and fair value adjustments</v>
      </c>
      <c r="C431" s="109"/>
      <c r="D431" s="491" t="s">
        <v>116</v>
      </c>
      <c r="E431" s="109"/>
      <c r="F431" s="109"/>
      <c r="G431" s="109"/>
      <c r="H431" s="109"/>
      <c r="I431" s="109"/>
      <c r="J431" s="1199">
        <f>IF('WS1-Application'!$D$33="minimum rate increase",".",J66-J212)</f>
        <v>0</v>
      </c>
      <c r="K431" s="1199">
        <f>IF('WS1-Application'!$D$33="minimum rate increase",".",K66-K212)</f>
        <v>4871913</v>
      </c>
      <c r="L431" s="1199">
        <f>IF('WS1-Application'!$D$33="minimum rate increase",".",L66-L212)</f>
        <v>3893956.7999999821</v>
      </c>
      <c r="M431" s="1199">
        <f>IF('WS1-Application'!$D$33="minimum rate increase",".",M66-M212)</f>
        <v>3518642.5299999714</v>
      </c>
      <c r="N431" s="1199">
        <f>IF('WS1-Application'!$D$33="minimum rate increase",".",N66-N212)</f>
        <v>4158724.9200000167</v>
      </c>
      <c r="O431" s="1199">
        <f>IF('WS1-Application'!$D$33="minimum rate increase",".",O66-O212)</f>
        <v>4529786.3499999642</v>
      </c>
      <c r="P431" s="1199">
        <f>IF('WS1-Application'!$D$33="minimum rate increase",".",P66-P212)</f>
        <v>4921646.3000000119</v>
      </c>
      <c r="Q431" s="1199">
        <f>IF('WS1-Application'!$D$33="minimum rate increase",".",Q66-Q212)</f>
        <v>5535667.9399999976</v>
      </c>
      <c r="R431" s="1199">
        <f>IF('WS1-Application'!$D$33="minimum rate increase",".",R66-R212)</f>
        <v>6080149.1100000739</v>
      </c>
      <c r="S431" s="1199">
        <f>IF('WS1-Application'!$D$33="minimum rate increase",".",S66-S212)</f>
        <v>6652511.4000000656</v>
      </c>
      <c r="T431" s="1199">
        <f>IF('WS1-Application'!$D$33="minimum rate increase",".",T66-T212)</f>
        <v>7455018.0601000488</v>
      </c>
      <c r="U431" s="1199">
        <f>IF('WS1-Application'!$D$33="minimum rate increase",".",U66-U212)</f>
        <v>51618016.410100132</v>
      </c>
      <c r="V431" s="16"/>
      <c r="W431" s="16"/>
      <c r="X431" s="687"/>
      <c r="Y431" s="3"/>
      <c r="Z431"/>
      <c r="AA431"/>
      <c r="AB431"/>
      <c r="AC431"/>
      <c r="AD431"/>
      <c r="AE431"/>
      <c r="AF431"/>
      <c r="AG431"/>
      <c r="AH431"/>
      <c r="AI431"/>
      <c r="AJ431"/>
      <c r="AK431"/>
      <c r="AL431"/>
      <c r="AM431"/>
      <c r="AN431"/>
      <c r="AO431"/>
      <c r="AP431"/>
      <c r="AQ431"/>
      <c r="AR431"/>
      <c r="AS431"/>
      <c r="AT431"/>
      <c r="AU431"/>
      <c r="AV431"/>
      <c r="AW431"/>
      <c r="AX431"/>
      <c r="AY431"/>
      <c r="AZ431"/>
    </row>
    <row r="432" spans="1:52" ht="11.65" customHeight="1" x14ac:dyDescent="0.2">
      <c r="A432" s="622"/>
      <c r="B432" s="1263"/>
      <c r="C432" s="1327"/>
      <c r="D432" s="1327"/>
      <c r="E432" s="1327"/>
      <c r="F432" s="1327"/>
      <c r="G432" s="1327"/>
      <c r="H432" s="1327"/>
      <c r="I432" s="1327"/>
      <c r="J432" s="1283"/>
      <c r="K432" s="1283"/>
      <c r="L432" s="1283"/>
      <c r="M432" s="1283"/>
      <c r="N432" s="1283"/>
      <c r="O432" s="1283"/>
      <c r="P432" s="1283"/>
      <c r="Q432" s="1283"/>
      <c r="R432" s="1283"/>
      <c r="S432" s="1283"/>
      <c r="T432" s="1283"/>
      <c r="U432" s="1283"/>
      <c r="V432" s="16"/>
      <c r="W432" s="16"/>
      <c r="X432" s="687"/>
      <c r="Y432" s="3"/>
      <c r="Z432"/>
      <c r="AA432"/>
      <c r="AB432"/>
      <c r="AC432"/>
      <c r="AD432"/>
      <c r="AE432"/>
      <c r="AF432"/>
      <c r="AG432"/>
      <c r="AH432"/>
      <c r="AI432"/>
      <c r="AJ432"/>
      <c r="AK432"/>
      <c r="AL432"/>
      <c r="AM432"/>
      <c r="AN432"/>
      <c r="AO432"/>
      <c r="AP432"/>
      <c r="AQ432"/>
      <c r="AR432"/>
      <c r="AS432"/>
      <c r="AT432"/>
      <c r="AU432"/>
      <c r="AV432"/>
      <c r="AW432"/>
      <c r="AX432"/>
      <c r="AY432"/>
      <c r="AZ432"/>
    </row>
    <row r="433" spans="1:52" customFormat="1" ht="11.65" customHeight="1" x14ac:dyDescent="0.2">
      <c r="A433" s="622"/>
      <c r="B433" s="1324" t="str">
        <f>B$68</f>
        <v>Increase in rates and annual charges</v>
      </c>
      <c r="C433" s="265"/>
      <c r="D433" s="265"/>
      <c r="E433" s="265"/>
      <c r="F433" s="265"/>
      <c r="G433" s="265"/>
      <c r="H433" s="265"/>
      <c r="I433" s="265"/>
      <c r="J433" s="1288"/>
      <c r="K433" s="1293"/>
      <c r="L433" s="1288"/>
      <c r="M433" s="1294"/>
      <c r="N433" s="1289"/>
      <c r="O433" s="1289"/>
      <c r="P433" s="1289"/>
      <c r="Q433" s="1289"/>
      <c r="R433" s="1289"/>
      <c r="S433" s="1289"/>
      <c r="T433" s="1289"/>
      <c r="U433" s="1289"/>
      <c r="V433" s="16"/>
      <c r="W433" s="16"/>
      <c r="X433" s="687"/>
      <c r="Y433" s="3"/>
    </row>
    <row r="434" spans="1:52" ht="11.65" customHeight="1" x14ac:dyDescent="0.2">
      <c r="A434" s="622"/>
      <c r="B434" s="581"/>
      <c r="C434" s="1"/>
      <c r="D434" s="1"/>
      <c r="E434" s="1"/>
      <c r="F434" s="1"/>
      <c r="G434" s="1"/>
      <c r="H434" s="1"/>
      <c r="I434" s="1"/>
      <c r="J434" s="1283"/>
      <c r="K434" s="1283"/>
      <c r="L434" s="1283"/>
      <c r="M434" s="1283"/>
      <c r="N434" s="1283"/>
      <c r="O434" s="1283"/>
      <c r="P434" s="1283"/>
      <c r="Q434" s="1283"/>
      <c r="R434" s="1283"/>
      <c r="S434" s="1283"/>
      <c r="T434" s="1283"/>
      <c r="U434" s="1283"/>
      <c r="V434" s="16"/>
      <c r="W434" s="16"/>
      <c r="X434" s="687"/>
      <c r="Y434" s="3"/>
      <c r="Z434"/>
      <c r="AA434"/>
      <c r="AB434"/>
      <c r="AC434"/>
      <c r="AD434"/>
      <c r="AE434"/>
      <c r="AF434"/>
      <c r="AG434"/>
      <c r="AH434"/>
      <c r="AI434"/>
      <c r="AJ434"/>
      <c r="AK434"/>
      <c r="AL434"/>
      <c r="AM434"/>
      <c r="AN434"/>
      <c r="AO434"/>
      <c r="AP434"/>
      <c r="AQ434"/>
      <c r="AR434"/>
      <c r="AS434"/>
      <c r="AT434"/>
      <c r="AU434"/>
      <c r="AV434"/>
      <c r="AW434"/>
      <c r="AX434"/>
      <c r="AY434"/>
      <c r="AZ434"/>
    </row>
    <row r="435" spans="1:52" ht="11.65" customHeight="1" x14ac:dyDescent="0.2">
      <c r="A435" s="622"/>
      <c r="B435" s="1263" t="str">
        <f>B$70</f>
        <v>$ Increase in rates and annual charges</v>
      </c>
      <c r="C435" s="109"/>
      <c r="D435" s="491" t="s">
        <v>116</v>
      </c>
      <c r="E435" s="109"/>
      <c r="F435" s="109"/>
      <c r="G435" s="109"/>
      <c r="H435" s="109"/>
      <c r="I435" s="109"/>
      <c r="J435" s="1335"/>
      <c r="K435" s="1199">
        <f>IF('WS1-Application'!$D$33="minimum rate increase",".",K70-K216)</f>
        <v>5386400</v>
      </c>
      <c r="L435" s="1199">
        <f>IF('WS1-Application'!$D$33="minimum rate increase",".",L70-L216)</f>
        <v>161592</v>
      </c>
      <c r="M435" s="1199">
        <f>IF('WS1-Application'!$D$33="minimum rate increase",".",M70-M216)</f>
        <v>166439.76000000536</v>
      </c>
      <c r="N435" s="1199">
        <f>IF('WS1-Application'!$D$33="minimum rate increase",".",N70-N216)</f>
        <v>171432.95000001788</v>
      </c>
      <c r="O435" s="1199">
        <f>IF('WS1-Application'!$D$33="minimum rate increase",".",O70-O216)</f>
        <v>176575.93999996781</v>
      </c>
      <c r="P435" s="1199">
        <f>IF('WS1-Application'!$D$33="minimum rate increase",".",P70-P216)</f>
        <v>181873.20000000298</v>
      </c>
      <c r="Q435" s="1199">
        <f>IF('WS1-Application'!$D$33="minimum rate increase",".",Q70-Q216)</f>
        <v>187329.41000001878</v>
      </c>
      <c r="R435" s="1199">
        <f>IF('WS1-Application'!$D$33="minimum rate increase",".",R70-R216)</f>
        <v>192949.28999997675</v>
      </c>
      <c r="S435" s="1199">
        <f>IF('WS1-Application'!$D$33="minimum rate increase",".",S70-S216)</f>
        <v>198737.76000000536</v>
      </c>
      <c r="T435" s="1199">
        <f>IF('WS1-Application'!$D$33="minimum rate increase",".",T70-T216)</f>
        <v>204699.90929999948</v>
      </c>
      <c r="U435" s="1199"/>
      <c r="V435" s="16"/>
      <c r="W435" s="16"/>
      <c r="X435" s="687"/>
      <c r="Y435" s="3"/>
      <c r="Z435"/>
      <c r="AA435"/>
      <c r="AB435"/>
      <c r="AC435"/>
      <c r="AD435"/>
      <c r="AE435"/>
      <c r="AF435"/>
      <c r="AG435"/>
      <c r="AH435"/>
      <c r="AI435"/>
      <c r="AJ435"/>
      <c r="AK435"/>
      <c r="AL435"/>
      <c r="AM435"/>
      <c r="AN435"/>
      <c r="AO435"/>
      <c r="AP435"/>
      <c r="AQ435"/>
      <c r="AR435"/>
      <c r="AS435"/>
      <c r="AT435"/>
      <c r="AU435"/>
      <c r="AV435"/>
      <c r="AW435"/>
      <c r="AX435"/>
      <c r="AY435"/>
      <c r="AZ435"/>
    </row>
    <row r="436" spans="1:52" ht="11.65" customHeight="1" x14ac:dyDescent="0.2">
      <c r="A436" s="622"/>
      <c r="B436" s="1270" t="str">
        <f>B$71</f>
        <v>% Increase in rates and annual charges</v>
      </c>
      <c r="C436" s="1271"/>
      <c r="D436" s="1271" t="s">
        <v>108</v>
      </c>
      <c r="E436" s="1271"/>
      <c r="F436" s="1271"/>
      <c r="G436" s="1271"/>
      <c r="H436" s="1271"/>
      <c r="I436" s="1271"/>
      <c r="J436" s="1296"/>
      <c r="K436" s="1297">
        <f>IF('WS1-Application'!$D$33="minimum rate increase",".",K71-K217)</f>
        <v>7.3483308549678883E-2</v>
      </c>
      <c r="L436" s="1297">
        <f>IF('WS1-Application'!$D$33="minimum rate increase",".",L71-L217)</f>
        <v>1.7988675924396347E-5</v>
      </c>
      <c r="M436" s="1297">
        <f>IF('WS1-Application'!$D$33="minimum rate increase",".",M71-M217)</f>
        <v>1.7473727925043647E-5</v>
      </c>
      <c r="N436" s="1297">
        <f>IF('WS1-Application'!$D$33="minimum rate increase",".",N71-N217)</f>
        <v>1.6973228192274092E-5</v>
      </c>
      <c r="O436" s="1297">
        <f>IF('WS1-Application'!$D$33="minimum rate increase",".",O71-O217)</f>
        <v>-1.1480939092307629E-3</v>
      </c>
      <c r="P436" s="1297">
        <f>IF('WS1-Application'!$D$33="minimum rate increase",".",P71-P217)</f>
        <v>1.549388940835783E-5</v>
      </c>
      <c r="Q436" s="1297">
        <f>IF('WS1-Application'!$D$33="minimum rate increase",".",Q71-Q217)</f>
        <v>1.5049532534172627E-5</v>
      </c>
      <c r="R436" s="1297">
        <f>IF('WS1-Application'!$D$33="minimum rate increase",".",R71-R217)</f>
        <v>1.4617562122287708E-5</v>
      </c>
      <c r="S436" s="1297">
        <f>IF('WS1-Application'!$D$33="minimum rate increase",".",S71-S217)</f>
        <v>1.4197740424437555E-5</v>
      </c>
      <c r="T436" s="1297">
        <f>IF('WS1-Application'!$D$33="minimum rate increase",".",T71-T217)</f>
        <v>0</v>
      </c>
      <c r="U436" s="1297"/>
      <c r="V436" s="154"/>
      <c r="W436" s="154"/>
      <c r="X436" s="1314"/>
      <c r="Y436" s="3"/>
      <c r="Z436"/>
      <c r="AA436"/>
      <c r="AB436"/>
      <c r="AC436"/>
      <c r="AD436"/>
      <c r="AE436"/>
      <c r="AF436"/>
      <c r="AG436"/>
      <c r="AH436"/>
      <c r="AI436"/>
      <c r="AJ436"/>
      <c r="AK436"/>
      <c r="AL436"/>
      <c r="AM436"/>
      <c r="AN436"/>
      <c r="AO436"/>
      <c r="AP436"/>
      <c r="AQ436"/>
      <c r="AR436"/>
      <c r="AS436"/>
      <c r="AT436"/>
      <c r="AU436"/>
      <c r="AV436"/>
      <c r="AW436"/>
      <c r="AX436"/>
      <c r="AY436"/>
      <c r="AZ436"/>
    </row>
    <row r="437" spans="1:52" ht="11.65" customHeight="1" x14ac:dyDescent="0.2">
      <c r="A437" s="622"/>
      <c r="B437" s="347" t="s">
        <v>77</v>
      </c>
      <c r="C437" s="1"/>
      <c r="D437" s="1"/>
      <c r="E437" s="1"/>
      <c r="F437" s="1"/>
      <c r="G437" s="1"/>
      <c r="H437" s="1"/>
      <c r="I437" s="1"/>
      <c r="J437" s="16"/>
      <c r="K437" s="222">
        <f>IFERROR(K430-K431-K404+K423,".")</f>
        <v>0</v>
      </c>
      <c r="L437" s="222">
        <f t="shared" ref="L437:T437" si="99">IFERROR(L430-L431-L404+L423,".")</f>
        <v>0</v>
      </c>
      <c r="M437" s="222">
        <f t="shared" si="99"/>
        <v>0</v>
      </c>
      <c r="N437" s="222">
        <f t="shared" si="99"/>
        <v>0</v>
      </c>
      <c r="O437" s="222">
        <f t="shared" si="99"/>
        <v>0</v>
      </c>
      <c r="P437" s="222">
        <f t="shared" si="99"/>
        <v>0</v>
      </c>
      <c r="Q437" s="222">
        <f t="shared" si="99"/>
        <v>0</v>
      </c>
      <c r="R437" s="222">
        <f t="shared" si="99"/>
        <v>0</v>
      </c>
      <c r="S437" s="222">
        <f t="shared" si="99"/>
        <v>0</v>
      </c>
      <c r="T437" s="222">
        <f t="shared" si="99"/>
        <v>0</v>
      </c>
      <c r="U437" s="16"/>
      <c r="V437" s="16"/>
      <c r="W437" s="16"/>
      <c r="X437" s="16"/>
      <c r="Y437" s="16"/>
      <c r="Z437"/>
      <c r="AA437"/>
      <c r="AB437"/>
      <c r="AC437"/>
      <c r="AD437"/>
      <c r="AE437"/>
      <c r="AF437"/>
      <c r="AG437"/>
      <c r="AH437"/>
      <c r="AI437"/>
      <c r="AJ437"/>
      <c r="AK437"/>
      <c r="AL437"/>
      <c r="AM437"/>
      <c r="AN437"/>
      <c r="AO437"/>
      <c r="AP437"/>
      <c r="AQ437"/>
      <c r="AR437"/>
      <c r="AS437"/>
      <c r="AT437"/>
      <c r="AU437"/>
      <c r="AV437"/>
      <c r="AW437"/>
      <c r="AX437"/>
      <c r="AY437"/>
      <c r="AZ437"/>
    </row>
    <row r="438" spans="1:52" ht="11.65" customHeight="1" x14ac:dyDescent="0.2">
      <c r="A438" s="622"/>
      <c r="B438" s="1"/>
      <c r="C438" s="1"/>
      <c r="D438" s="1"/>
      <c r="E438" s="1"/>
      <c r="F438" s="1"/>
      <c r="G438" s="1"/>
      <c r="H438" s="1"/>
      <c r="I438" s="1"/>
      <c r="J438" s="16"/>
      <c r="K438" s="16"/>
      <c r="L438" s="16"/>
      <c r="M438" s="16"/>
      <c r="N438" s="16"/>
      <c r="O438" s="16"/>
      <c r="P438" s="16"/>
      <c r="Q438" s="16"/>
      <c r="R438" s="16"/>
      <c r="S438" s="16"/>
      <c r="T438" s="16"/>
      <c r="U438" s="16"/>
      <c r="V438" s="16"/>
      <c r="W438" s="16"/>
      <c r="X438" s="16"/>
      <c r="Y438" s="16"/>
      <c r="Z438"/>
      <c r="AA438"/>
      <c r="AB438"/>
      <c r="AC438"/>
      <c r="AD438"/>
      <c r="AE438"/>
      <c r="AF438"/>
      <c r="AG438"/>
      <c r="AH438"/>
      <c r="AI438"/>
      <c r="AJ438"/>
      <c r="AK438"/>
      <c r="AL438"/>
      <c r="AM438"/>
      <c r="AN438"/>
      <c r="AO438"/>
      <c r="AP438"/>
      <c r="AQ438"/>
      <c r="AR438"/>
      <c r="AS438"/>
      <c r="AT438"/>
      <c r="AU438"/>
      <c r="AV438"/>
      <c r="AW438"/>
      <c r="AX438"/>
      <c r="AY438"/>
      <c r="AZ438"/>
    </row>
    <row r="439" spans="1:52" ht="11.65" customHeight="1" x14ac:dyDescent="0.2">
      <c r="A439" s="622"/>
      <c r="B439" s="1"/>
      <c r="C439" s="1"/>
      <c r="D439" s="1"/>
      <c r="E439" s="1"/>
      <c r="F439" s="1"/>
      <c r="G439" s="1"/>
      <c r="H439" s="1"/>
      <c r="I439" s="1"/>
      <c r="J439" s="16"/>
      <c r="K439" s="16"/>
      <c r="L439" s="16"/>
      <c r="M439" s="16"/>
      <c r="N439" s="16"/>
      <c r="O439" s="16"/>
      <c r="P439" s="16"/>
      <c r="Q439" s="16"/>
      <c r="R439" s="16"/>
      <c r="S439" s="16"/>
      <c r="T439" s="16"/>
      <c r="U439" s="16"/>
      <c r="V439" s="16"/>
      <c r="W439" s="16"/>
      <c r="X439" s="16"/>
      <c r="Y439" s="16"/>
      <c r="Z439"/>
      <c r="AA439"/>
      <c r="AB439"/>
      <c r="AC439"/>
      <c r="AD439"/>
      <c r="AE439"/>
      <c r="AF439"/>
      <c r="AG439"/>
      <c r="AH439"/>
      <c r="AI439"/>
      <c r="AJ439"/>
      <c r="AK439"/>
      <c r="AL439"/>
      <c r="AM439"/>
      <c r="AN439"/>
      <c r="AO439"/>
      <c r="AP439"/>
      <c r="AQ439"/>
      <c r="AR439"/>
      <c r="AS439"/>
      <c r="AT439"/>
      <c r="AU439"/>
      <c r="AV439"/>
      <c r="AW439"/>
      <c r="AX439"/>
      <c r="AY439"/>
      <c r="AZ439"/>
    </row>
    <row r="440" spans="1:52" ht="11.65" customHeight="1" x14ac:dyDescent="0.2">
      <c r="A440" s="622"/>
      <c r="B440" s="1"/>
      <c r="C440" s="1"/>
      <c r="D440" s="1"/>
      <c r="E440" s="1"/>
      <c r="F440" s="1"/>
      <c r="G440" s="1"/>
      <c r="H440" s="1"/>
      <c r="I440" s="1"/>
      <c r="J440" s="16"/>
      <c r="K440" s="16"/>
      <c r="L440" s="16"/>
      <c r="M440" s="16"/>
      <c r="N440" s="16"/>
      <c r="O440" s="16"/>
      <c r="P440" s="16"/>
      <c r="Q440" s="16"/>
      <c r="R440" s="16"/>
      <c r="S440" s="16"/>
      <c r="T440" s="16"/>
      <c r="U440" s="16"/>
      <c r="V440" s="16"/>
      <c r="W440" s="16"/>
      <c r="X440" s="16"/>
      <c r="Y440" s="16"/>
      <c r="Z440"/>
      <c r="AA440"/>
      <c r="AB440"/>
      <c r="AC440"/>
      <c r="AD440"/>
      <c r="AE440"/>
      <c r="AF440"/>
      <c r="AG440"/>
      <c r="AH440"/>
      <c r="AI440"/>
      <c r="AJ440"/>
      <c r="AK440"/>
      <c r="AL440"/>
      <c r="AM440"/>
      <c r="AN440"/>
      <c r="AO440"/>
      <c r="AP440"/>
      <c r="AQ440"/>
      <c r="AR440"/>
      <c r="AS440"/>
      <c r="AT440"/>
      <c r="AU440"/>
      <c r="AV440"/>
      <c r="AW440"/>
      <c r="AX440"/>
      <c r="AY440"/>
      <c r="AZ440"/>
    </row>
    <row r="441" spans="1:52" ht="11.65" customHeight="1" x14ac:dyDescent="0.2">
      <c r="A441" s="622"/>
      <c r="B441" s="1"/>
      <c r="C441" s="1"/>
      <c r="D441" s="1"/>
      <c r="E441" s="1"/>
      <c r="F441" s="1"/>
      <c r="G441" s="1"/>
      <c r="H441" s="1"/>
      <c r="I441" s="1"/>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row>
    <row r="442" spans="1:52" ht="11.65" customHeight="1" x14ac:dyDescent="0.2">
      <c r="A442" s="622"/>
      <c r="C442" s="1"/>
      <c r="D442" s="1"/>
      <c r="E442" s="1"/>
      <c r="F442" s="1"/>
      <c r="G442" s="1"/>
      <c r="H442" s="1"/>
      <c r="I442" s="1"/>
      <c r="J442" s="16"/>
      <c r="K442" s="16"/>
      <c r="L442" s="16"/>
      <c r="M442" s="19"/>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row>
    <row r="443" spans="1:52" ht="11.65" customHeight="1" x14ac:dyDescent="0.2">
      <c r="A443" s="622"/>
      <c r="B443" s="1"/>
      <c r="C443" s="1"/>
      <c r="D443" s="1"/>
      <c r="E443" s="1"/>
      <c r="F443" s="1"/>
      <c r="G443" s="1"/>
      <c r="H443" s="1"/>
      <c r="I443" s="1"/>
      <c r="J443" s="16"/>
      <c r="K443" s="16"/>
      <c r="L443" s="16"/>
      <c r="M443" s="19"/>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row>
    <row r="444" spans="1:52" ht="11.65" customHeight="1" x14ac:dyDescent="0.2">
      <c r="A444" s="622"/>
      <c r="B444" s="1"/>
      <c r="C444" s="1"/>
      <c r="D444" s="1"/>
      <c r="E444" s="1"/>
      <c r="F444" s="1"/>
      <c r="G444" s="1"/>
      <c r="H444" s="1"/>
      <c r="I444" s="1"/>
      <c r="J444" s="16"/>
      <c r="K444" s="16"/>
      <c r="L444" s="16"/>
      <c r="M444" s="19"/>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row>
    <row r="445" spans="1:52" ht="11.65" customHeight="1" x14ac:dyDescent="0.2">
      <c r="A445" s="622"/>
      <c r="B445" s="1"/>
      <c r="C445" s="1"/>
      <c r="D445" s="1"/>
      <c r="E445" s="1"/>
      <c r="F445" s="1"/>
      <c r="G445" s="1"/>
      <c r="H445" s="1"/>
      <c r="I445" s="1"/>
      <c r="J445" s="16"/>
      <c r="K445" s="16"/>
      <c r="L445" s="16"/>
      <c r="M445" s="19"/>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row>
    <row r="446" spans="1:52" ht="11.65" customHeight="1" x14ac:dyDescent="0.2">
      <c r="A446" s="622"/>
      <c r="B446" s="1"/>
      <c r="C446" s="1"/>
      <c r="D446" s="1"/>
      <c r="E446" s="1"/>
      <c r="F446" s="1"/>
      <c r="G446" s="1"/>
      <c r="H446" s="1"/>
      <c r="I446" s="1"/>
      <c r="J446" s="16"/>
      <c r="K446" s="16"/>
      <c r="L446" s="16"/>
      <c r="M446" s="19"/>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row>
    <row r="447" spans="1:52" ht="11.65" customHeight="1" x14ac:dyDescent="0.2">
      <c r="A447" s="622"/>
      <c r="B447" s="1"/>
      <c r="C447" s="1"/>
      <c r="D447" s="1"/>
      <c r="E447" s="1"/>
      <c r="F447" s="1"/>
      <c r="G447" s="1"/>
      <c r="H447" s="1"/>
      <c r="I447" s="1"/>
      <c r="J447" s="16"/>
      <c r="K447" s="121"/>
      <c r="L447" s="121"/>
      <c r="M447" s="122"/>
      <c r="N447" s="121"/>
      <c r="O447" s="121"/>
      <c r="P447" s="121"/>
      <c r="Q447" s="121"/>
      <c r="R447" s="121"/>
      <c r="S447" s="121"/>
      <c r="T447" s="121"/>
      <c r="U447" s="16"/>
      <c r="V447" s="16"/>
      <c r="W447" s="16"/>
      <c r="X447" s="16"/>
      <c r="Y447" s="16"/>
      <c r="Z447" s="16"/>
      <c r="AA447" s="16"/>
      <c r="AB447" s="16"/>
      <c r="AC447" s="16"/>
      <c r="AD447" s="16"/>
      <c r="AE447" s="16"/>
      <c r="AF447" s="16"/>
      <c r="AG447" s="16"/>
      <c r="AH447" s="16"/>
      <c r="AI447" s="16"/>
      <c r="AJ447" s="16"/>
      <c r="AK447" s="16"/>
    </row>
    <row r="448" spans="1:52" ht="11.65" customHeight="1" x14ac:dyDescent="0.2">
      <c r="A448" s="622"/>
      <c r="B448" s="1"/>
      <c r="C448" s="1"/>
      <c r="D448" s="1"/>
      <c r="E448" s="1"/>
      <c r="F448" s="1"/>
      <c r="G448" s="1"/>
      <c r="H448" s="1"/>
      <c r="I448" s="1"/>
      <c r="J448" s="16"/>
      <c r="K448" s="121"/>
      <c r="L448" s="121"/>
      <c r="M448" s="122"/>
      <c r="N448" s="121"/>
      <c r="O448" s="121"/>
      <c r="P448" s="121"/>
      <c r="Q448" s="121"/>
      <c r="R448" s="121"/>
      <c r="S448" s="121"/>
      <c r="T448" s="121"/>
      <c r="U448" s="16"/>
      <c r="V448" s="16"/>
      <c r="W448" s="16"/>
      <c r="X448" s="16"/>
      <c r="Y448" s="16"/>
      <c r="Z448" s="16"/>
      <c r="AA448" s="16"/>
      <c r="AB448" s="16"/>
      <c r="AC448" s="16"/>
      <c r="AD448" s="16"/>
      <c r="AE448" s="16"/>
      <c r="AF448" s="16"/>
      <c r="AG448" s="16"/>
      <c r="AH448" s="16"/>
      <c r="AI448" s="16"/>
      <c r="AJ448" s="16"/>
      <c r="AK448" s="16"/>
    </row>
    <row r="449" spans="1:37" ht="11.65" customHeight="1" x14ac:dyDescent="0.2">
      <c r="A449" s="622"/>
      <c r="B449" s="1"/>
      <c r="C449" s="1"/>
      <c r="D449" s="1"/>
      <c r="E449" s="1"/>
      <c r="F449" s="1"/>
      <c r="G449" s="1"/>
      <c r="H449" s="1"/>
      <c r="I449" s="1"/>
      <c r="J449" s="16"/>
      <c r="K449" s="121"/>
      <c r="L449" s="121"/>
      <c r="M449" s="122"/>
      <c r="N449" s="121"/>
      <c r="O449" s="121"/>
      <c r="P449" s="121"/>
      <c r="Q449" s="121"/>
      <c r="R449" s="121"/>
      <c r="S449" s="121"/>
      <c r="T449" s="121"/>
      <c r="U449" s="16"/>
      <c r="V449" s="16"/>
      <c r="W449" s="16"/>
      <c r="X449" s="16"/>
      <c r="Y449" s="16"/>
      <c r="Z449" s="16"/>
      <c r="AA449" s="16"/>
      <c r="AB449" s="16"/>
      <c r="AC449" s="16"/>
      <c r="AD449" s="16"/>
      <c r="AE449" s="16"/>
      <c r="AF449" s="16"/>
      <c r="AG449" s="16"/>
      <c r="AH449" s="16"/>
      <c r="AI449" s="16"/>
      <c r="AJ449" s="16"/>
      <c r="AK449" s="16"/>
    </row>
    <row r="450" spans="1:37" ht="11.65" customHeight="1" x14ac:dyDescent="0.2">
      <c r="A450" s="622"/>
      <c r="B450" s="1"/>
      <c r="C450" s="1"/>
      <c r="D450" s="1"/>
      <c r="E450" s="1"/>
      <c r="F450" s="1"/>
      <c r="G450" s="1"/>
      <c r="H450" s="1"/>
      <c r="I450" s="1"/>
      <c r="J450" s="16"/>
      <c r="K450" s="121"/>
      <c r="L450" s="121"/>
      <c r="M450" s="122"/>
      <c r="N450" s="121"/>
      <c r="O450" s="121"/>
      <c r="P450" s="121"/>
      <c r="Q450" s="121"/>
      <c r="R450" s="121"/>
      <c r="S450" s="121"/>
      <c r="T450" s="121"/>
      <c r="U450" s="16"/>
      <c r="V450" s="16"/>
      <c r="W450" s="16"/>
      <c r="X450" s="16"/>
      <c r="Y450" s="16"/>
      <c r="Z450" s="16"/>
      <c r="AA450" s="16"/>
      <c r="AB450" s="16"/>
      <c r="AC450" s="16"/>
      <c r="AD450" s="16"/>
      <c r="AE450" s="16"/>
      <c r="AF450" s="16"/>
      <c r="AG450" s="16"/>
      <c r="AH450" s="16"/>
      <c r="AI450" s="16"/>
      <c r="AJ450" s="16"/>
      <c r="AK450" s="16"/>
    </row>
    <row r="451" spans="1:37" ht="11.65" customHeight="1" x14ac:dyDescent="0.2">
      <c r="A451" s="622"/>
      <c r="B451" s="1"/>
      <c r="C451" s="1"/>
      <c r="D451" s="1"/>
      <c r="E451" s="1"/>
      <c r="F451" s="1"/>
      <c r="G451" s="1"/>
      <c r="H451" s="1"/>
      <c r="I451" s="1"/>
      <c r="J451" s="16"/>
      <c r="K451" s="121"/>
      <c r="L451" s="121"/>
      <c r="M451" s="122"/>
      <c r="N451" s="121"/>
      <c r="O451" s="121"/>
      <c r="P451" s="121"/>
      <c r="Q451" s="121"/>
      <c r="R451" s="121"/>
      <c r="S451" s="121"/>
      <c r="T451" s="121"/>
      <c r="U451" s="16"/>
      <c r="V451" s="16"/>
      <c r="W451" s="16"/>
      <c r="X451" s="16"/>
      <c r="Y451" s="16"/>
      <c r="Z451" s="16"/>
      <c r="AA451" s="16"/>
      <c r="AB451" s="16"/>
      <c r="AC451" s="16"/>
      <c r="AD451" s="16"/>
      <c r="AE451" s="16"/>
      <c r="AF451" s="16"/>
      <c r="AG451" s="16"/>
      <c r="AH451" s="16"/>
      <c r="AI451" s="16"/>
      <c r="AJ451" s="16"/>
      <c r="AK451" s="16"/>
    </row>
    <row r="452" spans="1:37" ht="11.65" customHeight="1" x14ac:dyDescent="0.2">
      <c r="A452" s="622"/>
      <c r="B452" s="1"/>
      <c r="C452" s="1"/>
      <c r="D452" s="1"/>
      <c r="E452" s="1"/>
      <c r="F452" s="1"/>
      <c r="G452" s="1"/>
      <c r="H452" s="1"/>
      <c r="I452" s="1"/>
      <c r="J452" s="16"/>
      <c r="K452" s="121"/>
      <c r="L452" s="121"/>
      <c r="M452" s="122"/>
      <c r="N452" s="121"/>
      <c r="O452" s="121"/>
      <c r="P452" s="121"/>
      <c r="Q452" s="121"/>
      <c r="R452" s="121"/>
      <c r="S452" s="121"/>
      <c r="T452" s="121"/>
      <c r="U452" s="16"/>
      <c r="V452" s="16"/>
      <c r="W452" s="16"/>
      <c r="X452" s="16"/>
      <c r="Y452" s="16"/>
      <c r="Z452" s="16"/>
      <c r="AA452" s="16"/>
      <c r="AB452" s="16"/>
      <c r="AC452" s="16"/>
      <c r="AD452" s="16"/>
      <c r="AE452" s="16"/>
      <c r="AF452" s="16"/>
      <c r="AG452" s="16"/>
      <c r="AH452" s="16"/>
      <c r="AI452" s="16"/>
      <c r="AJ452" s="16"/>
      <c r="AK452" s="16"/>
    </row>
    <row r="453" spans="1:37" ht="11.65" customHeight="1" x14ac:dyDescent="0.2">
      <c r="A453" s="622"/>
      <c r="B453" s="1"/>
      <c r="C453" s="1"/>
      <c r="D453" s="1"/>
      <c r="E453" s="1"/>
      <c r="F453" s="1"/>
      <c r="G453" s="1"/>
      <c r="H453" s="1"/>
      <c r="I453" s="1"/>
      <c r="J453" s="16"/>
      <c r="K453" s="121"/>
      <c r="L453" s="121"/>
      <c r="M453" s="122"/>
      <c r="N453" s="121"/>
      <c r="O453" s="121"/>
      <c r="P453" s="121"/>
      <c r="Q453" s="121"/>
      <c r="R453" s="121"/>
      <c r="S453" s="121"/>
      <c r="T453" s="121"/>
      <c r="U453" s="16"/>
      <c r="V453" s="16"/>
      <c r="W453" s="16"/>
      <c r="X453" s="16"/>
      <c r="Y453" s="16"/>
      <c r="Z453" s="16"/>
      <c r="AA453" s="16"/>
      <c r="AB453" s="16"/>
      <c r="AC453" s="16"/>
      <c r="AD453" s="16"/>
      <c r="AE453" s="16"/>
      <c r="AF453" s="16"/>
      <c r="AG453" s="16"/>
      <c r="AH453" s="16"/>
      <c r="AI453" s="16"/>
      <c r="AJ453" s="16"/>
      <c r="AK453" s="16"/>
    </row>
    <row r="454" spans="1:37" ht="11.65" customHeight="1" x14ac:dyDescent="0.2">
      <c r="A454" s="622"/>
      <c r="B454" s="1"/>
      <c r="C454" s="1"/>
      <c r="D454" s="1"/>
      <c r="E454" s="1"/>
      <c r="F454" s="1"/>
      <c r="G454" s="1"/>
      <c r="H454" s="1"/>
      <c r="I454" s="1"/>
      <c r="J454" s="16"/>
      <c r="K454" s="121"/>
      <c r="L454" s="121"/>
      <c r="M454" s="122"/>
      <c r="N454" s="121"/>
      <c r="O454" s="121"/>
      <c r="P454" s="121"/>
      <c r="Q454" s="121"/>
      <c r="R454" s="121"/>
      <c r="S454" s="121"/>
      <c r="T454" s="121"/>
      <c r="U454" s="16"/>
      <c r="V454" s="16"/>
      <c r="W454" s="16"/>
      <c r="X454" s="16"/>
      <c r="Y454" s="16"/>
      <c r="Z454" s="16"/>
      <c r="AA454" s="16"/>
      <c r="AB454" s="16"/>
      <c r="AC454" s="16"/>
      <c r="AD454" s="16"/>
      <c r="AE454" s="16"/>
      <c r="AF454" s="16"/>
      <c r="AG454" s="16"/>
      <c r="AH454" s="16"/>
      <c r="AI454" s="16"/>
      <c r="AJ454" s="16"/>
      <c r="AK454" s="16"/>
    </row>
    <row r="455" spans="1:37" ht="11.65" customHeight="1" x14ac:dyDescent="0.2">
      <c r="A455" s="622"/>
      <c r="B455" s="1"/>
      <c r="C455" s="1"/>
      <c r="D455" s="1"/>
      <c r="E455" s="1"/>
      <c r="F455" s="1"/>
      <c r="G455" s="1"/>
      <c r="H455" s="1"/>
      <c r="I455" s="1"/>
      <c r="J455" s="16"/>
      <c r="K455" s="121"/>
      <c r="L455" s="121"/>
      <c r="M455" s="122"/>
      <c r="N455" s="121"/>
      <c r="O455" s="121"/>
      <c r="P455" s="121"/>
      <c r="Q455" s="121"/>
      <c r="R455" s="121"/>
      <c r="S455" s="121"/>
      <c r="T455" s="121"/>
      <c r="U455" s="16"/>
      <c r="V455" s="16"/>
      <c r="W455" s="16"/>
      <c r="X455" s="16"/>
      <c r="Y455" s="16"/>
      <c r="Z455" s="16"/>
      <c r="AA455" s="16"/>
      <c r="AB455" s="16"/>
      <c r="AC455" s="16"/>
      <c r="AD455" s="16"/>
      <c r="AE455" s="16"/>
      <c r="AF455" s="16"/>
      <c r="AG455" s="16"/>
      <c r="AH455" s="16"/>
      <c r="AI455" s="16"/>
      <c r="AJ455" s="16"/>
      <c r="AK455" s="16"/>
    </row>
    <row r="456" spans="1:37" ht="11.65" customHeight="1" x14ac:dyDescent="0.2">
      <c r="A456" s="622"/>
      <c r="B456" s="1"/>
      <c r="C456" s="1"/>
      <c r="D456" s="1"/>
      <c r="E456" s="1"/>
      <c r="F456" s="1"/>
      <c r="G456" s="1"/>
      <c r="H456" s="1"/>
      <c r="I456" s="1"/>
      <c r="J456" s="16"/>
      <c r="K456" s="121"/>
      <c r="L456" s="121"/>
      <c r="M456" s="122"/>
      <c r="N456" s="121"/>
      <c r="O456" s="121"/>
      <c r="P456" s="121"/>
      <c r="Q456" s="121"/>
      <c r="R456" s="121"/>
      <c r="S456" s="121"/>
      <c r="T456" s="121"/>
      <c r="U456" s="16"/>
      <c r="V456" s="16"/>
      <c r="W456" s="16"/>
      <c r="X456" s="16"/>
      <c r="Y456" s="16"/>
      <c r="Z456" s="16"/>
      <c r="AA456" s="16"/>
      <c r="AB456" s="16"/>
      <c r="AC456" s="16"/>
      <c r="AD456" s="16"/>
      <c r="AE456" s="16"/>
      <c r="AF456" s="16"/>
      <c r="AG456" s="16"/>
      <c r="AH456" s="16"/>
      <c r="AI456" s="16"/>
      <c r="AJ456" s="16"/>
      <c r="AK456" s="16"/>
    </row>
    <row r="457" spans="1:37" ht="11.65" customHeight="1" x14ac:dyDescent="0.2">
      <c r="A457" s="622"/>
      <c r="B457" s="1"/>
      <c r="C457" s="1"/>
      <c r="D457" s="1"/>
      <c r="E457" s="1"/>
      <c r="F457" s="1"/>
      <c r="G457" s="1"/>
      <c r="H457" s="1"/>
      <c r="I457" s="1"/>
      <c r="J457" s="16"/>
      <c r="K457" s="121"/>
      <c r="L457" s="121"/>
      <c r="M457" s="122"/>
      <c r="N457" s="121"/>
      <c r="O457" s="121"/>
      <c r="P457" s="121"/>
      <c r="Q457" s="121"/>
      <c r="R457" s="121"/>
      <c r="S457" s="121"/>
      <c r="T457" s="121"/>
      <c r="U457" s="16"/>
      <c r="V457" s="16"/>
      <c r="W457" s="16"/>
      <c r="X457" s="16"/>
      <c r="Y457" s="16"/>
      <c r="Z457" s="16"/>
      <c r="AA457" s="16"/>
      <c r="AB457" s="16"/>
      <c r="AC457" s="16"/>
      <c r="AD457" s="16"/>
      <c r="AE457" s="16"/>
      <c r="AF457" s="16"/>
      <c r="AG457" s="16"/>
      <c r="AH457" s="16"/>
      <c r="AI457" s="16"/>
      <c r="AJ457" s="16"/>
      <c r="AK457" s="16"/>
    </row>
    <row r="458" spans="1:37" ht="11.65" customHeight="1" x14ac:dyDescent="0.2">
      <c r="A458" s="622"/>
      <c r="B458" s="1"/>
      <c r="C458" s="1"/>
      <c r="D458" s="1"/>
      <c r="E458" s="1"/>
      <c r="F458" s="1"/>
      <c r="G458" s="1"/>
      <c r="H458" s="1"/>
      <c r="I458" s="1"/>
      <c r="J458" s="16"/>
      <c r="K458" s="121"/>
      <c r="L458" s="121"/>
      <c r="M458" s="122"/>
      <c r="N458" s="121"/>
      <c r="O458" s="121"/>
      <c r="P458" s="121"/>
      <c r="Q458" s="121"/>
      <c r="R458" s="121"/>
      <c r="S458" s="121"/>
      <c r="T458" s="121"/>
      <c r="U458" s="16"/>
      <c r="V458" s="16"/>
      <c r="W458" s="16"/>
      <c r="X458" s="16"/>
      <c r="Y458" s="16"/>
      <c r="Z458" s="16"/>
      <c r="AA458" s="16"/>
      <c r="AB458" s="16"/>
      <c r="AC458" s="16"/>
      <c r="AD458" s="16"/>
      <c r="AE458" s="16"/>
      <c r="AF458" s="16"/>
      <c r="AG458" s="16"/>
      <c r="AH458" s="16"/>
      <c r="AI458" s="16"/>
      <c r="AJ458" s="16"/>
      <c r="AK458" s="16"/>
    </row>
    <row r="459" spans="1:37" ht="11.65" customHeight="1" x14ac:dyDescent="0.2">
      <c r="A459" s="622"/>
      <c r="B459" s="1"/>
      <c r="C459" s="1"/>
      <c r="D459" s="1"/>
      <c r="E459" s="1"/>
      <c r="F459" s="1"/>
      <c r="G459" s="1"/>
      <c r="H459" s="1"/>
      <c r="I459" s="1"/>
      <c r="J459" s="16"/>
      <c r="K459" s="121"/>
      <c r="L459" s="121"/>
      <c r="M459" s="122"/>
      <c r="N459" s="121"/>
      <c r="O459" s="121"/>
      <c r="P459" s="121"/>
      <c r="Q459" s="121"/>
      <c r="R459" s="121"/>
      <c r="S459" s="121"/>
      <c r="T459" s="121"/>
      <c r="U459" s="16"/>
      <c r="V459" s="16"/>
      <c r="W459" s="16"/>
      <c r="X459" s="16"/>
      <c r="Y459" s="16"/>
      <c r="Z459" s="16"/>
      <c r="AA459" s="16"/>
      <c r="AB459" s="16"/>
      <c r="AC459" s="16"/>
      <c r="AD459" s="16"/>
      <c r="AE459" s="16"/>
      <c r="AF459" s="16"/>
      <c r="AG459" s="16"/>
      <c r="AH459" s="16"/>
      <c r="AI459" s="16"/>
      <c r="AJ459" s="16"/>
      <c r="AK459" s="16"/>
    </row>
    <row r="460" spans="1:37" ht="11.65" customHeight="1" x14ac:dyDescent="0.2">
      <c r="A460" s="622"/>
      <c r="B460" s="1"/>
      <c r="C460" s="1"/>
      <c r="D460" s="1"/>
      <c r="E460" s="1"/>
      <c r="F460" s="1"/>
      <c r="G460" s="1"/>
      <c r="H460" s="1"/>
      <c r="I460" s="1"/>
      <c r="J460" s="16"/>
      <c r="K460" s="121"/>
      <c r="L460" s="121"/>
      <c r="M460" s="122"/>
      <c r="N460" s="121"/>
      <c r="O460" s="121"/>
      <c r="P460" s="121"/>
      <c r="Q460" s="121"/>
      <c r="R460" s="121"/>
      <c r="S460" s="121"/>
      <c r="T460" s="121"/>
      <c r="U460" s="16"/>
      <c r="V460" s="16"/>
      <c r="W460" s="16"/>
      <c r="X460" s="16"/>
      <c r="Y460" s="16"/>
      <c r="Z460" s="16"/>
      <c r="AA460" s="16"/>
      <c r="AB460" s="16"/>
      <c r="AC460" s="16"/>
      <c r="AD460" s="16"/>
      <c r="AE460" s="16"/>
      <c r="AF460" s="16"/>
      <c r="AG460" s="16"/>
      <c r="AH460" s="16"/>
      <c r="AI460" s="16"/>
      <c r="AJ460" s="16"/>
      <c r="AK460" s="16"/>
    </row>
    <row r="461" spans="1:37" ht="11.65" customHeight="1" x14ac:dyDescent="0.2">
      <c r="A461" s="622"/>
      <c r="B461" s="1"/>
      <c r="C461" s="1"/>
      <c r="D461" s="1"/>
      <c r="E461" s="1"/>
      <c r="F461" s="1"/>
      <c r="G461" s="1"/>
      <c r="H461" s="1"/>
      <c r="I461" s="1"/>
      <c r="J461" s="16"/>
      <c r="K461" s="121"/>
      <c r="L461" s="121"/>
      <c r="M461" s="122"/>
      <c r="N461" s="121"/>
      <c r="O461" s="121"/>
      <c r="P461" s="121"/>
      <c r="Q461" s="121"/>
      <c r="R461" s="121"/>
      <c r="S461" s="121"/>
      <c r="T461" s="121"/>
      <c r="U461" s="16"/>
      <c r="V461" s="16"/>
      <c r="W461" s="16"/>
      <c r="X461" s="16"/>
      <c r="Y461" s="16"/>
      <c r="Z461" s="16"/>
      <c r="AA461" s="16"/>
      <c r="AB461" s="16"/>
      <c r="AC461" s="16"/>
      <c r="AD461" s="16"/>
      <c r="AE461" s="16"/>
      <c r="AF461" s="16"/>
      <c r="AG461" s="16"/>
      <c r="AH461" s="16"/>
      <c r="AI461" s="16"/>
      <c r="AJ461" s="16"/>
      <c r="AK461" s="16"/>
    </row>
    <row r="462" spans="1:37" ht="11.65" customHeight="1" x14ac:dyDescent="0.2">
      <c r="A462" s="622"/>
      <c r="B462" s="1"/>
      <c r="C462" s="1"/>
      <c r="D462" s="1"/>
      <c r="E462" s="1"/>
      <c r="F462" s="1"/>
      <c r="G462" s="1"/>
      <c r="H462" s="1"/>
      <c r="I462" s="1"/>
      <c r="J462" s="16"/>
      <c r="K462" s="121"/>
      <c r="L462" s="121"/>
      <c r="M462" s="122"/>
      <c r="N462" s="121"/>
      <c r="O462" s="121"/>
      <c r="P462" s="121"/>
      <c r="Q462" s="121"/>
      <c r="R462" s="121"/>
      <c r="S462" s="121"/>
      <c r="T462" s="121"/>
      <c r="U462" s="16"/>
      <c r="V462" s="16"/>
      <c r="W462" s="16"/>
      <c r="X462" s="16"/>
      <c r="Y462" s="16"/>
      <c r="Z462" s="16"/>
      <c r="AA462" s="16"/>
      <c r="AB462" s="16"/>
      <c r="AC462" s="16"/>
      <c r="AD462" s="16"/>
      <c r="AE462" s="16"/>
      <c r="AF462" s="16"/>
      <c r="AG462" s="16"/>
      <c r="AH462" s="16"/>
      <c r="AI462" s="16"/>
      <c r="AJ462" s="16"/>
      <c r="AK462" s="16"/>
    </row>
    <row r="463" spans="1:37" ht="11.65" customHeight="1" x14ac:dyDescent="0.2">
      <c r="A463" s="622"/>
      <c r="B463" s="1"/>
      <c r="C463" s="1"/>
      <c r="D463" s="1"/>
      <c r="E463" s="1"/>
      <c r="F463" s="1"/>
      <c r="G463" s="1"/>
      <c r="H463" s="1"/>
      <c r="I463" s="1"/>
      <c r="J463" s="16"/>
      <c r="K463" s="121"/>
      <c r="L463" s="121"/>
      <c r="M463" s="122"/>
      <c r="N463" s="121"/>
      <c r="O463" s="121"/>
      <c r="P463" s="121"/>
      <c r="Q463" s="121"/>
      <c r="R463" s="121"/>
      <c r="S463" s="121"/>
      <c r="T463" s="121"/>
      <c r="U463" s="16"/>
      <c r="V463" s="16"/>
      <c r="W463" s="16"/>
      <c r="X463" s="16"/>
      <c r="Y463" s="16"/>
      <c r="Z463" s="16"/>
      <c r="AA463" s="16"/>
      <c r="AB463" s="16"/>
      <c r="AC463" s="16"/>
      <c r="AD463" s="16"/>
      <c r="AE463" s="16"/>
      <c r="AF463" s="16"/>
      <c r="AG463" s="16"/>
      <c r="AH463" s="16"/>
      <c r="AI463" s="16"/>
      <c r="AJ463" s="16"/>
      <c r="AK463" s="16"/>
    </row>
    <row r="464" spans="1:37" ht="11.65" customHeight="1" x14ac:dyDescent="0.2">
      <c r="A464" s="622"/>
      <c r="B464" s="1"/>
      <c r="C464" s="1"/>
      <c r="D464" s="1"/>
      <c r="E464" s="1"/>
      <c r="F464" s="1"/>
      <c r="G464" s="1"/>
      <c r="H464" s="1"/>
      <c r="I464" s="1"/>
      <c r="J464" s="16"/>
      <c r="K464" s="121"/>
      <c r="L464" s="121"/>
      <c r="M464" s="122"/>
      <c r="N464" s="121"/>
      <c r="O464" s="121"/>
      <c r="P464" s="121"/>
      <c r="Q464" s="121"/>
      <c r="R464" s="121"/>
      <c r="S464" s="121"/>
      <c r="T464" s="121"/>
      <c r="U464" s="16"/>
      <c r="V464" s="16"/>
      <c r="W464" s="16"/>
      <c r="X464" s="16"/>
      <c r="Y464" s="16"/>
      <c r="Z464" s="16"/>
      <c r="AA464" s="16"/>
      <c r="AB464" s="16"/>
      <c r="AC464" s="16"/>
      <c r="AD464" s="16"/>
      <c r="AE464" s="16"/>
      <c r="AF464" s="16"/>
      <c r="AG464" s="16"/>
      <c r="AH464" s="16"/>
      <c r="AI464" s="16"/>
      <c r="AJ464" s="16"/>
      <c r="AK464" s="16"/>
    </row>
    <row r="465" spans="1:37" ht="11.65" customHeight="1" x14ac:dyDescent="0.2">
      <c r="A465" s="622"/>
      <c r="B465" s="1"/>
      <c r="C465" s="1"/>
      <c r="D465" s="1"/>
      <c r="E465" s="1"/>
      <c r="F465" s="1"/>
      <c r="G465" s="1"/>
      <c r="H465" s="1"/>
      <c r="I465" s="1"/>
      <c r="J465" s="16"/>
      <c r="K465" s="121"/>
      <c r="L465" s="121"/>
      <c r="M465" s="122"/>
      <c r="N465" s="121"/>
      <c r="O465" s="121"/>
      <c r="P465" s="121"/>
      <c r="Q465" s="121"/>
      <c r="R465" s="121"/>
      <c r="S465" s="121"/>
      <c r="T465" s="121"/>
      <c r="U465" s="16"/>
      <c r="V465" s="16"/>
      <c r="W465" s="16"/>
      <c r="X465" s="16"/>
      <c r="Y465" s="16"/>
      <c r="Z465" s="16"/>
      <c r="AA465" s="16"/>
      <c r="AB465" s="16"/>
      <c r="AC465" s="16"/>
      <c r="AD465" s="16"/>
      <c r="AE465" s="16"/>
      <c r="AF465" s="16"/>
      <c r="AG465" s="16"/>
      <c r="AH465" s="16"/>
      <c r="AI465" s="16"/>
      <c r="AJ465" s="16"/>
      <c r="AK465" s="16"/>
    </row>
    <row r="466" spans="1:37" ht="11.65" customHeight="1" x14ac:dyDescent="0.2">
      <c r="A466" s="622"/>
      <c r="B466" s="1"/>
      <c r="C466" s="1"/>
      <c r="D466" s="1"/>
      <c r="E466" s="1"/>
      <c r="F466" s="1"/>
      <c r="G466" s="1"/>
      <c r="H466" s="1"/>
      <c r="I466" s="1"/>
      <c r="J466" s="16"/>
      <c r="K466" s="121"/>
      <c r="L466" s="121"/>
      <c r="M466" s="122"/>
      <c r="N466" s="121"/>
      <c r="O466" s="121"/>
      <c r="P466" s="121"/>
      <c r="Q466" s="121"/>
      <c r="R466" s="121"/>
      <c r="S466" s="121"/>
      <c r="T466" s="121"/>
      <c r="U466" s="16"/>
      <c r="V466" s="16"/>
      <c r="W466" s="16"/>
      <c r="X466" s="16"/>
      <c r="Y466" s="16"/>
      <c r="Z466" s="16"/>
      <c r="AA466" s="16"/>
      <c r="AB466" s="16"/>
      <c r="AC466" s="16"/>
      <c r="AD466" s="16"/>
      <c r="AE466" s="16"/>
      <c r="AF466" s="16"/>
      <c r="AG466" s="16"/>
      <c r="AH466" s="16"/>
      <c r="AI466" s="16"/>
      <c r="AJ466" s="16"/>
      <c r="AK466" s="16"/>
    </row>
    <row r="467" spans="1:37" ht="11.65" customHeight="1" x14ac:dyDescent="0.2">
      <c r="A467" s="622"/>
      <c r="B467" s="1"/>
      <c r="C467" s="1"/>
      <c r="D467" s="1"/>
      <c r="E467" s="1"/>
      <c r="F467" s="1"/>
      <c r="G467" s="1"/>
      <c r="H467" s="1"/>
      <c r="I467" s="1"/>
      <c r="J467" s="16"/>
      <c r="K467" s="121"/>
      <c r="L467" s="121"/>
      <c r="M467" s="122"/>
      <c r="N467" s="121"/>
      <c r="O467" s="121"/>
      <c r="P467" s="121"/>
      <c r="Q467" s="121"/>
      <c r="R467" s="121"/>
      <c r="S467" s="121"/>
      <c r="T467" s="121"/>
      <c r="U467" s="16"/>
      <c r="V467" s="16"/>
      <c r="W467" s="16"/>
      <c r="X467" s="16"/>
      <c r="Y467" s="16"/>
      <c r="Z467" s="16"/>
      <c r="AA467" s="16"/>
      <c r="AB467" s="16"/>
      <c r="AC467" s="16"/>
      <c r="AD467" s="16"/>
      <c r="AE467" s="16"/>
      <c r="AF467" s="16"/>
      <c r="AG467" s="16"/>
      <c r="AH467" s="16"/>
      <c r="AI467" s="16"/>
      <c r="AJ467" s="16"/>
      <c r="AK467" s="16"/>
    </row>
    <row r="468" spans="1:37" ht="11.65" customHeight="1" x14ac:dyDescent="0.2">
      <c r="A468" s="622"/>
      <c r="B468" s="1"/>
      <c r="C468" s="1"/>
      <c r="D468" s="1"/>
      <c r="E468" s="1"/>
      <c r="F468" s="1"/>
      <c r="G468" s="1"/>
      <c r="H468" s="1"/>
      <c r="I468" s="1"/>
      <c r="J468" s="16"/>
      <c r="K468" s="121"/>
      <c r="L468" s="121"/>
      <c r="M468" s="122"/>
      <c r="N468" s="121"/>
      <c r="O468" s="121"/>
      <c r="P468" s="121"/>
      <c r="Q468" s="121"/>
      <c r="R468" s="121"/>
      <c r="S468" s="121"/>
      <c r="T468" s="121"/>
      <c r="U468" s="16"/>
      <c r="V468" s="16"/>
      <c r="W468" s="16"/>
      <c r="X468" s="16"/>
      <c r="Y468" s="16"/>
      <c r="Z468" s="16"/>
      <c r="AA468" s="16"/>
      <c r="AB468" s="16"/>
      <c r="AC468" s="16"/>
      <c r="AD468" s="16"/>
      <c r="AE468" s="16"/>
      <c r="AF468" s="16"/>
      <c r="AG468" s="16"/>
      <c r="AH468" s="16"/>
      <c r="AI468" s="16"/>
      <c r="AJ468" s="16"/>
      <c r="AK468" s="16"/>
    </row>
    <row r="469" spans="1:37" ht="11.65" customHeight="1" x14ac:dyDescent="0.2">
      <c r="A469" s="622"/>
      <c r="B469" s="1"/>
      <c r="C469" s="1"/>
      <c r="D469" s="1"/>
      <c r="E469" s="1"/>
      <c r="F469" s="1"/>
      <c r="G469" s="1"/>
      <c r="H469" s="1"/>
      <c r="I469" s="1"/>
      <c r="J469" s="16"/>
      <c r="K469" s="121"/>
      <c r="L469" s="121"/>
      <c r="M469" s="122"/>
      <c r="N469" s="121"/>
      <c r="O469" s="121"/>
      <c r="P469" s="121"/>
      <c r="Q469" s="121"/>
      <c r="R469" s="121"/>
      <c r="S469" s="121"/>
      <c r="T469" s="121"/>
      <c r="U469" s="16"/>
      <c r="V469" s="16"/>
      <c r="W469" s="16"/>
      <c r="X469" s="16"/>
      <c r="Y469" s="16"/>
      <c r="Z469" s="16"/>
      <c r="AA469" s="16"/>
      <c r="AB469" s="16"/>
      <c r="AC469" s="16"/>
      <c r="AD469" s="16"/>
      <c r="AE469" s="16"/>
      <c r="AF469" s="16"/>
      <c r="AG469" s="16"/>
      <c r="AH469" s="16"/>
      <c r="AI469" s="16"/>
      <c r="AJ469" s="16"/>
      <c r="AK469" s="16"/>
    </row>
    <row r="470" spans="1:37" ht="11.65" customHeight="1" x14ac:dyDescent="0.2">
      <c r="A470" s="622"/>
      <c r="B470" s="1"/>
      <c r="C470" s="1"/>
      <c r="D470" s="1"/>
      <c r="E470" s="1"/>
      <c r="F470" s="1"/>
      <c r="G470" s="1"/>
      <c r="H470" s="1"/>
      <c r="I470" s="1"/>
      <c r="J470" s="16"/>
      <c r="K470" s="121"/>
      <c r="L470" s="121"/>
      <c r="M470" s="122"/>
      <c r="N470" s="121"/>
      <c r="O470" s="121"/>
      <c r="P470" s="121"/>
      <c r="Q470" s="121"/>
      <c r="R470" s="121"/>
      <c r="S470" s="121"/>
      <c r="T470" s="121"/>
      <c r="U470" s="16"/>
      <c r="V470" s="16"/>
      <c r="W470" s="16"/>
      <c r="X470" s="16"/>
      <c r="Y470" s="16"/>
      <c r="Z470" s="16"/>
      <c r="AA470" s="16"/>
      <c r="AB470" s="16"/>
      <c r="AC470" s="16"/>
      <c r="AD470" s="16"/>
      <c r="AE470" s="16"/>
      <c r="AF470" s="16"/>
      <c r="AG470" s="16"/>
      <c r="AH470" s="16"/>
      <c r="AI470" s="16"/>
      <c r="AJ470" s="16"/>
      <c r="AK470" s="16"/>
    </row>
    <row r="471" spans="1:37" ht="11.65" customHeight="1" x14ac:dyDescent="0.2">
      <c r="A471" s="622"/>
      <c r="B471" s="1"/>
      <c r="C471" s="1"/>
      <c r="D471" s="1"/>
      <c r="E471" s="1"/>
      <c r="F471" s="1"/>
      <c r="G471" s="1"/>
      <c r="H471" s="1"/>
      <c r="I471" s="1"/>
      <c r="J471" s="16"/>
      <c r="K471" s="121"/>
      <c r="L471" s="121"/>
      <c r="M471" s="122"/>
      <c r="N471" s="121"/>
      <c r="O471" s="121"/>
      <c r="P471" s="121"/>
      <c r="Q471" s="121"/>
      <c r="R471" s="121"/>
      <c r="S471" s="121"/>
      <c r="T471" s="121"/>
      <c r="U471" s="16"/>
      <c r="V471" s="16"/>
      <c r="W471" s="16"/>
      <c r="X471" s="16"/>
      <c r="Y471" s="16"/>
      <c r="Z471" s="16"/>
      <c r="AA471" s="16"/>
      <c r="AB471" s="16"/>
      <c r="AC471" s="16"/>
      <c r="AD471" s="16"/>
      <c r="AE471" s="16"/>
      <c r="AF471" s="16"/>
      <c r="AG471" s="16"/>
      <c r="AH471" s="16"/>
      <c r="AI471" s="16"/>
      <c r="AJ471" s="16"/>
      <c r="AK471" s="16"/>
    </row>
    <row r="472" spans="1:37" ht="11.65" customHeight="1" x14ac:dyDescent="0.2">
      <c r="A472" s="622"/>
      <c r="B472" s="1"/>
      <c r="C472" s="1"/>
      <c r="D472" s="1"/>
      <c r="E472" s="1"/>
      <c r="F472" s="1"/>
      <c r="G472" s="1"/>
      <c r="H472" s="1"/>
      <c r="I472" s="1"/>
      <c r="J472" s="16"/>
      <c r="K472" s="121"/>
      <c r="L472" s="121"/>
      <c r="M472" s="122"/>
      <c r="N472" s="121"/>
      <c r="O472" s="121"/>
      <c r="P472" s="121"/>
      <c r="Q472" s="121"/>
      <c r="R472" s="121"/>
      <c r="S472" s="121"/>
      <c r="T472" s="121"/>
      <c r="U472" s="16"/>
      <c r="V472" s="16"/>
      <c r="W472" s="16"/>
      <c r="X472" s="16"/>
      <c r="Y472" s="16"/>
      <c r="Z472" s="16"/>
      <c r="AA472" s="16"/>
      <c r="AB472" s="16"/>
      <c r="AC472" s="16"/>
      <c r="AD472" s="16"/>
      <c r="AE472" s="16"/>
      <c r="AF472" s="16"/>
      <c r="AG472" s="16"/>
      <c r="AH472" s="16"/>
      <c r="AI472" s="16"/>
      <c r="AJ472" s="16"/>
      <c r="AK472" s="16"/>
    </row>
    <row r="473" spans="1:37" ht="11.65" customHeight="1" x14ac:dyDescent="0.2">
      <c r="A473" s="622"/>
      <c r="B473" s="1"/>
      <c r="C473" s="1"/>
      <c r="D473" s="1"/>
      <c r="E473" s="1"/>
      <c r="F473" s="1"/>
      <c r="G473" s="1"/>
      <c r="H473" s="1"/>
      <c r="I473" s="1"/>
      <c r="J473" s="16"/>
      <c r="K473" s="121"/>
      <c r="L473" s="121"/>
      <c r="M473" s="122"/>
      <c r="N473" s="121"/>
      <c r="O473" s="121"/>
      <c r="P473" s="121"/>
      <c r="Q473" s="121"/>
      <c r="R473" s="121"/>
      <c r="S473" s="121"/>
      <c r="T473" s="121"/>
      <c r="U473" s="16"/>
      <c r="V473" s="16"/>
      <c r="W473" s="16"/>
      <c r="X473" s="16"/>
      <c r="Y473" s="16"/>
      <c r="Z473" s="16"/>
      <c r="AA473" s="16"/>
      <c r="AB473" s="16"/>
      <c r="AC473" s="16"/>
      <c r="AD473" s="16"/>
      <c r="AE473" s="16"/>
      <c r="AF473" s="16"/>
      <c r="AG473" s="16"/>
      <c r="AH473" s="16"/>
      <c r="AI473" s="16"/>
      <c r="AJ473" s="16"/>
      <c r="AK473" s="16"/>
    </row>
    <row r="474" spans="1:37" ht="11.65" customHeight="1" x14ac:dyDescent="0.2">
      <c r="A474" s="622"/>
      <c r="B474" s="1"/>
      <c r="C474" s="1"/>
      <c r="D474" s="1"/>
      <c r="E474" s="1"/>
      <c r="F474" s="1"/>
      <c r="G474" s="1"/>
      <c r="H474" s="1"/>
      <c r="I474" s="1"/>
      <c r="J474" s="16"/>
      <c r="K474" s="121"/>
      <c r="L474" s="121"/>
      <c r="M474" s="122"/>
      <c r="N474" s="121"/>
      <c r="O474" s="121"/>
      <c r="P474" s="121"/>
      <c r="Q474" s="121"/>
      <c r="R474" s="121"/>
      <c r="S474" s="121"/>
      <c r="T474" s="121"/>
      <c r="U474" s="16"/>
      <c r="V474" s="16"/>
      <c r="W474" s="16"/>
      <c r="X474" s="16"/>
      <c r="Y474" s="16"/>
      <c r="Z474" s="16"/>
      <c r="AA474" s="16"/>
      <c r="AB474" s="16"/>
      <c r="AC474" s="16"/>
      <c r="AD474" s="16"/>
      <c r="AE474" s="16"/>
      <c r="AF474" s="16"/>
      <c r="AG474" s="16"/>
      <c r="AH474" s="16"/>
      <c r="AI474" s="16"/>
      <c r="AJ474" s="16"/>
      <c r="AK474" s="16"/>
    </row>
    <row r="475" spans="1:37" ht="11.65" customHeight="1" x14ac:dyDescent="0.2">
      <c r="A475" s="622"/>
      <c r="B475" s="1"/>
      <c r="C475" s="1"/>
      <c r="D475" s="1"/>
      <c r="E475" s="1"/>
      <c r="F475" s="1"/>
      <c r="G475" s="1"/>
      <c r="H475" s="1"/>
      <c r="I475" s="1"/>
      <c r="J475" s="16"/>
      <c r="K475" s="121"/>
      <c r="L475" s="121"/>
      <c r="M475" s="122"/>
      <c r="N475" s="121"/>
      <c r="O475" s="121"/>
      <c r="P475" s="121"/>
      <c r="Q475" s="121"/>
      <c r="R475" s="121"/>
      <c r="S475" s="121"/>
      <c r="T475" s="121"/>
      <c r="U475" s="16"/>
      <c r="V475" s="16"/>
      <c r="W475" s="16"/>
      <c r="X475" s="16"/>
      <c r="Y475" s="16"/>
      <c r="Z475" s="16"/>
      <c r="AA475" s="16"/>
      <c r="AB475" s="16"/>
      <c r="AC475" s="16"/>
      <c r="AD475" s="16"/>
      <c r="AE475" s="16"/>
      <c r="AF475" s="16"/>
      <c r="AG475" s="16"/>
      <c r="AH475" s="16"/>
      <c r="AI475" s="16"/>
      <c r="AJ475" s="16"/>
      <c r="AK475" s="16"/>
    </row>
    <row r="476" spans="1:37" ht="11.65" customHeight="1" x14ac:dyDescent="0.2">
      <c r="A476" s="622"/>
      <c r="B476" s="1"/>
      <c r="C476" s="1"/>
      <c r="D476" s="1"/>
      <c r="E476" s="1"/>
      <c r="F476" s="1"/>
      <c r="G476" s="1"/>
      <c r="H476" s="1"/>
      <c r="I476" s="1"/>
      <c r="J476" s="16"/>
      <c r="K476" s="121"/>
      <c r="L476" s="121"/>
      <c r="M476" s="122"/>
      <c r="N476" s="121"/>
      <c r="O476" s="121"/>
      <c r="P476" s="121"/>
      <c r="Q476" s="121"/>
      <c r="R476" s="121"/>
      <c r="S476" s="121"/>
      <c r="T476" s="121"/>
      <c r="U476" s="16"/>
      <c r="V476" s="16"/>
      <c r="W476" s="16"/>
      <c r="X476" s="16"/>
      <c r="Y476" s="16"/>
      <c r="Z476" s="16"/>
      <c r="AA476" s="16"/>
      <c r="AB476" s="16"/>
      <c r="AC476" s="16"/>
      <c r="AD476" s="16"/>
      <c r="AE476" s="16"/>
      <c r="AF476" s="16"/>
      <c r="AG476" s="16"/>
      <c r="AH476" s="16"/>
      <c r="AI476" s="16"/>
      <c r="AJ476" s="16"/>
      <c r="AK476" s="16"/>
    </row>
    <row r="477" spans="1:37" ht="11.65" customHeight="1" x14ac:dyDescent="0.2">
      <c r="A477" s="622"/>
      <c r="B477" s="1"/>
      <c r="C477" s="1"/>
      <c r="D477" s="1"/>
      <c r="E477" s="1"/>
      <c r="F477" s="1"/>
      <c r="G477" s="1"/>
      <c r="H477" s="1"/>
      <c r="I477" s="1"/>
      <c r="J477" s="16"/>
      <c r="K477" s="121"/>
      <c r="L477" s="121"/>
      <c r="M477" s="122"/>
      <c r="N477" s="121"/>
      <c r="O477" s="121"/>
      <c r="P477" s="121"/>
      <c r="Q477" s="121"/>
      <c r="R477" s="121"/>
      <c r="S477" s="121"/>
      <c r="T477" s="121"/>
      <c r="U477" s="16"/>
      <c r="V477" s="16"/>
      <c r="W477" s="16"/>
      <c r="X477" s="16"/>
      <c r="Y477" s="16"/>
      <c r="Z477" s="16"/>
      <c r="AA477" s="16"/>
      <c r="AB477" s="16"/>
      <c r="AC477" s="16"/>
      <c r="AD477" s="16"/>
      <c r="AE477" s="16"/>
      <c r="AF477" s="16"/>
      <c r="AG477" s="16"/>
      <c r="AH477" s="16"/>
      <c r="AI477" s="16"/>
      <c r="AJ477" s="16"/>
      <c r="AK477" s="16"/>
    </row>
    <row r="478" spans="1:37" ht="11.65" customHeight="1" x14ac:dyDescent="0.2">
      <c r="A478" s="622"/>
      <c r="B478" s="1"/>
      <c r="C478" s="1"/>
      <c r="D478" s="1"/>
      <c r="E478" s="1"/>
      <c r="F478" s="1"/>
      <c r="G478" s="1"/>
      <c r="H478" s="1"/>
      <c r="I478" s="1"/>
      <c r="J478" s="16"/>
      <c r="K478" s="121"/>
      <c r="L478" s="121"/>
      <c r="M478" s="122"/>
      <c r="N478" s="121"/>
      <c r="O478" s="121"/>
      <c r="P478" s="121"/>
      <c r="Q478" s="121"/>
      <c r="R478" s="121"/>
      <c r="S478" s="121"/>
      <c r="T478" s="121"/>
      <c r="U478" s="16"/>
      <c r="V478" s="16"/>
      <c r="W478" s="16"/>
      <c r="X478" s="16"/>
      <c r="Y478" s="16"/>
      <c r="Z478" s="16"/>
      <c r="AA478" s="16"/>
      <c r="AB478" s="16"/>
      <c r="AC478" s="16"/>
      <c r="AD478" s="16"/>
      <c r="AE478" s="16"/>
      <c r="AF478" s="16"/>
      <c r="AG478" s="16"/>
      <c r="AH478" s="16"/>
      <c r="AI478" s="16"/>
      <c r="AJ478" s="16"/>
      <c r="AK478" s="16"/>
    </row>
    <row r="479" spans="1:37" ht="11.65" customHeight="1" x14ac:dyDescent="0.2">
      <c r="A479" s="622"/>
      <c r="B479" s="1"/>
      <c r="C479" s="1"/>
      <c r="D479" s="1"/>
      <c r="E479" s="1"/>
      <c r="F479" s="1"/>
      <c r="G479" s="1"/>
      <c r="H479" s="1"/>
      <c r="I479" s="1"/>
      <c r="J479" s="16"/>
      <c r="K479" s="121"/>
      <c r="L479" s="121"/>
      <c r="M479" s="122"/>
      <c r="N479" s="121"/>
      <c r="O479" s="121"/>
      <c r="P479" s="121"/>
      <c r="Q479" s="121"/>
      <c r="R479" s="121"/>
      <c r="S479" s="121"/>
      <c r="T479" s="121"/>
      <c r="U479" s="16"/>
      <c r="V479" s="16"/>
      <c r="W479" s="16"/>
      <c r="X479" s="16"/>
      <c r="Y479" s="16"/>
      <c r="Z479" s="16"/>
      <c r="AA479" s="16"/>
      <c r="AB479" s="16"/>
      <c r="AC479" s="16"/>
      <c r="AD479" s="16"/>
      <c r="AE479" s="16"/>
      <c r="AF479" s="16"/>
      <c r="AG479" s="16"/>
      <c r="AH479" s="16"/>
      <c r="AI479" s="16"/>
      <c r="AJ479" s="16"/>
      <c r="AK479" s="16"/>
    </row>
    <row r="480" spans="1:37" ht="11.65" customHeight="1" x14ac:dyDescent="0.2">
      <c r="A480" s="622"/>
      <c r="B480" s="1"/>
      <c r="C480" s="1"/>
      <c r="D480" s="1"/>
      <c r="E480" s="1"/>
      <c r="F480" s="1"/>
      <c r="G480" s="1"/>
      <c r="H480" s="1"/>
      <c r="I480" s="1"/>
      <c r="J480" s="16"/>
      <c r="K480" s="121"/>
      <c r="L480" s="121"/>
      <c r="M480" s="122"/>
      <c r="N480" s="121"/>
      <c r="O480" s="121"/>
      <c r="P480" s="121"/>
      <c r="Q480" s="121"/>
      <c r="R480" s="121"/>
      <c r="S480" s="121"/>
      <c r="T480" s="121"/>
      <c r="U480" s="16"/>
      <c r="V480" s="16"/>
      <c r="W480" s="16"/>
      <c r="X480" s="16"/>
      <c r="Y480" s="16"/>
      <c r="Z480" s="16"/>
      <c r="AA480" s="16"/>
      <c r="AB480" s="16"/>
      <c r="AC480" s="16"/>
      <c r="AD480" s="16"/>
      <c r="AE480" s="16"/>
      <c r="AF480" s="16"/>
      <c r="AG480" s="16"/>
      <c r="AH480" s="16"/>
      <c r="AI480" s="16"/>
      <c r="AJ480" s="16"/>
      <c r="AK480" s="16"/>
    </row>
  </sheetData>
  <sheetProtection algorithmName="SHA-512" hashValue="RnJ6Ck0NXrzggQzhD3tpz/UAPvZq9NaZ5fSNSCTPP76ZlDtnW5OF50W1Yvqdmb0ilbIuab6rDzsOvS9vuXHZ1g==" saltValue="cLZ25FoAmrYTNT2vhpMGlQ==" spinCount="100000" sheet="1" formatColumns="0" formatRows="0"/>
  <dataValidations disablePrompts="1" count="2">
    <dataValidation allowBlank="1" showErrorMessage="1" promptTitle="Debt servicing costs" prompt="Include the associated debt servicing costs as relevant across the proposed program of expenditure._x000a__x000a_Delete this heading and associated rows if this is not part of the council's application." sqref="B380:I382 B213:I215 B433:I434 B67:V69"/>
    <dataValidation allowBlank="1" showInputMessage="1" showErrorMessage="1" prompt="_x000a_" sqref="B70:C70 E70:I70"/>
  </dataValidations>
  <pageMargins left="0.19685039370078741" right="0.19685039370078741" top="0.19685039370078741" bottom="0.19685039370078741" header="0.31496062992125984" footer="0.31496062992125984"/>
  <pageSetup paperSize="9" scale="66" fitToWidth="0" fitToHeight="0" orientation="landscape" r:id="rId1"/>
  <headerFooter>
    <oddHeader>&amp;C&amp;"Calibri"&amp;10&amp;KFF0000 UNOFFICIAL&amp;1#_x000D_</oddHeader>
    <oddFooter>&amp;C_x000D_&amp;1#&amp;"Calibri"&amp;10&amp;KFF0000 UNOFFICIAL</oddFooter>
  </headerFooter>
  <rowBreaks count="2" manualBreakCount="2">
    <brk id="165" max="20" man="1"/>
    <brk id="387" max="2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2" id="{E339CFFC-65F7-4FB9-94A0-84868B72BDE2}">
            <xm:f>'WS1-Application'!$D$33="Minimum rate increase"</xm:f>
            <x14:dxf>
              <font>
                <b/>
                <i val="0"/>
                <color rgb="FF974706"/>
              </font>
            </x14:dxf>
          </x14:cfRule>
          <xm:sqref>B318 B334 B388 K388 K334 K75 K21 K313 B75 B21 B321 B324 B327 B330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7"/>
  <sheetViews>
    <sheetView showGridLines="0" workbookViewId="0">
      <selection activeCell="I61" sqref="I61"/>
    </sheetView>
  </sheetViews>
  <sheetFormatPr defaultRowHeight="12" outlineLevelCol="1" x14ac:dyDescent="0.2"/>
  <cols>
    <col min="1" max="1" width="2.7109375" style="625" customWidth="1"/>
    <col min="2" max="2" width="61.28515625" customWidth="1"/>
    <col min="3" max="3" width="28.28515625" customWidth="1"/>
    <col min="4" max="4" width="20.140625" customWidth="1"/>
    <col min="5" max="19" width="9.7109375" customWidth="1"/>
    <col min="20" max="20" width="14.140625" customWidth="1"/>
    <col min="21" max="21" width="5.42578125" customWidth="1"/>
    <col min="22" max="22" width="45.28515625" bestFit="1" customWidth="1"/>
    <col min="23" max="23" width="78.42578125" customWidth="1" outlineLevel="1"/>
    <col min="24" max="41" width="9"/>
  </cols>
  <sheetData>
    <row r="1" spans="1:41" ht="14.25" customHeight="1" thickBot="1" x14ac:dyDescent="0.4">
      <c r="A1" s="623">
        <v>11</v>
      </c>
      <c r="B1" s="3"/>
      <c r="C1" s="3"/>
      <c r="E1" s="442"/>
      <c r="F1" s="61"/>
      <c r="G1" s="1"/>
      <c r="H1" s="1"/>
      <c r="I1" s="1"/>
      <c r="J1" s="16"/>
      <c r="K1" s="16"/>
      <c r="L1" s="16"/>
      <c r="M1" s="19"/>
      <c r="N1" s="16"/>
      <c r="O1" s="16"/>
      <c r="P1" s="16"/>
      <c r="Q1" s="16"/>
      <c r="R1" s="16"/>
      <c r="S1" s="16"/>
      <c r="T1" s="16"/>
      <c r="U1" s="16"/>
      <c r="W1" s="3"/>
      <c r="X1" s="3"/>
      <c r="Y1" s="3"/>
      <c r="Z1" s="3"/>
      <c r="AA1" s="3"/>
      <c r="AB1" s="3"/>
      <c r="AC1" s="3"/>
      <c r="AD1" s="3"/>
      <c r="AE1" s="3"/>
      <c r="AF1" s="3"/>
      <c r="AG1" s="3"/>
      <c r="AH1" s="3"/>
      <c r="AI1" s="3"/>
      <c r="AJ1" s="3"/>
      <c r="AK1" s="3"/>
      <c r="AL1" s="3"/>
      <c r="AM1" s="3"/>
      <c r="AN1" s="3"/>
      <c r="AO1" s="3"/>
    </row>
    <row r="2" spans="1:41" ht="15.75" x14ac:dyDescent="0.25">
      <c r="A2" s="623"/>
      <c r="B2" s="1590" t="str">
        <f>'WS1-Application'!B2</f>
        <v>APPLICATION FOR SPECIAL VARIATION - WILLOUGHBY CITY COUNCIL</v>
      </c>
      <c r="C2" s="1591"/>
      <c r="D2" s="1612"/>
      <c r="E2" s="1612"/>
      <c r="F2" s="1612"/>
      <c r="G2" s="1612"/>
      <c r="H2" s="1612"/>
      <c r="I2" s="1612"/>
      <c r="J2" s="1612"/>
      <c r="K2" s="1612"/>
      <c r="L2" s="1612"/>
      <c r="M2" s="1612"/>
      <c r="N2" s="1612"/>
      <c r="O2" s="1612"/>
      <c r="P2" s="1612"/>
      <c r="Q2" s="1612"/>
      <c r="R2" s="1612"/>
      <c r="S2" s="1612"/>
      <c r="T2" s="1613"/>
      <c r="U2" s="16"/>
      <c r="W2" s="3"/>
      <c r="X2" s="3"/>
      <c r="Y2" s="3"/>
      <c r="Z2" s="3"/>
      <c r="AA2" s="3"/>
      <c r="AB2" s="3"/>
      <c r="AC2" s="3"/>
      <c r="AD2" s="3"/>
      <c r="AE2" s="3"/>
      <c r="AF2" s="3"/>
      <c r="AG2" s="3"/>
      <c r="AH2" s="3"/>
      <c r="AI2" s="3"/>
      <c r="AJ2" s="3"/>
      <c r="AK2" s="3"/>
      <c r="AL2" s="3"/>
      <c r="AM2" s="3"/>
      <c r="AN2" s="3"/>
      <c r="AO2" s="3"/>
    </row>
    <row r="3" spans="1:41" ht="12" customHeight="1" x14ac:dyDescent="0.2">
      <c r="A3" s="623"/>
      <c r="B3" s="1614"/>
      <c r="C3" s="1494"/>
      <c r="D3" s="1562"/>
      <c r="E3" s="1562"/>
      <c r="F3" s="1562"/>
      <c r="G3" s="1562"/>
      <c r="H3" s="1562"/>
      <c r="I3" s="1562"/>
      <c r="J3" s="1562"/>
      <c r="K3" s="1562"/>
      <c r="L3" s="1562"/>
      <c r="M3" s="1562"/>
      <c r="N3" s="1562"/>
      <c r="O3" s="1562"/>
      <c r="P3" s="1562"/>
      <c r="Q3" s="1562"/>
      <c r="R3" s="1562"/>
      <c r="S3" s="1562"/>
      <c r="T3" s="1595"/>
      <c r="U3" s="16"/>
      <c r="W3" s="3"/>
      <c r="X3" s="3"/>
      <c r="Y3" s="3"/>
      <c r="Z3" s="3"/>
      <c r="AA3" s="3"/>
      <c r="AB3" s="3"/>
      <c r="AC3" s="3"/>
      <c r="AD3" s="3"/>
      <c r="AE3" s="3"/>
      <c r="AF3" s="3"/>
      <c r="AG3" s="3"/>
      <c r="AH3" s="3"/>
      <c r="AI3" s="3"/>
      <c r="AJ3" s="3"/>
      <c r="AK3" s="3"/>
      <c r="AL3" s="3"/>
      <c r="AM3" s="3"/>
      <c r="AN3" s="3"/>
      <c r="AO3" s="3"/>
    </row>
    <row r="4" spans="1:41" ht="16.5" thickBot="1" x14ac:dyDescent="0.3">
      <c r="A4" s="623"/>
      <c r="B4" s="1553" t="str">
        <f>"WORKSHEET "&amp;A1&amp;" : FINANCIAL RATIOS"</f>
        <v>WORKSHEET 11 : FINANCIAL RATIOS</v>
      </c>
      <c r="C4" s="1554"/>
      <c r="D4" s="1554"/>
      <c r="E4" s="1554"/>
      <c r="F4" s="1554"/>
      <c r="G4" s="1554"/>
      <c r="H4" s="1554"/>
      <c r="I4" s="1554"/>
      <c r="J4" s="1554"/>
      <c r="K4" s="1554"/>
      <c r="L4" s="1554"/>
      <c r="M4" s="1554"/>
      <c r="N4" s="1554"/>
      <c r="O4" s="1554"/>
      <c r="P4" s="1554"/>
      <c r="Q4" s="1554"/>
      <c r="R4" s="1554"/>
      <c r="S4" s="1554"/>
      <c r="T4" s="1560"/>
      <c r="U4" s="16"/>
      <c r="W4" s="3"/>
      <c r="X4" s="3"/>
      <c r="Y4" s="3"/>
      <c r="Z4" s="3"/>
      <c r="AA4" s="3"/>
      <c r="AB4" s="3"/>
      <c r="AC4" s="3"/>
      <c r="AD4" s="3"/>
      <c r="AE4" s="3"/>
      <c r="AF4" s="3"/>
      <c r="AG4" s="3"/>
      <c r="AH4" s="3"/>
      <c r="AI4" s="3"/>
      <c r="AJ4" s="3"/>
      <c r="AK4" s="3"/>
      <c r="AL4" s="3"/>
      <c r="AM4" s="3"/>
      <c r="AN4" s="3"/>
      <c r="AO4" s="3"/>
    </row>
    <row r="5" spans="1:41" ht="12" customHeight="1" x14ac:dyDescent="0.2">
      <c r="A5" s="623"/>
      <c r="B5" s="1"/>
      <c r="C5" s="1"/>
      <c r="D5" s="1"/>
      <c r="E5" s="1"/>
      <c r="F5" s="1"/>
      <c r="G5" s="1"/>
      <c r="H5" s="1"/>
      <c r="I5" s="266"/>
      <c r="J5" s="16"/>
      <c r="K5" s="16"/>
      <c r="L5" s="16"/>
      <c r="M5" s="16"/>
      <c r="N5" s="3"/>
      <c r="O5" s="3"/>
      <c r="P5" s="3"/>
      <c r="Q5" s="3"/>
      <c r="R5" s="16"/>
      <c r="S5" s="16"/>
      <c r="T5" s="16"/>
      <c r="U5" s="16"/>
      <c r="W5" s="3"/>
      <c r="X5" s="3"/>
      <c r="Y5" s="3"/>
      <c r="Z5" s="3"/>
      <c r="AA5" s="3"/>
      <c r="AB5" s="3"/>
      <c r="AC5" s="3"/>
      <c r="AD5" s="3"/>
      <c r="AE5" s="3"/>
      <c r="AF5" s="3"/>
      <c r="AG5" s="3"/>
      <c r="AH5" s="3"/>
      <c r="AI5" s="3"/>
      <c r="AJ5" s="3"/>
      <c r="AK5" s="3"/>
      <c r="AL5" s="3"/>
      <c r="AM5" s="3"/>
      <c r="AN5" s="3"/>
      <c r="AO5" s="3"/>
    </row>
    <row r="6" spans="1:41" ht="12" customHeight="1" x14ac:dyDescent="0.2">
      <c r="A6" s="623"/>
      <c r="B6" s="1"/>
      <c r="C6" s="1"/>
      <c r="D6" s="1"/>
      <c r="E6" s="1"/>
      <c r="F6" s="1"/>
      <c r="G6" s="1"/>
      <c r="H6" s="1"/>
      <c r="I6" s="266"/>
      <c r="J6" s="16"/>
      <c r="K6" s="16"/>
      <c r="L6" s="16"/>
      <c r="M6" s="16"/>
      <c r="N6" s="3"/>
      <c r="O6" s="3"/>
      <c r="P6" s="3"/>
      <c r="Q6" s="3"/>
      <c r="R6" s="16"/>
      <c r="S6" s="16"/>
      <c r="T6" s="16"/>
      <c r="U6" s="16"/>
      <c r="W6" s="3"/>
      <c r="X6" s="3"/>
      <c r="Y6" s="3"/>
      <c r="Z6" s="3"/>
      <c r="AA6" s="3"/>
      <c r="AB6" s="3"/>
      <c r="AC6" s="3"/>
      <c r="AD6" s="3"/>
      <c r="AE6" s="3"/>
      <c r="AF6" s="3"/>
      <c r="AG6" s="3"/>
      <c r="AH6" s="3"/>
      <c r="AI6" s="3"/>
      <c r="AJ6" s="3"/>
      <c r="AK6" s="3"/>
      <c r="AL6" s="3"/>
      <c r="AM6" s="3"/>
      <c r="AN6" s="3"/>
      <c r="AO6" s="3"/>
    </row>
    <row r="7" spans="1:41" ht="15.75" x14ac:dyDescent="0.2">
      <c r="A7" s="623"/>
      <c r="B7" s="461" t="s">
        <v>496</v>
      </c>
      <c r="C7" s="45"/>
      <c r="D7" s="264"/>
      <c r="F7" s="45"/>
      <c r="G7" s="45"/>
      <c r="I7" s="3"/>
      <c r="J7" s="45"/>
      <c r="K7" s="45"/>
      <c r="L7" s="45"/>
      <c r="M7" s="45"/>
      <c r="N7" s="3"/>
      <c r="O7" s="3"/>
      <c r="P7" s="3"/>
      <c r="Q7" s="3"/>
      <c r="R7" s="45"/>
      <c r="S7" s="16"/>
      <c r="T7" s="16"/>
      <c r="U7" s="16"/>
      <c r="W7" s="3"/>
      <c r="X7" s="3"/>
      <c r="Y7" s="3"/>
      <c r="Z7" s="3"/>
      <c r="AA7" s="3"/>
      <c r="AB7" s="3"/>
      <c r="AC7" s="3"/>
      <c r="AD7" s="3"/>
      <c r="AE7" s="3"/>
      <c r="AF7" s="3"/>
      <c r="AG7" s="3"/>
      <c r="AH7" s="3"/>
      <c r="AI7" s="3"/>
      <c r="AJ7" s="3"/>
      <c r="AK7" s="3"/>
      <c r="AL7" s="3"/>
      <c r="AM7" s="3"/>
      <c r="AN7" s="3"/>
      <c r="AO7" s="3"/>
    </row>
    <row r="8" spans="1:41" x14ac:dyDescent="0.2">
      <c r="A8" s="623"/>
      <c r="B8" s="1154" t="s">
        <v>876</v>
      </c>
      <c r="C8" s="1156"/>
      <c r="D8" s="1156"/>
      <c r="E8" s="675"/>
      <c r="F8" s="1156"/>
      <c r="G8" s="1156"/>
      <c r="H8" s="675"/>
      <c r="I8" s="1156"/>
      <c r="J8" s="1156"/>
      <c r="K8" s="1156"/>
      <c r="L8" s="1156"/>
      <c r="M8" s="1156"/>
      <c r="N8" s="1156"/>
      <c r="O8" s="1156"/>
      <c r="P8" s="1156"/>
      <c r="Q8" s="1156"/>
      <c r="R8" s="1156"/>
      <c r="S8" s="1156"/>
      <c r="T8" s="1157"/>
      <c r="U8" s="16"/>
      <c r="W8" s="3"/>
      <c r="X8" s="3"/>
      <c r="Y8" s="3"/>
      <c r="Z8" s="3"/>
      <c r="AA8" s="3"/>
      <c r="AB8" s="3"/>
      <c r="AC8" s="3"/>
      <c r="AD8" s="3"/>
      <c r="AE8" s="3"/>
      <c r="AF8" s="3"/>
      <c r="AG8" s="3"/>
      <c r="AH8" s="3"/>
      <c r="AI8" s="3"/>
      <c r="AJ8" s="3"/>
      <c r="AK8" s="3"/>
      <c r="AL8" s="3"/>
      <c r="AM8" s="3"/>
      <c r="AN8" s="3"/>
      <c r="AO8" s="3"/>
    </row>
    <row r="9" spans="1:41" x14ac:dyDescent="0.2">
      <c r="A9" s="623"/>
      <c r="B9" s="569" t="s">
        <v>877</v>
      </c>
      <c r="C9" s="84"/>
      <c r="D9" s="84"/>
      <c r="F9" s="84"/>
      <c r="G9" s="84"/>
      <c r="I9" s="84"/>
      <c r="J9" s="84"/>
      <c r="K9" s="84"/>
      <c r="L9" s="84"/>
      <c r="M9" s="84"/>
      <c r="N9" s="84"/>
      <c r="O9" s="84"/>
      <c r="P9" s="84"/>
      <c r="Q9" s="84"/>
      <c r="R9" s="84"/>
      <c r="S9" s="84"/>
      <c r="T9" s="572"/>
      <c r="U9" s="16"/>
      <c r="W9" s="3"/>
      <c r="X9" s="3"/>
      <c r="Y9" s="3"/>
      <c r="Z9" s="3"/>
      <c r="AA9" s="3"/>
      <c r="AB9" s="3"/>
      <c r="AC9" s="3"/>
      <c r="AD9" s="3"/>
      <c r="AE9" s="3"/>
      <c r="AF9" s="3"/>
      <c r="AG9" s="3"/>
      <c r="AH9" s="3"/>
      <c r="AI9" s="3"/>
      <c r="AJ9" s="3"/>
      <c r="AK9" s="3"/>
      <c r="AL9" s="3"/>
      <c r="AM9" s="3"/>
      <c r="AN9" s="3"/>
      <c r="AO9" s="3"/>
    </row>
    <row r="10" spans="1:41" x14ac:dyDescent="0.2">
      <c r="A10" s="623"/>
      <c r="B10" s="581" t="s">
        <v>878</v>
      </c>
      <c r="C10" s="84"/>
      <c r="D10" s="84"/>
      <c r="F10" s="84"/>
      <c r="G10" s="84"/>
      <c r="I10" s="84"/>
      <c r="J10" s="84"/>
      <c r="K10" s="84"/>
      <c r="L10" s="84"/>
      <c r="M10" s="84"/>
      <c r="N10" s="84"/>
      <c r="O10" s="84"/>
      <c r="P10" s="84"/>
      <c r="Q10" s="84"/>
      <c r="R10" s="84"/>
      <c r="S10" s="84"/>
      <c r="T10" s="572"/>
      <c r="U10" s="16"/>
      <c r="W10" s="3"/>
      <c r="X10" s="3"/>
      <c r="Y10" s="3"/>
      <c r="Z10" s="3"/>
      <c r="AA10" s="3"/>
      <c r="AB10" s="3"/>
      <c r="AC10" s="3"/>
      <c r="AD10" s="3"/>
      <c r="AE10" s="3"/>
      <c r="AF10" s="3"/>
      <c r="AG10" s="3"/>
      <c r="AH10" s="3"/>
      <c r="AI10" s="3"/>
      <c r="AJ10" s="3"/>
      <c r="AK10" s="3"/>
      <c r="AL10" s="3"/>
      <c r="AM10" s="3"/>
      <c r="AN10" s="3"/>
      <c r="AO10" s="3"/>
    </row>
    <row r="11" spans="1:41" x14ac:dyDescent="0.2">
      <c r="A11" s="623"/>
      <c r="B11" s="581" t="str">
        <f>"&gt; Enter the two compulsory ratios ("&amp;B56&amp;" and "&amp;B64&amp;")"</f>
        <v>&gt; Enter the two compulsory ratios (Infrastructure Renewals Ratio and Infrastructure Backlog Ratio)</v>
      </c>
      <c r="C11" s="84"/>
      <c r="D11" s="570"/>
      <c r="F11" s="88"/>
      <c r="G11" s="88"/>
      <c r="I11" s="84"/>
      <c r="J11" s="84"/>
      <c r="K11" s="84"/>
      <c r="L11" s="84"/>
      <c r="M11" s="84"/>
      <c r="N11" s="84"/>
      <c r="O11" s="84"/>
      <c r="P11" s="84"/>
      <c r="Q11" s="84"/>
      <c r="R11" s="84"/>
      <c r="S11" s="84"/>
      <c r="T11" s="572"/>
      <c r="U11" s="16"/>
      <c r="W11" s="3"/>
      <c r="X11" s="3"/>
      <c r="Y11" s="3"/>
      <c r="Z11" s="3"/>
      <c r="AA11" s="3"/>
      <c r="AB11" s="3"/>
      <c r="AC11" s="3"/>
      <c r="AD11" s="3"/>
      <c r="AE11" s="3"/>
      <c r="AF11" s="3"/>
      <c r="AG11" s="3"/>
      <c r="AH11" s="3"/>
      <c r="AI11" s="3"/>
      <c r="AJ11" s="3"/>
      <c r="AK11" s="3"/>
      <c r="AL11" s="3"/>
      <c r="AM11" s="3"/>
      <c r="AN11" s="3"/>
      <c r="AO11" s="3"/>
    </row>
    <row r="12" spans="1:41" x14ac:dyDescent="0.2">
      <c r="A12" s="623"/>
      <c r="B12" s="581" t="s">
        <v>879</v>
      </c>
      <c r="C12" s="162"/>
      <c r="D12" s="83"/>
      <c r="F12" s="88"/>
      <c r="G12" s="88"/>
      <c r="I12" s="84"/>
      <c r="J12" s="84"/>
      <c r="K12" s="84"/>
      <c r="L12" s="84"/>
      <c r="M12" s="84"/>
      <c r="N12" s="84"/>
      <c r="O12" s="84"/>
      <c r="P12" s="84"/>
      <c r="Q12" s="84"/>
      <c r="R12" s="84"/>
      <c r="S12" s="84"/>
      <c r="T12" s="572"/>
      <c r="U12" s="16"/>
      <c r="W12" s="3"/>
      <c r="X12" s="3"/>
      <c r="Y12" s="3"/>
      <c r="Z12" s="3"/>
      <c r="AA12" s="3"/>
      <c r="AB12" s="3"/>
      <c r="AC12" s="3"/>
      <c r="AD12" s="3"/>
      <c r="AE12" s="3"/>
      <c r="AF12" s="3"/>
      <c r="AG12" s="3"/>
      <c r="AH12" s="3"/>
      <c r="AI12" s="3"/>
      <c r="AJ12" s="3"/>
      <c r="AK12" s="3"/>
      <c r="AL12" s="3"/>
      <c r="AM12" s="3"/>
      <c r="AN12" s="3"/>
      <c r="AO12" s="3"/>
    </row>
    <row r="13" spans="1:41" x14ac:dyDescent="0.2">
      <c r="A13" s="623"/>
      <c r="B13" s="1442" t="str">
        <f>"If council is applying for a MR increase only, then rows "&amp;ROW(B48)&amp;", "&amp;ROW(B50)&amp;", "&amp;ROW(B53)&amp;", "&amp;ROW(B57)&amp;", "&amp;ROW(B65)&amp;", "&amp;ROW(B69)&amp;", and "&amp;ROW(B73)&amp;" do not apply - leave blue input cells blank"</f>
        <v>If council is applying for a MR increase only, then rows 48, 50, 53, 57, 65, 69, and 73 do not apply - leave blue input cells blank</v>
      </c>
      <c r="C13" s="162"/>
      <c r="D13" s="83"/>
      <c r="F13" s="88"/>
      <c r="G13" s="88"/>
      <c r="I13" s="84"/>
      <c r="J13" s="84"/>
      <c r="K13" s="84"/>
      <c r="L13" s="84"/>
      <c r="M13" s="84"/>
      <c r="N13" s="84"/>
      <c r="O13" s="84"/>
      <c r="P13" s="84"/>
      <c r="Q13" s="84"/>
      <c r="R13" s="84"/>
      <c r="S13" s="84"/>
      <c r="T13" s="572"/>
      <c r="U13" s="16"/>
      <c r="W13" s="3"/>
      <c r="X13" s="3"/>
      <c r="Y13" s="3"/>
      <c r="Z13" s="3"/>
      <c r="AA13" s="3"/>
      <c r="AB13" s="3"/>
      <c r="AC13" s="3"/>
      <c r="AD13" s="3"/>
      <c r="AE13" s="3"/>
      <c r="AF13" s="3"/>
      <c r="AG13" s="3"/>
      <c r="AH13" s="3"/>
      <c r="AI13" s="3"/>
      <c r="AJ13" s="3"/>
      <c r="AK13" s="3"/>
      <c r="AL13" s="3"/>
      <c r="AM13" s="3"/>
      <c r="AN13" s="3"/>
      <c r="AO13" s="3"/>
    </row>
    <row r="14" spans="1:41" x14ac:dyDescent="0.2">
      <c r="A14" s="623"/>
      <c r="B14" s="685" t="s">
        <v>880</v>
      </c>
      <c r="C14" s="162"/>
      <c r="D14" s="83"/>
      <c r="F14" s="88"/>
      <c r="G14" s="88"/>
      <c r="I14" s="84"/>
      <c r="J14" s="84"/>
      <c r="K14" s="84"/>
      <c r="L14" s="84"/>
      <c r="M14" s="84"/>
      <c r="N14" s="84"/>
      <c r="O14" s="84"/>
      <c r="P14" s="84"/>
      <c r="Q14" s="84"/>
      <c r="R14" s="84"/>
      <c r="S14" s="84"/>
      <c r="T14" s="572"/>
      <c r="U14" s="16"/>
      <c r="W14" s="3"/>
      <c r="X14" s="3"/>
      <c r="Y14" s="3"/>
      <c r="Z14" s="3"/>
      <c r="AA14" s="3"/>
      <c r="AB14" s="3"/>
      <c r="AC14" s="3"/>
      <c r="AD14" s="3"/>
      <c r="AE14" s="3"/>
      <c r="AF14" s="3"/>
      <c r="AG14" s="3"/>
      <c r="AH14" s="3"/>
      <c r="AI14" s="3"/>
      <c r="AJ14" s="3"/>
      <c r="AK14" s="3"/>
      <c r="AL14" s="3"/>
      <c r="AM14" s="3"/>
      <c r="AN14" s="3"/>
      <c r="AO14" s="3"/>
    </row>
    <row r="15" spans="1:41" x14ac:dyDescent="0.2">
      <c r="A15" s="623"/>
      <c r="B15" s="1372" t="s">
        <v>881</v>
      </c>
      <c r="C15" s="162"/>
      <c r="D15" s="83"/>
      <c r="F15" s="88"/>
      <c r="G15" s="88"/>
      <c r="I15" s="84"/>
      <c r="J15" s="84"/>
      <c r="K15" s="84"/>
      <c r="L15" s="84"/>
      <c r="M15" s="84"/>
      <c r="N15" s="84"/>
      <c r="O15" s="84"/>
      <c r="P15" s="84"/>
      <c r="Q15" s="84"/>
      <c r="R15" s="84"/>
      <c r="S15" s="84"/>
      <c r="T15" s="572"/>
      <c r="U15" s="16"/>
      <c r="W15" s="3"/>
      <c r="X15" s="3"/>
      <c r="Y15" s="3"/>
      <c r="Z15" s="3"/>
      <c r="AA15" s="3"/>
      <c r="AB15" s="3"/>
      <c r="AC15" s="3"/>
      <c r="AD15" s="3"/>
      <c r="AE15" s="3"/>
      <c r="AF15" s="3"/>
      <c r="AG15" s="3"/>
      <c r="AH15" s="3"/>
      <c r="AI15" s="3"/>
      <c r="AJ15" s="3"/>
      <c r="AK15" s="3"/>
      <c r="AL15" s="3"/>
      <c r="AM15" s="3"/>
      <c r="AN15" s="3"/>
      <c r="AO15" s="3"/>
    </row>
    <row r="16" spans="1:41" x14ac:dyDescent="0.2">
      <c r="A16" s="623"/>
      <c r="B16" s="1373"/>
      <c r="C16" s="1374"/>
      <c r="D16" s="1275"/>
      <c r="E16" s="571"/>
      <c r="F16" s="1252"/>
      <c r="G16" s="1252"/>
      <c r="H16" s="571"/>
      <c r="I16" s="1160"/>
      <c r="J16" s="1160"/>
      <c r="K16" s="1160"/>
      <c r="L16" s="1160"/>
      <c r="M16" s="1160"/>
      <c r="N16" s="1160"/>
      <c r="O16" s="1160"/>
      <c r="P16" s="1160"/>
      <c r="Q16" s="1160"/>
      <c r="R16" s="1160"/>
      <c r="S16" s="1160"/>
      <c r="T16" s="1161"/>
      <c r="U16" s="16"/>
      <c r="W16" s="3"/>
      <c r="X16" s="3"/>
      <c r="Y16" s="3"/>
      <c r="Z16" s="3"/>
      <c r="AA16" s="3"/>
      <c r="AB16" s="3"/>
      <c r="AC16" s="3"/>
      <c r="AD16" s="3"/>
      <c r="AE16" s="3"/>
      <c r="AF16" s="3"/>
      <c r="AG16" s="3"/>
      <c r="AH16" s="3"/>
      <c r="AI16" s="3"/>
      <c r="AJ16" s="3"/>
      <c r="AK16" s="3"/>
      <c r="AL16" s="3"/>
      <c r="AM16" s="3"/>
      <c r="AN16" s="3"/>
      <c r="AO16" s="3"/>
    </row>
    <row r="17" spans="1:41" ht="12" customHeight="1" x14ac:dyDescent="0.2">
      <c r="A17" s="623"/>
      <c r="B17" s="462"/>
      <c r="C17" s="162"/>
      <c r="D17" s="83"/>
      <c r="F17" s="88"/>
      <c r="G17" s="88"/>
      <c r="I17" s="84"/>
      <c r="J17" s="88"/>
      <c r="K17" s="88"/>
      <c r="L17" s="88"/>
      <c r="M17" s="88"/>
      <c r="N17" s="3"/>
      <c r="O17" s="3"/>
      <c r="P17" s="3"/>
      <c r="Q17" s="3"/>
      <c r="R17" s="88"/>
      <c r="S17" s="117"/>
      <c r="T17" s="117"/>
      <c r="U17" s="16"/>
      <c r="W17" s="3"/>
      <c r="X17" s="3"/>
      <c r="Y17" s="3"/>
      <c r="Z17" s="3"/>
      <c r="AA17" s="3"/>
      <c r="AB17" s="3"/>
      <c r="AC17" s="3"/>
      <c r="AD17" s="3"/>
      <c r="AE17" s="3"/>
      <c r="AF17" s="3"/>
      <c r="AG17" s="3"/>
      <c r="AH17" s="3"/>
      <c r="AI17" s="3"/>
      <c r="AJ17" s="3"/>
      <c r="AK17" s="3"/>
      <c r="AL17" s="3"/>
      <c r="AM17" s="3"/>
      <c r="AN17" s="3"/>
      <c r="AO17" s="3"/>
    </row>
    <row r="18" spans="1:41" ht="12" customHeight="1" x14ac:dyDescent="0.2">
      <c r="A18" s="623"/>
      <c r="B18" s="462"/>
      <c r="C18" s="162"/>
      <c r="D18" s="83"/>
      <c r="F18" s="88"/>
      <c r="G18" s="88"/>
      <c r="I18" s="84"/>
      <c r="J18" s="88"/>
      <c r="K18" s="88"/>
      <c r="L18" s="88"/>
      <c r="M18" s="88"/>
      <c r="N18" s="3"/>
      <c r="O18" s="3"/>
      <c r="P18" s="3"/>
      <c r="Q18" s="3"/>
      <c r="R18" s="88"/>
      <c r="S18" s="117"/>
      <c r="T18" s="117"/>
      <c r="U18" s="16"/>
      <c r="W18" s="3"/>
      <c r="X18" s="3"/>
      <c r="Y18" s="3"/>
      <c r="Z18" s="3"/>
      <c r="AA18" s="3"/>
      <c r="AB18" s="3"/>
      <c r="AC18" s="3"/>
      <c r="AD18" s="3"/>
      <c r="AE18" s="3"/>
      <c r="AF18" s="3"/>
      <c r="AG18" s="3"/>
      <c r="AH18" s="3"/>
      <c r="AI18" s="3"/>
      <c r="AJ18" s="3"/>
      <c r="AK18" s="3"/>
      <c r="AL18" s="3"/>
      <c r="AM18" s="3"/>
      <c r="AN18" s="3"/>
      <c r="AO18" s="3"/>
    </row>
    <row r="19" spans="1:41" ht="12.75" x14ac:dyDescent="0.2">
      <c r="A19" s="623"/>
      <c r="B19" s="1375" t="s">
        <v>882</v>
      </c>
      <c r="C19" s="162"/>
      <c r="D19" s="83"/>
      <c r="F19" s="88"/>
      <c r="G19" s="88"/>
      <c r="I19" s="84"/>
      <c r="J19" s="88"/>
      <c r="K19" s="88"/>
      <c r="L19" s="88"/>
      <c r="M19" s="88"/>
      <c r="N19" s="3"/>
      <c r="O19" s="3"/>
      <c r="P19" s="3"/>
      <c r="Q19" s="3"/>
      <c r="R19" s="88"/>
      <c r="S19" s="117"/>
      <c r="T19" s="117"/>
      <c r="U19" s="16"/>
      <c r="W19" s="3"/>
      <c r="X19" s="3"/>
      <c r="Y19" s="3"/>
      <c r="Z19" s="3"/>
      <c r="AA19" s="3"/>
      <c r="AB19" s="3"/>
      <c r="AC19" s="3"/>
      <c r="AD19" s="3"/>
      <c r="AE19" s="3"/>
      <c r="AF19" s="3"/>
      <c r="AG19" s="3"/>
      <c r="AH19" s="3"/>
      <c r="AI19" s="3"/>
      <c r="AJ19" s="3"/>
      <c r="AK19" s="3"/>
      <c r="AL19" s="3"/>
      <c r="AM19" s="3"/>
      <c r="AN19" s="3"/>
      <c r="AO19" s="3"/>
    </row>
    <row r="20" spans="1:41" x14ac:dyDescent="0.2">
      <c r="A20" s="623"/>
      <c r="B20" s="681" t="s">
        <v>883</v>
      </c>
      <c r="C20" s="1607"/>
      <c r="D20" s="675"/>
      <c r="E20" s="675"/>
      <c r="F20" s="1247"/>
      <c r="G20" s="1247"/>
      <c r="H20" s="675"/>
      <c r="I20" s="1156"/>
      <c r="J20" s="1247"/>
      <c r="K20" s="1247"/>
      <c r="L20" s="1247"/>
      <c r="M20" s="1247"/>
      <c r="N20" s="141"/>
      <c r="O20" s="141"/>
      <c r="P20" s="141"/>
      <c r="Q20" s="141"/>
      <c r="R20" s="1247"/>
      <c r="S20" s="1376"/>
      <c r="T20" s="1377"/>
      <c r="U20" s="16"/>
      <c r="W20" s="3"/>
      <c r="X20" s="3"/>
      <c r="Y20" s="3"/>
      <c r="Z20" s="3"/>
      <c r="AA20" s="3"/>
      <c r="AB20" s="3"/>
      <c r="AC20" s="3"/>
      <c r="AD20" s="3"/>
      <c r="AE20" s="3"/>
      <c r="AF20" s="3"/>
      <c r="AG20" s="3"/>
      <c r="AH20" s="3"/>
      <c r="AI20" s="3"/>
      <c r="AJ20" s="3"/>
      <c r="AK20" s="3"/>
      <c r="AL20" s="3"/>
      <c r="AM20" s="3"/>
      <c r="AN20" s="3"/>
      <c r="AO20" s="3"/>
    </row>
    <row r="21" spans="1:41" x14ac:dyDescent="0.2">
      <c r="A21" s="623"/>
      <c r="B21" s="607" t="s">
        <v>967</v>
      </c>
      <c r="C21" s="1494"/>
      <c r="D21" s="1494"/>
      <c r="E21" s="1494"/>
      <c r="F21" s="1601"/>
      <c r="G21" s="1601"/>
      <c r="H21" s="1494"/>
      <c r="I21" s="1602"/>
      <c r="J21" s="1601"/>
      <c r="K21" s="1601"/>
      <c r="L21" s="1601"/>
      <c r="M21" s="1601"/>
      <c r="N21" s="1542"/>
      <c r="O21" s="1542"/>
      <c r="P21" s="1542"/>
      <c r="Q21" s="1542"/>
      <c r="R21" s="1601"/>
      <c r="S21" s="1603"/>
      <c r="T21" s="1378"/>
      <c r="U21" s="16"/>
      <c r="W21" s="3"/>
      <c r="X21" s="3"/>
      <c r="Y21" s="3"/>
      <c r="Z21" s="3"/>
      <c r="AA21" s="3"/>
      <c r="AB21" s="3"/>
      <c r="AC21" s="3"/>
      <c r="AD21" s="3"/>
      <c r="AE21" s="3"/>
      <c r="AF21" s="3"/>
      <c r="AG21" s="3"/>
      <c r="AH21" s="3"/>
      <c r="AI21" s="3"/>
      <c r="AJ21" s="3"/>
      <c r="AK21" s="3"/>
      <c r="AL21" s="3"/>
      <c r="AM21" s="3"/>
      <c r="AN21" s="3"/>
      <c r="AO21" s="3"/>
    </row>
    <row r="22" spans="1:41" x14ac:dyDescent="0.2">
      <c r="A22" s="623"/>
      <c r="B22" s="1608" t="s">
        <v>974</v>
      </c>
      <c r="C22" s="1494"/>
      <c r="D22" s="1494"/>
      <c r="E22" s="1494"/>
      <c r="F22" s="1601"/>
      <c r="G22" s="1601"/>
      <c r="H22" s="1494"/>
      <c r="I22" s="1602"/>
      <c r="J22" s="1601"/>
      <c r="K22" s="1601"/>
      <c r="L22" s="1601"/>
      <c r="M22" s="1601"/>
      <c r="N22" s="1542"/>
      <c r="O22" s="1542"/>
      <c r="P22" s="1542"/>
      <c r="Q22" s="1542"/>
      <c r="R22" s="1601"/>
      <c r="S22" s="1603"/>
      <c r="T22" s="1378"/>
      <c r="U22" s="16"/>
      <c r="W22" s="3"/>
      <c r="X22" s="3"/>
      <c r="Y22" s="3"/>
      <c r="Z22" s="3"/>
      <c r="AA22" s="3"/>
      <c r="AB22" s="3"/>
      <c r="AC22" s="3"/>
      <c r="AD22" s="3"/>
      <c r="AE22" s="3"/>
      <c r="AF22" s="3"/>
      <c r="AG22" s="3"/>
      <c r="AH22" s="3"/>
      <c r="AI22" s="3"/>
      <c r="AJ22" s="3"/>
      <c r="AK22" s="3"/>
      <c r="AL22" s="3"/>
      <c r="AM22" s="3"/>
      <c r="AN22" s="3"/>
      <c r="AO22" s="3"/>
    </row>
    <row r="23" spans="1:41" x14ac:dyDescent="0.2">
      <c r="A23" s="623"/>
      <c r="B23" s="1609" t="s">
        <v>884</v>
      </c>
      <c r="C23" s="1494"/>
      <c r="D23" s="1494"/>
      <c r="E23" s="1494"/>
      <c r="F23" s="1601"/>
      <c r="G23" s="1601"/>
      <c r="H23" s="1494"/>
      <c r="I23" s="1602"/>
      <c r="J23" s="1601"/>
      <c r="K23" s="1601"/>
      <c r="L23" s="1601"/>
      <c r="M23" s="1601"/>
      <c r="N23" s="1542"/>
      <c r="O23" s="1542"/>
      <c r="P23" s="1542"/>
      <c r="Q23" s="1542"/>
      <c r="R23" s="1601"/>
      <c r="S23" s="1603"/>
      <c r="T23" s="1378"/>
      <c r="U23" s="16"/>
      <c r="W23" s="3"/>
      <c r="X23" s="3"/>
      <c r="Y23" s="3"/>
      <c r="Z23" s="3"/>
      <c r="AA23" s="3"/>
      <c r="AB23" s="3"/>
      <c r="AC23" s="3"/>
      <c r="AD23" s="3"/>
      <c r="AE23" s="3"/>
      <c r="AF23" s="3"/>
      <c r="AG23" s="3"/>
      <c r="AH23" s="3"/>
      <c r="AI23" s="3"/>
      <c r="AJ23" s="3"/>
      <c r="AK23" s="3"/>
      <c r="AL23" s="3"/>
      <c r="AM23" s="3"/>
      <c r="AN23" s="3"/>
      <c r="AO23" s="3"/>
    </row>
    <row r="24" spans="1:41" x14ac:dyDescent="0.2">
      <c r="A24" s="623"/>
      <c r="B24" s="685" t="s">
        <v>886</v>
      </c>
      <c r="C24" s="1645"/>
      <c r="D24" s="1645"/>
      <c r="E24" s="1494"/>
      <c r="F24" s="1601"/>
      <c r="G24" s="1601"/>
      <c r="H24" s="1494"/>
      <c r="I24" s="1602"/>
      <c r="J24" s="1601"/>
      <c r="K24" s="1601"/>
      <c r="L24" s="1601"/>
      <c r="M24" s="1601"/>
      <c r="N24" s="1542"/>
      <c r="O24" s="1542"/>
      <c r="P24" s="1542"/>
      <c r="Q24" s="1542"/>
      <c r="R24" s="1601"/>
      <c r="S24" s="1603"/>
      <c r="T24" s="1378"/>
      <c r="U24" s="16"/>
      <c r="W24" s="3"/>
      <c r="X24" s="3"/>
      <c r="Y24" s="3"/>
      <c r="Z24" s="3"/>
      <c r="AA24" s="3"/>
      <c r="AB24" s="3"/>
      <c r="AC24" s="3"/>
      <c r="AD24" s="3"/>
      <c r="AE24" s="3"/>
      <c r="AF24" s="3"/>
      <c r="AG24" s="3"/>
      <c r="AH24" s="3"/>
      <c r="AI24" s="3"/>
      <c r="AJ24" s="3"/>
      <c r="AK24" s="3"/>
      <c r="AL24" s="3"/>
      <c r="AM24" s="3"/>
      <c r="AN24" s="3"/>
      <c r="AO24" s="3"/>
    </row>
    <row r="25" spans="1:41" x14ac:dyDescent="0.2">
      <c r="A25" s="623"/>
      <c r="B25" s="607" t="s">
        <v>887</v>
      </c>
      <c r="C25" s="1572"/>
      <c r="D25" s="1605"/>
      <c r="E25" s="1494"/>
      <c r="F25" s="1601"/>
      <c r="G25" s="1601"/>
      <c r="H25" s="1494"/>
      <c r="I25" s="1602"/>
      <c r="J25" s="1601"/>
      <c r="K25" s="1601"/>
      <c r="L25" s="1601"/>
      <c r="M25" s="1601"/>
      <c r="N25" s="1542"/>
      <c r="O25" s="1542"/>
      <c r="P25" s="1542"/>
      <c r="Q25" s="1542"/>
      <c r="R25" s="1601"/>
      <c r="S25" s="1603"/>
      <c r="T25" s="1378"/>
      <c r="U25" s="16"/>
      <c r="W25" s="3"/>
      <c r="X25" s="3"/>
      <c r="Y25" s="3"/>
      <c r="Z25" s="3"/>
      <c r="AA25" s="3"/>
      <c r="AB25" s="3"/>
      <c r="AC25" s="3"/>
      <c r="AD25" s="3"/>
      <c r="AE25" s="3"/>
      <c r="AF25" s="3"/>
      <c r="AG25" s="3"/>
      <c r="AH25" s="3"/>
      <c r="AI25" s="3"/>
      <c r="AJ25" s="3"/>
      <c r="AK25" s="3"/>
      <c r="AL25" s="3"/>
      <c r="AM25" s="3"/>
      <c r="AN25" s="3"/>
      <c r="AO25" s="3"/>
    </row>
    <row r="26" spans="1:41" x14ac:dyDescent="0.2">
      <c r="A26" s="623"/>
      <c r="B26" s="607" t="s">
        <v>888</v>
      </c>
      <c r="C26" s="1604"/>
      <c r="D26" s="1605"/>
      <c r="E26" s="1494"/>
      <c r="F26" s="1601"/>
      <c r="G26" s="1601"/>
      <c r="H26" s="1494"/>
      <c r="I26" s="1602"/>
      <c r="J26" s="1601"/>
      <c r="K26" s="1601"/>
      <c r="L26" s="1601"/>
      <c r="M26" s="1601"/>
      <c r="N26" s="1542"/>
      <c r="O26" s="1542"/>
      <c r="P26" s="1542"/>
      <c r="Q26" s="1542"/>
      <c r="R26" s="1601"/>
      <c r="S26" s="1603"/>
      <c r="T26" s="1378"/>
      <c r="U26" s="16"/>
      <c r="W26" s="3"/>
      <c r="X26" s="3"/>
      <c r="Y26" s="3"/>
      <c r="Z26" s="3"/>
      <c r="AA26" s="3"/>
      <c r="AB26" s="3"/>
      <c r="AC26" s="3"/>
      <c r="AD26" s="3"/>
      <c r="AE26" s="3"/>
      <c r="AF26" s="3"/>
      <c r="AG26" s="3"/>
      <c r="AH26" s="3"/>
      <c r="AI26" s="3"/>
      <c r="AJ26" s="3"/>
      <c r="AK26" s="3"/>
      <c r="AL26" s="3"/>
      <c r="AM26" s="3"/>
      <c r="AN26" s="3"/>
      <c r="AO26" s="3"/>
    </row>
    <row r="27" spans="1:41" x14ac:dyDescent="0.2">
      <c r="A27" s="623"/>
      <c r="B27" s="1609" t="s">
        <v>884</v>
      </c>
      <c r="C27" s="1604"/>
      <c r="D27" s="1605"/>
      <c r="E27" s="1494"/>
      <c r="F27" s="1601"/>
      <c r="G27" s="1601"/>
      <c r="H27" s="1494"/>
      <c r="I27" s="1602"/>
      <c r="J27" s="1601"/>
      <c r="K27" s="1601"/>
      <c r="L27" s="1601"/>
      <c r="M27" s="1601"/>
      <c r="N27" s="1542"/>
      <c r="O27" s="1542"/>
      <c r="P27" s="1542"/>
      <c r="Q27" s="1542"/>
      <c r="R27" s="1601"/>
      <c r="S27" s="1603"/>
      <c r="T27" s="1378"/>
      <c r="U27" s="16"/>
      <c r="W27" s="3"/>
      <c r="X27" s="3"/>
      <c r="Y27" s="3"/>
      <c r="Z27" s="3"/>
      <c r="AA27" s="3"/>
      <c r="AB27" s="3"/>
      <c r="AC27" s="3"/>
      <c r="AD27" s="3"/>
      <c r="AE27" s="3"/>
      <c r="AF27" s="3"/>
      <c r="AG27" s="3"/>
      <c r="AH27" s="3"/>
      <c r="AI27" s="3"/>
      <c r="AJ27" s="3"/>
      <c r="AK27" s="3"/>
      <c r="AL27" s="3"/>
      <c r="AM27" s="3"/>
      <c r="AN27" s="3"/>
      <c r="AO27" s="3"/>
    </row>
    <row r="28" spans="1:41" x14ac:dyDescent="0.2">
      <c r="A28" s="623"/>
      <c r="B28" s="685" t="s">
        <v>889</v>
      </c>
      <c r="C28" s="1604"/>
      <c r="D28" s="1605"/>
      <c r="E28" s="1494"/>
      <c r="F28" s="1601"/>
      <c r="G28" s="1601"/>
      <c r="H28" s="1494"/>
      <c r="I28" s="1602"/>
      <c r="J28" s="1601"/>
      <c r="K28" s="1601"/>
      <c r="L28" s="1601"/>
      <c r="M28" s="1601"/>
      <c r="N28" s="1542"/>
      <c r="O28" s="1542"/>
      <c r="P28" s="1542"/>
      <c r="Q28" s="1542"/>
      <c r="R28" s="1601"/>
      <c r="S28" s="1603"/>
      <c r="T28" s="1378"/>
      <c r="U28" s="16"/>
      <c r="W28" s="3"/>
      <c r="X28" s="3"/>
      <c r="Y28" s="3"/>
      <c r="Z28" s="3"/>
      <c r="AA28" s="3"/>
      <c r="AB28" s="3"/>
      <c r="AC28" s="3"/>
      <c r="AD28" s="3"/>
      <c r="AE28" s="3"/>
      <c r="AF28" s="3"/>
      <c r="AG28" s="3"/>
      <c r="AH28" s="3"/>
      <c r="AI28" s="3"/>
      <c r="AJ28" s="3"/>
      <c r="AK28" s="3"/>
      <c r="AL28" s="3"/>
      <c r="AM28" s="3"/>
      <c r="AN28" s="3"/>
      <c r="AO28" s="3"/>
    </row>
    <row r="29" spans="1:41" x14ac:dyDescent="0.2">
      <c r="A29" s="623"/>
      <c r="B29" s="607" t="s">
        <v>893</v>
      </c>
      <c r="C29" s="1604"/>
      <c r="D29" s="1605"/>
      <c r="E29" s="1494"/>
      <c r="F29" s="1601"/>
      <c r="G29" s="1601"/>
      <c r="H29" s="1494"/>
      <c r="I29" s="1602"/>
      <c r="J29" s="1601"/>
      <c r="K29" s="1601"/>
      <c r="L29" s="1601"/>
      <c r="M29" s="1601"/>
      <c r="N29" s="1542"/>
      <c r="O29" s="1542"/>
      <c r="P29" s="1542"/>
      <c r="Q29" s="1542"/>
      <c r="R29" s="1601"/>
      <c r="S29" s="1603"/>
      <c r="T29" s="1378"/>
      <c r="U29" s="16"/>
      <c r="W29" s="3"/>
      <c r="X29" s="3"/>
      <c r="Y29" s="3"/>
      <c r="Z29" s="3"/>
      <c r="AA29" s="3"/>
      <c r="AB29" s="3"/>
      <c r="AC29" s="3"/>
      <c r="AD29" s="3"/>
      <c r="AE29" s="3"/>
      <c r="AF29" s="3"/>
      <c r="AG29" s="3"/>
      <c r="AH29" s="3"/>
      <c r="AI29" s="3"/>
      <c r="AJ29" s="3"/>
      <c r="AK29" s="3"/>
      <c r="AL29" s="3"/>
      <c r="AM29" s="3"/>
      <c r="AN29" s="3"/>
      <c r="AO29" s="3"/>
    </row>
    <row r="30" spans="1:41" x14ac:dyDescent="0.2">
      <c r="A30" s="623"/>
      <c r="B30" s="1609" t="s">
        <v>891</v>
      </c>
      <c r="C30" s="1610"/>
      <c r="D30" s="1605"/>
      <c r="E30" s="1494"/>
      <c r="F30" s="1601"/>
      <c r="G30" s="1601"/>
      <c r="H30" s="1494"/>
      <c r="I30" s="1602"/>
      <c r="J30" s="1601"/>
      <c r="K30" s="1601"/>
      <c r="L30" s="1601"/>
      <c r="M30" s="1601"/>
      <c r="N30" s="1542"/>
      <c r="O30" s="1542"/>
      <c r="P30" s="1542"/>
      <c r="Q30" s="1542"/>
      <c r="R30" s="1601"/>
      <c r="S30" s="1603"/>
      <c r="T30" s="1378"/>
      <c r="U30" s="16"/>
      <c r="W30" s="3"/>
      <c r="X30" s="3"/>
      <c r="Y30" s="3"/>
      <c r="Z30" s="3"/>
      <c r="AA30" s="3"/>
      <c r="AB30" s="3"/>
      <c r="AC30" s="3"/>
      <c r="AD30" s="3"/>
      <c r="AE30" s="3"/>
      <c r="AF30" s="3"/>
      <c r="AG30" s="3"/>
      <c r="AH30" s="3"/>
      <c r="AI30" s="3"/>
      <c r="AJ30" s="3"/>
      <c r="AK30" s="3"/>
      <c r="AL30" s="3"/>
      <c r="AM30" s="3"/>
      <c r="AN30" s="3"/>
      <c r="AO30" s="3"/>
    </row>
    <row r="31" spans="1:41" x14ac:dyDescent="0.2">
      <c r="A31" s="623"/>
      <c r="B31" s="685" t="s">
        <v>894</v>
      </c>
      <c r="C31" s="1606"/>
      <c r="D31" s="1605"/>
      <c r="E31" s="1494"/>
      <c r="F31" s="1601"/>
      <c r="G31" s="1601"/>
      <c r="H31" s="1494"/>
      <c r="I31" s="1602"/>
      <c r="J31" s="1601"/>
      <c r="K31" s="1601"/>
      <c r="L31" s="1601"/>
      <c r="M31" s="1601"/>
      <c r="N31" s="1542"/>
      <c r="O31" s="1542"/>
      <c r="P31" s="1542"/>
      <c r="Q31" s="1542"/>
      <c r="R31" s="1601"/>
      <c r="S31" s="1603"/>
      <c r="T31" s="1378"/>
      <c r="U31" s="16"/>
      <c r="W31" s="3"/>
      <c r="X31" s="3"/>
      <c r="Y31" s="3"/>
      <c r="Z31" s="3"/>
      <c r="AA31" s="3"/>
      <c r="AB31" s="3"/>
      <c r="AC31" s="3"/>
      <c r="AD31" s="3"/>
      <c r="AE31" s="3"/>
      <c r="AF31" s="3"/>
      <c r="AG31" s="3"/>
      <c r="AH31" s="3"/>
      <c r="AI31" s="3"/>
      <c r="AJ31" s="3"/>
      <c r="AK31" s="3"/>
      <c r="AL31" s="3"/>
      <c r="AM31" s="3"/>
      <c r="AN31" s="3"/>
      <c r="AO31" s="3"/>
    </row>
    <row r="32" spans="1:41" x14ac:dyDescent="0.2">
      <c r="A32" s="623"/>
      <c r="B32" s="607" t="s">
        <v>896</v>
      </c>
      <c r="C32" s="1606"/>
      <c r="D32" s="1605"/>
      <c r="E32" s="1494"/>
      <c r="F32" s="1601"/>
      <c r="G32" s="1601"/>
      <c r="H32" s="1494"/>
      <c r="I32" s="1602"/>
      <c r="J32" s="1601"/>
      <c r="K32" s="1601"/>
      <c r="L32" s="1601"/>
      <c r="M32" s="1601"/>
      <c r="N32" s="1542"/>
      <c r="O32" s="1542"/>
      <c r="P32" s="1542"/>
      <c r="Q32" s="1542"/>
      <c r="R32" s="1601"/>
      <c r="S32" s="1603"/>
      <c r="T32" s="1378"/>
      <c r="U32" s="16"/>
      <c r="W32" s="3"/>
      <c r="X32" s="3"/>
      <c r="Y32" s="3"/>
      <c r="Z32" s="3"/>
      <c r="AA32" s="3"/>
      <c r="AB32" s="3"/>
      <c r="AC32" s="3"/>
      <c r="AD32" s="3"/>
      <c r="AE32" s="3"/>
      <c r="AF32" s="3"/>
      <c r="AG32" s="3"/>
      <c r="AH32" s="3"/>
      <c r="AI32" s="3"/>
      <c r="AJ32" s="3"/>
      <c r="AK32" s="3"/>
      <c r="AL32" s="3"/>
      <c r="AM32" s="3"/>
      <c r="AN32" s="3"/>
      <c r="AO32" s="3"/>
    </row>
    <row r="33" spans="1:41" x14ac:dyDescent="0.2">
      <c r="A33" s="623"/>
      <c r="B33" s="607" t="s">
        <v>897</v>
      </c>
      <c r="C33" s="1606"/>
      <c r="D33" s="1605"/>
      <c r="E33" s="1494"/>
      <c r="F33" s="1601"/>
      <c r="G33" s="1601"/>
      <c r="H33" s="1494"/>
      <c r="I33" s="1602"/>
      <c r="J33" s="1601"/>
      <c r="K33" s="1601"/>
      <c r="L33" s="1601"/>
      <c r="M33" s="1601"/>
      <c r="N33" s="1542"/>
      <c r="O33" s="1542"/>
      <c r="P33" s="1542"/>
      <c r="Q33" s="1542"/>
      <c r="R33" s="1601"/>
      <c r="S33" s="1603"/>
      <c r="T33" s="1378"/>
      <c r="U33" s="16"/>
      <c r="W33" s="3"/>
      <c r="X33" s="3"/>
      <c r="Y33" s="3"/>
      <c r="Z33" s="3"/>
      <c r="AA33" s="3"/>
      <c r="AB33" s="3"/>
      <c r="AC33" s="3"/>
      <c r="AD33" s="3"/>
      <c r="AE33" s="3"/>
      <c r="AF33" s="3"/>
      <c r="AG33" s="3"/>
      <c r="AH33" s="3"/>
      <c r="AI33" s="3"/>
      <c r="AJ33" s="3"/>
      <c r="AK33" s="3"/>
      <c r="AL33" s="3"/>
      <c r="AM33" s="3"/>
      <c r="AN33" s="3"/>
      <c r="AO33" s="3"/>
    </row>
    <row r="34" spans="1:41" x14ac:dyDescent="0.2">
      <c r="A34" s="623"/>
      <c r="B34" s="1611" t="s">
        <v>891</v>
      </c>
      <c r="C34" s="1606"/>
      <c r="D34" s="1605"/>
      <c r="E34" s="1494"/>
      <c r="F34" s="1601"/>
      <c r="G34" s="1601"/>
      <c r="H34" s="1494"/>
      <c r="I34" s="1602"/>
      <c r="J34" s="1601"/>
      <c r="K34" s="1601"/>
      <c r="L34" s="1601"/>
      <c r="M34" s="1601"/>
      <c r="N34" s="1542"/>
      <c r="O34" s="1542"/>
      <c r="P34" s="1542"/>
      <c r="Q34" s="1542"/>
      <c r="R34" s="1601"/>
      <c r="S34" s="1603"/>
      <c r="T34" s="1378"/>
      <c r="U34" s="16"/>
      <c r="W34" s="3"/>
      <c r="X34" s="3"/>
      <c r="Y34" s="3"/>
      <c r="Z34" s="3"/>
      <c r="AA34" s="3"/>
      <c r="AB34" s="3"/>
      <c r="AC34" s="3"/>
      <c r="AD34" s="3"/>
      <c r="AE34" s="3"/>
      <c r="AF34" s="3"/>
      <c r="AG34" s="3"/>
      <c r="AH34" s="3"/>
      <c r="AI34" s="3"/>
      <c r="AJ34" s="3"/>
      <c r="AK34" s="3"/>
      <c r="AL34" s="3"/>
      <c r="AM34" s="3"/>
      <c r="AN34" s="3"/>
      <c r="AO34" s="3"/>
    </row>
    <row r="35" spans="1:41" x14ac:dyDescent="0.2">
      <c r="A35" s="623"/>
      <c r="B35" s="685" t="s">
        <v>898</v>
      </c>
      <c r="C35" s="1606"/>
      <c r="D35" s="1605"/>
      <c r="E35" s="1494"/>
      <c r="F35" s="1601"/>
      <c r="G35" s="1601"/>
      <c r="H35" s="1494"/>
      <c r="I35" s="1602"/>
      <c r="J35" s="1601"/>
      <c r="K35" s="1601"/>
      <c r="L35" s="1601"/>
      <c r="M35" s="1601"/>
      <c r="N35" s="1542"/>
      <c r="O35" s="1542"/>
      <c r="P35" s="1542"/>
      <c r="Q35" s="1542"/>
      <c r="R35" s="1601"/>
      <c r="S35" s="1603"/>
      <c r="T35" s="1378"/>
      <c r="U35" s="16"/>
      <c r="W35" s="3"/>
      <c r="X35" s="3"/>
      <c r="Y35" s="3"/>
      <c r="Z35" s="3"/>
      <c r="AA35" s="3"/>
      <c r="AB35" s="3"/>
      <c r="AC35" s="3"/>
      <c r="AD35" s="3"/>
      <c r="AE35" s="3"/>
      <c r="AF35" s="3"/>
      <c r="AG35" s="3"/>
      <c r="AH35" s="3"/>
      <c r="AI35" s="3"/>
      <c r="AJ35" s="3"/>
      <c r="AK35" s="3"/>
      <c r="AL35" s="3"/>
      <c r="AM35" s="3"/>
      <c r="AN35" s="3"/>
      <c r="AO35" s="3"/>
    </row>
    <row r="36" spans="1:41" x14ac:dyDescent="0.2">
      <c r="A36" s="623"/>
      <c r="B36" s="702" t="s">
        <v>975</v>
      </c>
      <c r="C36" s="1494"/>
      <c r="D36" s="1605"/>
      <c r="E36" s="1494"/>
      <c r="F36" s="1601"/>
      <c r="G36" s="1601"/>
      <c r="H36" s="1494"/>
      <c r="I36" s="1602"/>
      <c r="J36" s="1601"/>
      <c r="K36" s="1601"/>
      <c r="L36" s="1601"/>
      <c r="M36" s="1601"/>
      <c r="N36" s="1542"/>
      <c r="O36" s="1542"/>
      <c r="P36" s="1542"/>
      <c r="Q36" s="1542"/>
      <c r="R36" s="1601"/>
      <c r="S36" s="1603"/>
      <c r="T36" s="1378"/>
      <c r="U36" s="16"/>
      <c r="W36" s="3"/>
      <c r="X36" s="3"/>
      <c r="Y36" s="3"/>
      <c r="Z36" s="3"/>
      <c r="AA36" s="3"/>
      <c r="AB36" s="3"/>
      <c r="AC36" s="3"/>
      <c r="AD36" s="3"/>
      <c r="AE36" s="3"/>
      <c r="AF36" s="3"/>
      <c r="AG36" s="3"/>
      <c r="AH36" s="3"/>
      <c r="AI36" s="3"/>
      <c r="AJ36" s="3"/>
      <c r="AK36" s="3"/>
      <c r="AL36" s="3"/>
      <c r="AM36" s="3"/>
      <c r="AN36" s="3"/>
      <c r="AO36" s="3"/>
    </row>
    <row r="37" spans="1:41" x14ac:dyDescent="0.2">
      <c r="A37" s="623"/>
      <c r="B37" s="685" t="s">
        <v>901</v>
      </c>
      <c r="C37" s="1494"/>
      <c r="D37" s="1605"/>
      <c r="E37" s="1606"/>
      <c r="F37" s="1601"/>
      <c r="G37" s="1601"/>
      <c r="H37" s="1494"/>
      <c r="I37" s="1602"/>
      <c r="J37" s="1601"/>
      <c r="K37" s="1601"/>
      <c r="L37" s="1601"/>
      <c r="M37" s="1601"/>
      <c r="N37" s="1542"/>
      <c r="O37" s="1542"/>
      <c r="P37" s="1542"/>
      <c r="Q37" s="1542"/>
      <c r="R37" s="1601"/>
      <c r="S37" s="1603"/>
      <c r="T37" s="1378"/>
      <c r="U37" s="16"/>
      <c r="W37" s="3"/>
      <c r="X37" s="3"/>
      <c r="Y37" s="3"/>
      <c r="Z37" s="3"/>
      <c r="AA37" s="3"/>
      <c r="AB37" s="3"/>
      <c r="AC37" s="3"/>
      <c r="AD37" s="3"/>
      <c r="AE37" s="3"/>
      <c r="AF37" s="3"/>
      <c r="AG37" s="3"/>
      <c r="AH37" s="3"/>
      <c r="AI37" s="3"/>
      <c r="AJ37" s="3"/>
      <c r="AK37" s="3"/>
      <c r="AL37" s="3"/>
      <c r="AM37" s="3"/>
      <c r="AN37" s="3"/>
      <c r="AO37" s="3"/>
    </row>
    <row r="38" spans="1:41" x14ac:dyDescent="0.2">
      <c r="A38" s="623"/>
      <c r="B38" s="607" t="s">
        <v>976</v>
      </c>
      <c r="C38" s="1494"/>
      <c r="D38" s="1605"/>
      <c r="E38" s="1606"/>
      <c r="F38" s="1601"/>
      <c r="G38" s="1601"/>
      <c r="H38" s="1494"/>
      <c r="I38" s="1602"/>
      <c r="J38" s="1601"/>
      <c r="K38" s="1601"/>
      <c r="L38" s="1601"/>
      <c r="M38" s="1601"/>
      <c r="N38" s="1542"/>
      <c r="O38" s="1542"/>
      <c r="P38" s="1542"/>
      <c r="Q38" s="1542"/>
      <c r="R38" s="1601"/>
      <c r="S38" s="1603"/>
      <c r="T38" s="1378"/>
      <c r="U38" s="16"/>
      <c r="W38" s="3"/>
      <c r="X38" s="3"/>
      <c r="Y38" s="3"/>
      <c r="Z38" s="3"/>
      <c r="AA38" s="3"/>
      <c r="AB38" s="3"/>
      <c r="AC38" s="3"/>
      <c r="AD38" s="3"/>
      <c r="AE38" s="3"/>
      <c r="AF38" s="3"/>
      <c r="AG38" s="3"/>
      <c r="AH38" s="3"/>
      <c r="AI38" s="3"/>
      <c r="AJ38" s="3"/>
      <c r="AK38" s="3"/>
      <c r="AL38" s="3"/>
      <c r="AM38" s="3"/>
      <c r="AN38" s="3"/>
      <c r="AO38" s="3"/>
    </row>
    <row r="39" spans="1:41" x14ac:dyDescent="0.2">
      <c r="A39" s="623"/>
      <c r="B39" s="344"/>
      <c r="C39" s="571"/>
      <c r="D39" s="1275"/>
      <c r="E39" s="454"/>
      <c r="F39" s="1252"/>
      <c r="G39" s="1252"/>
      <c r="H39" s="571"/>
      <c r="I39" s="1160"/>
      <c r="J39" s="1252"/>
      <c r="K39" s="1252"/>
      <c r="L39" s="1252"/>
      <c r="M39" s="1252"/>
      <c r="N39" s="140"/>
      <c r="O39" s="140"/>
      <c r="P39" s="140"/>
      <c r="Q39" s="140"/>
      <c r="R39" s="1252"/>
      <c r="S39" s="1379"/>
      <c r="T39" s="1380"/>
      <c r="U39" s="16"/>
      <c r="W39" s="3"/>
      <c r="X39" s="3"/>
      <c r="Y39" s="3"/>
      <c r="Z39" s="3"/>
      <c r="AA39" s="3"/>
      <c r="AB39" s="3"/>
      <c r="AC39" s="3"/>
      <c r="AD39" s="3"/>
      <c r="AE39" s="3"/>
      <c r="AF39" s="3"/>
      <c r="AG39" s="3"/>
      <c r="AH39" s="3"/>
      <c r="AI39" s="3"/>
      <c r="AJ39" s="3"/>
      <c r="AK39" s="3"/>
      <c r="AL39" s="3"/>
      <c r="AM39" s="3"/>
      <c r="AN39" s="3"/>
      <c r="AO39" s="3"/>
    </row>
    <row r="40" spans="1:41" ht="12" customHeight="1" x14ac:dyDescent="0.2">
      <c r="A40" s="623"/>
      <c r="B40" s="462"/>
      <c r="C40" s="19"/>
      <c r="D40" s="83"/>
      <c r="F40" s="88"/>
      <c r="G40" s="88"/>
      <c r="I40" s="84"/>
      <c r="J40" s="88"/>
      <c r="K40" s="88"/>
      <c r="L40" s="88"/>
      <c r="M40" s="88"/>
      <c r="N40" s="3"/>
      <c r="O40" s="3"/>
      <c r="P40" s="3"/>
      <c r="Q40" s="3"/>
      <c r="R40" s="88"/>
      <c r="S40" s="117"/>
      <c r="T40" s="117"/>
      <c r="U40" s="16"/>
      <c r="W40" s="3"/>
      <c r="X40" s="3"/>
      <c r="Y40" s="3"/>
      <c r="Z40" s="3"/>
      <c r="AA40" s="3"/>
      <c r="AB40" s="3"/>
      <c r="AC40" s="3"/>
      <c r="AD40" s="3"/>
      <c r="AE40" s="3"/>
      <c r="AF40" s="3"/>
      <c r="AG40" s="3"/>
      <c r="AH40" s="3"/>
      <c r="AI40" s="3"/>
      <c r="AJ40" s="3"/>
      <c r="AK40" s="3"/>
      <c r="AL40" s="3"/>
      <c r="AM40" s="3"/>
      <c r="AN40" s="3"/>
      <c r="AO40" s="3"/>
    </row>
    <row r="41" spans="1:41" ht="12" customHeight="1" x14ac:dyDescent="0.2">
      <c r="A41" s="623"/>
      <c r="B41" s="462"/>
      <c r="C41" s="19"/>
      <c r="D41" s="83"/>
      <c r="F41" s="88"/>
      <c r="G41" s="88"/>
      <c r="I41" s="84"/>
      <c r="J41" s="88"/>
      <c r="K41" s="88"/>
      <c r="L41" s="88"/>
      <c r="M41" s="88"/>
      <c r="N41" s="3"/>
      <c r="O41" s="3"/>
      <c r="P41" s="3"/>
      <c r="Q41" s="3"/>
      <c r="R41" s="88"/>
      <c r="S41" s="117"/>
      <c r="T41" s="117"/>
      <c r="U41" s="16"/>
      <c r="W41" s="3"/>
      <c r="X41" s="3"/>
      <c r="Y41" s="3"/>
      <c r="Z41" s="3"/>
      <c r="AA41" s="3"/>
      <c r="AB41" s="3"/>
      <c r="AC41" s="3"/>
      <c r="AD41" s="3"/>
      <c r="AE41" s="3"/>
      <c r="AF41" s="3"/>
      <c r="AG41" s="3"/>
      <c r="AH41" s="3"/>
      <c r="AI41" s="3"/>
      <c r="AJ41" s="3"/>
      <c r="AK41" s="3"/>
      <c r="AL41" s="3"/>
      <c r="AM41" s="3"/>
      <c r="AN41" s="3"/>
      <c r="AO41" s="3"/>
    </row>
    <row r="42" spans="1:41" ht="12.75" x14ac:dyDescent="0.2">
      <c r="A42" s="641" t="s">
        <v>902</v>
      </c>
      <c r="B42" s="461" t="str">
        <f>"Table "&amp;A1&amp;A42&amp;": Sustainability"</f>
        <v>Table 11.1: Sustainability</v>
      </c>
      <c r="C42" s="3"/>
      <c r="D42" s="3"/>
      <c r="E42" s="3" t="str">
        <f>IF('WS1-Application'!$D$33='WS0 - Input data'!$B$405,"[Leave row "&amp;ROW(B48)&amp;" ,"&amp;ROW(B50)&amp;" ,"&amp;ROW(B53)&amp;" and "&amp;ROW(B57)&amp;" blank]",".")</f>
        <v>.</v>
      </c>
      <c r="F42" s="3"/>
      <c r="G42" s="3"/>
      <c r="H42" s="3"/>
      <c r="I42" s="3"/>
      <c r="J42" s="3"/>
      <c r="K42" s="3"/>
      <c r="L42" s="3"/>
      <c r="M42" s="3"/>
      <c r="N42" s="3"/>
      <c r="O42" s="3"/>
      <c r="P42" s="3"/>
      <c r="Q42" s="3"/>
      <c r="R42" s="3"/>
      <c r="S42" s="3"/>
      <c r="T42" s="3"/>
      <c r="U42" s="16"/>
      <c r="W42" s="3"/>
      <c r="X42" s="3"/>
      <c r="Y42" s="3"/>
      <c r="Z42" s="3"/>
      <c r="AA42" s="3"/>
      <c r="AB42" s="3"/>
      <c r="AC42" s="3"/>
      <c r="AD42" s="3"/>
      <c r="AE42" s="3"/>
      <c r="AF42" s="3"/>
      <c r="AG42" s="3"/>
      <c r="AH42" s="3"/>
      <c r="AI42" s="3"/>
      <c r="AJ42" s="3"/>
      <c r="AK42" s="3"/>
      <c r="AL42" s="3"/>
      <c r="AM42" s="3"/>
      <c r="AN42" s="3"/>
      <c r="AO42" s="3"/>
    </row>
    <row r="43" spans="1:41" x14ac:dyDescent="0.2">
      <c r="A43" s="624"/>
      <c r="B43" s="950"/>
      <c r="C43" s="141"/>
      <c r="D43" s="141"/>
      <c r="E43" s="1395" t="s">
        <v>903</v>
      </c>
      <c r="F43" s="1396"/>
      <c r="G43" s="940"/>
      <c r="H43" s="1396"/>
      <c r="I43" s="1397"/>
      <c r="J43" s="1396" t="s">
        <v>904</v>
      </c>
      <c r="K43" s="1398"/>
      <c r="L43" s="1398"/>
      <c r="M43" s="1398"/>
      <c r="N43" s="940"/>
      <c r="O43" s="940"/>
      <c r="P43" s="1398"/>
      <c r="Q43" s="1398"/>
      <c r="R43" s="1398"/>
      <c r="S43" s="1398"/>
      <c r="T43" s="1397"/>
      <c r="U43" s="16"/>
      <c r="W43" s="3"/>
      <c r="X43" s="3"/>
      <c r="Y43" s="3"/>
      <c r="Z43" s="3"/>
      <c r="AA43" s="3"/>
      <c r="AB43" s="3"/>
      <c r="AC43" s="3"/>
      <c r="AD43" s="3"/>
      <c r="AE43" s="3"/>
      <c r="AF43" s="3"/>
      <c r="AG43" s="3"/>
      <c r="AH43" s="3"/>
      <c r="AI43" s="3"/>
      <c r="AJ43" s="3"/>
      <c r="AK43" s="3"/>
      <c r="AL43" s="3"/>
      <c r="AM43" s="3"/>
      <c r="AN43" s="3"/>
      <c r="AO43" s="3"/>
    </row>
    <row r="44" spans="1:41" x14ac:dyDescent="0.2">
      <c r="A44" s="624"/>
      <c r="B44" s="299"/>
      <c r="C44" s="3"/>
      <c r="D44" s="3"/>
      <c r="E44" s="702" t="str">
        <f>'WS0 - Input data'!E55</f>
        <v>Hist yr -5</v>
      </c>
      <c r="F44" t="str">
        <f>'WS0 - Input data'!F55</f>
        <v>Hist yr -4</v>
      </c>
      <c r="G44" s="19" t="str">
        <f>'WS0 - Input data'!G55</f>
        <v>Hist yr -3</v>
      </c>
      <c r="H44" t="str">
        <f>'WS0 - Input data'!H55</f>
        <v>Hist yr -2</v>
      </c>
      <c r="I44" s="981" t="str">
        <f>'WS0 - Input data'!I55</f>
        <v>Hist yr -1</v>
      </c>
      <c r="J44" s="1383" t="str">
        <f>'WS0 - Input data'!J55</f>
        <v>Year 0</v>
      </c>
      <c r="K44" s="1383" t="str">
        <f>'WS0 - Input data'!K55</f>
        <v>Year 1</v>
      </c>
      <c r="L44" s="1383" t="str">
        <f>'WS0 - Input data'!L55</f>
        <v>Year 2</v>
      </c>
      <c r="M44" s="1383" t="str">
        <f>'WS0 - Input data'!M55</f>
        <v>Year 3</v>
      </c>
      <c r="N44" s="1383" t="str">
        <f>'WS0 - Input data'!N55</f>
        <v>Year 4</v>
      </c>
      <c r="O44" s="1383" t="str">
        <f>'WS0 - Input data'!O55</f>
        <v>Year 5</v>
      </c>
      <c r="P44" s="1383" t="str">
        <f>'WS0 - Input data'!P55</f>
        <v>Year 6</v>
      </c>
      <c r="Q44" s="1383" t="str">
        <f>'WS0 - Input data'!Q55</f>
        <v>Year 7</v>
      </c>
      <c r="R44" s="1383" t="str">
        <f>'WS0 - Input data'!R55</f>
        <v>Year 8</v>
      </c>
      <c r="S44" s="1383" t="str">
        <f>'WS0 - Input data'!S55</f>
        <v>Year 9</v>
      </c>
      <c r="T44" s="1384" t="str">
        <f>'WS0 - Input data'!T55</f>
        <v>Year 10</v>
      </c>
      <c r="U44" s="16"/>
      <c r="W44" s="3"/>
      <c r="X44" s="3"/>
      <c r="Y44" s="3"/>
      <c r="Z44" s="3"/>
      <c r="AA44" s="3"/>
      <c r="AB44" s="3"/>
      <c r="AC44" s="3"/>
      <c r="AD44" s="3"/>
      <c r="AE44" s="3"/>
      <c r="AF44" s="3"/>
      <c r="AG44" s="3"/>
      <c r="AH44" s="3"/>
      <c r="AI44" s="3"/>
      <c r="AJ44" s="3"/>
      <c r="AK44" s="3"/>
      <c r="AL44" s="3"/>
      <c r="AM44" s="3"/>
      <c r="AN44" s="3"/>
      <c r="AO44" s="3"/>
    </row>
    <row r="45" spans="1:41" x14ac:dyDescent="0.2">
      <c r="A45" s="624"/>
      <c r="B45" s="344"/>
      <c r="C45" s="140"/>
      <c r="D45" s="140"/>
      <c r="E45" s="1393" t="str">
        <f>'WS0 - Input data'!E58</f>
        <v>2018-19</v>
      </c>
      <c r="F45" s="1352" t="str">
        <f>'WS0 - Input data'!F58</f>
        <v>2019-20</v>
      </c>
      <c r="G45" s="1352" t="str">
        <f>'WS0 - Input data'!G58</f>
        <v>2020-21</v>
      </c>
      <c r="H45" s="1352" t="str">
        <f>'WS0 - Input data'!H58</f>
        <v>2021-22</v>
      </c>
      <c r="I45" s="1394" t="str">
        <f>'WS0 - Input data'!I58</f>
        <v>2022-23</v>
      </c>
      <c r="J45" s="1352" t="str">
        <f>'WS0 - Input data'!J58</f>
        <v>2023-24</v>
      </c>
      <c r="K45" s="1352" t="str">
        <f>'WS0 - Input data'!K58</f>
        <v>2024-25</v>
      </c>
      <c r="L45" s="1352" t="str">
        <f>'WS0 - Input data'!L58</f>
        <v>2025-26</v>
      </c>
      <c r="M45" s="1352" t="str">
        <f>'WS0 - Input data'!M58</f>
        <v>2026-27</v>
      </c>
      <c r="N45" s="1352" t="str">
        <f>'WS0 - Input data'!N58</f>
        <v>2027-28</v>
      </c>
      <c r="O45" s="1352" t="str">
        <f>'WS0 - Input data'!O58</f>
        <v>2028-29</v>
      </c>
      <c r="P45" s="1352" t="str">
        <f>'WS0 - Input data'!P58</f>
        <v>2029-30</v>
      </c>
      <c r="Q45" s="1352" t="str">
        <f>'WS0 - Input data'!Q58</f>
        <v>2030-31</v>
      </c>
      <c r="R45" s="1352" t="str">
        <f>'WS0 - Input data'!R58</f>
        <v>2031-32</v>
      </c>
      <c r="S45" s="1352" t="str">
        <f>'WS0 - Input data'!S58</f>
        <v>2032-33</v>
      </c>
      <c r="T45" s="1394" t="str">
        <f>'WS0 - Input data'!T58</f>
        <v>2033-34</v>
      </c>
      <c r="U45" s="16"/>
      <c r="W45" s="3"/>
      <c r="X45" s="3"/>
      <c r="Y45" s="3"/>
      <c r="Z45" s="3"/>
      <c r="AA45" s="3"/>
      <c r="AB45" s="3"/>
      <c r="AC45" s="3"/>
      <c r="AD45" s="3"/>
      <c r="AE45" s="3"/>
      <c r="AF45" s="3"/>
      <c r="AG45" s="3"/>
      <c r="AH45" s="3"/>
      <c r="AI45" s="3"/>
      <c r="AJ45" s="3"/>
      <c r="AK45" s="3"/>
      <c r="AL45" s="3"/>
      <c r="AM45" s="3"/>
      <c r="AN45" s="3"/>
      <c r="AO45" s="3"/>
    </row>
    <row r="46" spans="1:41" x14ac:dyDescent="0.2">
      <c r="A46" s="624"/>
      <c r="B46" s="299"/>
      <c r="C46" s="3"/>
      <c r="D46" s="3"/>
      <c r="E46" s="299"/>
      <c r="F46" s="3"/>
      <c r="G46" s="3"/>
      <c r="H46" s="3"/>
      <c r="I46" s="568"/>
      <c r="J46" s="3"/>
      <c r="K46" s="3"/>
      <c r="L46" s="3"/>
      <c r="M46" s="3"/>
      <c r="N46" s="3"/>
      <c r="O46" s="3"/>
      <c r="P46" s="3"/>
      <c r="Q46" s="3"/>
      <c r="R46" s="3"/>
      <c r="S46" s="3"/>
      <c r="T46" s="568"/>
      <c r="U46" s="16"/>
      <c r="W46" s="386" t="s">
        <v>884</v>
      </c>
      <c r="X46" s="3"/>
      <c r="Y46" s="3"/>
      <c r="Z46" s="3"/>
      <c r="AA46" s="3"/>
      <c r="AB46" s="3"/>
      <c r="AC46" s="3"/>
      <c r="AD46" s="3"/>
      <c r="AE46" s="3"/>
      <c r="AF46" s="3"/>
      <c r="AG46" s="3"/>
      <c r="AH46" s="3"/>
      <c r="AI46" s="3"/>
      <c r="AJ46" s="3"/>
      <c r="AK46" s="3"/>
      <c r="AL46" s="3"/>
      <c r="AM46" s="3"/>
      <c r="AN46" s="3"/>
      <c r="AO46" s="3"/>
    </row>
    <row r="47" spans="1:41" x14ac:dyDescent="0.2">
      <c r="A47" s="624"/>
      <c r="B47" s="685" t="s">
        <v>883</v>
      </c>
      <c r="C47" s="19"/>
      <c r="D47" s="3"/>
      <c r="E47" s="299"/>
      <c r="F47" s="3"/>
      <c r="G47" s="3"/>
      <c r="H47" s="3"/>
      <c r="I47" s="568"/>
      <c r="J47" s="3"/>
      <c r="K47" s="3"/>
      <c r="L47" s="3"/>
      <c r="M47" s="3"/>
      <c r="N47" s="3"/>
      <c r="O47" s="3"/>
      <c r="P47" s="3"/>
      <c r="Q47" s="3"/>
      <c r="R47" s="3"/>
      <c r="S47" s="3"/>
      <c r="T47" s="568"/>
      <c r="U47" s="16"/>
      <c r="W47" s="3" t="s">
        <v>905</v>
      </c>
      <c r="X47" s="3"/>
      <c r="Y47" s="3"/>
      <c r="Z47" s="3"/>
      <c r="AA47" s="3"/>
      <c r="AB47" s="3"/>
      <c r="AC47" s="3"/>
      <c r="AD47" s="3"/>
      <c r="AE47" s="3"/>
      <c r="AF47" s="3"/>
      <c r="AG47" s="3"/>
      <c r="AH47" s="3"/>
      <c r="AI47" s="3"/>
      <c r="AJ47" s="3"/>
      <c r="AK47" s="3"/>
      <c r="AL47" s="3"/>
      <c r="AM47" s="3"/>
      <c r="AN47" s="3"/>
      <c r="AO47" s="3"/>
    </row>
    <row r="48" spans="1:41" x14ac:dyDescent="0.2">
      <c r="A48" s="624"/>
      <c r="B48" s="299" t="str">
        <f>IF('WS1-Application'!$D$33="Minimum rate increase","N/A - Leave blank","Scenario 1: Proposed (with SV)")</f>
        <v>Scenario 1: Proposed (with SV)</v>
      </c>
      <c r="C48" s="19"/>
      <c r="D48" s="74" t="s">
        <v>108</v>
      </c>
      <c r="E48" s="1504">
        <f>'WS9 - Financials'!E51</f>
        <v>6.2229292204480022E-2</v>
      </c>
      <c r="F48" s="1505">
        <f>'WS9 - Financials'!F51</f>
        <v>1.477893581036208E-2</v>
      </c>
      <c r="G48" s="1505">
        <f>'WS9 - Financials'!G51</f>
        <v>-1.2601893482472494E-2</v>
      </c>
      <c r="H48" s="1505">
        <f>'WS9 - Financials'!H51</f>
        <v>-2.4206508638007232E-2</v>
      </c>
      <c r="I48" s="1506">
        <f>'WS9 - Financials'!I51</f>
        <v>-4.075045390357071E-2</v>
      </c>
      <c r="J48" s="1505">
        <f>IF('WS10 - LTFP'!J43=0,0,'WS10 - LTFP'!J66/'WS10 - LTFP'!J43)</f>
        <v>-3.3292425114115551E-2</v>
      </c>
      <c r="K48" s="1505">
        <f>IF('WS10 - LTFP'!K43=0,0,'WS10 - LTFP'!K66/'WS10 - LTFP'!K43)</f>
        <v>1.7182441143140943E-2</v>
      </c>
      <c r="L48" s="1505">
        <f>IF('WS10 - LTFP'!L43=0,0,'WS10 - LTFP'!L66/'WS10 - LTFP'!L43)</f>
        <v>2.0427598414143534E-2</v>
      </c>
      <c r="M48" s="1505">
        <f>IF('WS10 - LTFP'!M43=0,0,'WS10 - LTFP'!M66/'WS10 - LTFP'!M43)</f>
        <v>2.281101778168295E-2</v>
      </c>
      <c r="N48" s="1505">
        <f>IF('WS10 - LTFP'!N43=0,0,'WS10 - LTFP'!N66/'WS10 - LTFP'!N43)</f>
        <v>1.6754024987790533E-2</v>
      </c>
      <c r="O48" s="1505">
        <f>IF('WS10 - LTFP'!O43=0,0,'WS10 - LTFP'!O66/'WS10 - LTFP'!O43)</f>
        <v>1.5995737315003752E-2</v>
      </c>
      <c r="P48" s="1505">
        <f>IF('WS10 - LTFP'!P43=0,0,'WS10 - LTFP'!P66/'WS10 - LTFP'!P43)</f>
        <v>2.176991780417022E-2</v>
      </c>
      <c r="Q48" s="1505">
        <f>IF('WS10 - LTFP'!Q43=0,0,'WS10 - LTFP'!Q66/'WS10 - LTFP'!Q43)</f>
        <v>2.7836847805712554E-2</v>
      </c>
      <c r="R48" s="1505">
        <f>IF('WS10 - LTFP'!R43=0,0,'WS10 - LTFP'!R66/'WS10 - LTFP'!R43)</f>
        <v>3.1851816073451854E-2</v>
      </c>
      <c r="S48" s="1505">
        <f>IF('WS10 - LTFP'!S43=0,0,'WS10 - LTFP'!S66/'WS10 - LTFP'!S43)</f>
        <v>3.2551623579306084E-2</v>
      </c>
      <c r="T48" s="1506">
        <f>IF('WS10 - LTFP'!T43=0,0,'WS10 - LTFP'!T66/'WS10 - LTFP'!T43)</f>
        <v>3.6937638221116467E-2</v>
      </c>
      <c r="U48" s="16"/>
      <c r="W48" s="3" t="s">
        <v>906</v>
      </c>
      <c r="X48" s="3"/>
      <c r="Y48" s="3"/>
      <c r="Z48" s="3"/>
      <c r="AA48" s="3"/>
      <c r="AB48" s="3"/>
      <c r="AC48" s="3"/>
      <c r="AD48" s="3"/>
      <c r="AE48" s="3"/>
      <c r="AF48" s="3"/>
      <c r="AG48" s="3"/>
      <c r="AH48" s="3"/>
      <c r="AI48" s="3"/>
      <c r="AJ48" s="3"/>
      <c r="AK48" s="3"/>
      <c r="AL48" s="3"/>
      <c r="AM48" s="3"/>
      <c r="AN48" s="3"/>
      <c r="AO48" s="3"/>
    </row>
    <row r="49" spans="1:41" x14ac:dyDescent="0.2">
      <c r="A49" s="624"/>
      <c r="B49" s="299" t="s">
        <v>968</v>
      </c>
      <c r="C49" s="19"/>
      <c r="D49" s="74" t="s">
        <v>108</v>
      </c>
      <c r="E49" s="1500">
        <f>E48</f>
        <v>6.2229292204480022E-2</v>
      </c>
      <c r="F49" s="1497">
        <f>F48</f>
        <v>1.477893581036208E-2</v>
      </c>
      <c r="G49" s="1497">
        <f>G48</f>
        <v>-1.2601893482472494E-2</v>
      </c>
      <c r="H49" s="1497">
        <f>H48</f>
        <v>-2.4206508638007232E-2</v>
      </c>
      <c r="I49" s="1501">
        <f>I48</f>
        <v>-4.075045390357071E-2</v>
      </c>
      <c r="J49" s="1505">
        <f>IF('WS10 - LTFP'!J189=0,0,'WS10 - LTFP'!J212/'WS10 - LTFP'!J189)</f>
        <v>-3.3292425114115551E-2</v>
      </c>
      <c r="K49" s="1505">
        <f>IF('WS10 - LTFP'!K189=0,0,'WS10 - LTFP'!K212/'WS10 - LTFP'!K189)</f>
        <v>-1.8949553865118849E-2</v>
      </c>
      <c r="L49" s="1505">
        <f>IF('WS10 - LTFP'!L189=0,0,'WS10 - LTFP'!L212/'WS10 - LTFP'!L189)</f>
        <v>-7.3471942644047798E-3</v>
      </c>
      <c r="M49" s="1505">
        <f>IF('WS10 - LTFP'!M189=0,0,'WS10 - LTFP'!M212/'WS10 - LTFP'!M189)</f>
        <v>-1.3661053072265828E-3</v>
      </c>
      <c r="N49" s="1505">
        <f>IF('WS10 - LTFP'!N189=0,0,'WS10 - LTFP'!N212/'WS10 - LTFP'!N189)</f>
        <v>-1.1612905155211704E-2</v>
      </c>
      <c r="O49" s="1505">
        <f>IF('WS10 - LTFP'!O189=0,0,'WS10 - LTFP'!O212/'WS10 - LTFP'!O189)</f>
        <v>-1.3830299535613629E-2</v>
      </c>
      <c r="P49" s="1505">
        <f>IF('WS10 - LTFP'!P189=0,0,'WS10 - LTFP'!P212/'WS10 - LTFP'!P189)</f>
        <v>-9.4422997404609715E-3</v>
      </c>
      <c r="Q49" s="1505">
        <f>IF('WS10 - LTFP'!Q189=0,0,'WS10 - LTFP'!Q212/'WS10 - LTFP'!Q189)</f>
        <v>-5.954988011476892E-3</v>
      </c>
      <c r="R49" s="1505">
        <f>IF('WS10 - LTFP'!R189=0,0,'WS10 - LTFP'!R212/'WS10 - LTFP'!R189)</f>
        <v>-3.9923801568573034E-3</v>
      </c>
      <c r="S49" s="1505">
        <f>IF('WS10 - LTFP'!S189=0,0,'WS10 - LTFP'!S212/'WS10 - LTFP'!S189)</f>
        <v>-5.5304720663860796E-3</v>
      </c>
      <c r="T49" s="1506">
        <f>IF('WS10 - LTFP'!T189=0,0,'WS10 - LTFP'!T212/'WS10 - LTFP'!T189)</f>
        <v>-4.2955703366225183E-3</v>
      </c>
      <c r="U49" s="16"/>
      <c r="W49" s="3" t="s">
        <v>907</v>
      </c>
      <c r="X49" s="3"/>
      <c r="Y49" s="3"/>
      <c r="Z49" s="3"/>
      <c r="AA49" s="3"/>
      <c r="AB49" s="3"/>
      <c r="AC49" s="3"/>
      <c r="AD49" s="3"/>
      <c r="AE49" s="3"/>
      <c r="AF49" s="3"/>
      <c r="AG49" s="3"/>
      <c r="AH49" s="3"/>
      <c r="AI49" s="3"/>
      <c r="AJ49" s="3"/>
      <c r="AK49" s="3"/>
      <c r="AL49" s="3"/>
      <c r="AM49" s="3"/>
      <c r="AN49" s="3"/>
      <c r="AO49" s="3"/>
    </row>
    <row r="50" spans="1:41" x14ac:dyDescent="0.2">
      <c r="A50" s="624"/>
      <c r="B50" s="299" t="str">
        <f>IF('WS1-Application'!$D$33="Minimum rate increase","N/A - Leave blank","Scenario 3: Hybrid case#")</f>
        <v>Scenario 3: Hybrid case#</v>
      </c>
      <c r="C50" s="19"/>
      <c r="D50" s="74" t="s">
        <v>108</v>
      </c>
      <c r="E50" s="1500">
        <f>E48</f>
        <v>6.2229292204480022E-2</v>
      </c>
      <c r="F50" s="1497">
        <f>F48</f>
        <v>1.477893581036208E-2</v>
      </c>
      <c r="G50" s="1497">
        <f>G48</f>
        <v>-1.2601893482472494E-2</v>
      </c>
      <c r="H50" s="1497">
        <f>H48</f>
        <v>-2.4206508638007232E-2</v>
      </c>
      <c r="I50" s="1501">
        <f>I48</f>
        <v>-4.075045390357071E-2</v>
      </c>
      <c r="J50" s="1505">
        <f>IF('WS10 - LTFP'!J356=0,0,IFERROR('WS10 - LTFP'!J379/'WS10 - LTFP'!J356,"."))</f>
        <v>-3.3292425114115551E-2</v>
      </c>
      <c r="K50" s="1505">
        <f>IF('WS10 - LTFP'!K356=0,0,IFERROR('WS10 - LTFP'!K379/'WS10 - LTFP'!K356,"."))</f>
        <v>-2.6386281310109842E-2</v>
      </c>
      <c r="L50" s="1505">
        <f>IF('WS10 - LTFP'!L356=0,0,IFERROR('WS10 - LTFP'!L379/'WS10 - LTFP'!L356,"."))</f>
        <v>-2.5033994529742028E-2</v>
      </c>
      <c r="M50" s="1505">
        <f>IF('WS10 - LTFP'!M356=0,0,IFERROR('WS10 - LTFP'!M379/'WS10 - LTFP'!M356,"."))</f>
        <v>-2.2916456531946891E-2</v>
      </c>
      <c r="N50" s="1505">
        <f>IF('WS10 - LTFP'!N356=0,0,IFERROR('WS10 - LTFP'!N379/'WS10 - LTFP'!N356,"."))</f>
        <v>-3.3351392409148535E-2</v>
      </c>
      <c r="O50" s="1505">
        <f>IF('WS10 - LTFP'!O356=0,0,IFERROR('WS10 - LTFP'!O379/'WS10 - LTFP'!O356,"."))</f>
        <v>-3.5400394614132975E-2</v>
      </c>
      <c r="P50" s="1505">
        <f>IF('WS10 - LTFP'!P356=0,0,IFERROR('WS10 - LTFP'!P379/'WS10 - LTFP'!P356,"."))</f>
        <v>-3.1041637617807941E-2</v>
      </c>
      <c r="Q50" s="1505">
        <f>IF('WS10 - LTFP'!Q356=0,0,IFERROR('WS10 - LTFP'!Q379/'WS10 - LTFP'!Q356,"."))</f>
        <v>-2.7561016748601425E-2</v>
      </c>
      <c r="R50" s="1505">
        <f>IF('WS10 - LTFP'!R356=0,0,IFERROR('WS10 - LTFP'!R379/'WS10 - LTFP'!R356,"."))</f>
        <v>-2.5603216850034603E-2</v>
      </c>
      <c r="S50" s="1505">
        <f>IF('WS10 - LTFP'!S356=0,0,IFERROR('WS10 - LTFP'!S379/'WS10 - LTFP'!S356,"."))</f>
        <v>-2.714486135196947E-2</v>
      </c>
      <c r="T50" s="1506">
        <f>IF('WS10 - LTFP'!T356=0,0,IFERROR('WS10 - LTFP'!T379/'WS10 - LTFP'!T356,"."))</f>
        <v>-2.5615491169193066E-2</v>
      </c>
      <c r="U50" s="16"/>
      <c r="W50" t="s">
        <v>885</v>
      </c>
      <c r="X50" s="3"/>
      <c r="Y50" s="3"/>
      <c r="Z50" s="3"/>
      <c r="AA50" s="3"/>
      <c r="AB50" s="3"/>
      <c r="AC50" s="3"/>
      <c r="AD50" s="3"/>
      <c r="AE50" s="3"/>
      <c r="AF50" s="3"/>
      <c r="AG50" s="3"/>
      <c r="AH50" s="3"/>
      <c r="AI50" s="3"/>
      <c r="AJ50" s="3"/>
      <c r="AK50" s="3"/>
      <c r="AL50" s="3"/>
      <c r="AM50" s="3"/>
      <c r="AN50" s="3"/>
      <c r="AO50" s="3"/>
    </row>
    <row r="51" spans="1:41" x14ac:dyDescent="0.2">
      <c r="A51" s="624"/>
      <c r="B51" s="299"/>
      <c r="C51" s="3"/>
      <c r="D51" s="19"/>
      <c r="E51" s="1392"/>
      <c r="F51" s="271"/>
      <c r="G51" s="271"/>
      <c r="H51" s="271"/>
      <c r="I51" s="1386"/>
      <c r="J51" s="271"/>
      <c r="K51" s="271"/>
      <c r="L51" s="271"/>
      <c r="M51" s="271"/>
      <c r="N51" s="271"/>
      <c r="O51" s="271"/>
      <c r="P51" s="271"/>
      <c r="Q51" s="271"/>
      <c r="R51" s="271"/>
      <c r="S51" s="271"/>
      <c r="T51" s="1386"/>
      <c r="U51" s="16"/>
      <c r="W51" s="386" t="s">
        <v>884</v>
      </c>
      <c r="X51" s="3"/>
      <c r="Y51" s="3"/>
      <c r="Z51" s="3"/>
      <c r="AA51" s="3"/>
      <c r="AB51" s="3"/>
      <c r="AC51" s="3"/>
      <c r="AD51" s="3"/>
      <c r="AE51" s="3"/>
      <c r="AF51" s="3"/>
      <c r="AG51" s="3"/>
      <c r="AH51" s="3"/>
      <c r="AI51" s="3"/>
      <c r="AJ51" s="3"/>
      <c r="AK51" s="3"/>
      <c r="AL51" s="3"/>
      <c r="AM51" s="3"/>
      <c r="AN51" s="3"/>
      <c r="AO51" s="3"/>
    </row>
    <row r="52" spans="1:41" x14ac:dyDescent="0.2">
      <c r="A52" s="624"/>
      <c r="B52" s="685" t="s">
        <v>886</v>
      </c>
      <c r="C52" s="19"/>
      <c r="D52" s="19"/>
      <c r="E52" s="1392"/>
      <c r="F52" s="271"/>
      <c r="G52" s="271"/>
      <c r="H52" s="271"/>
      <c r="I52" s="1386"/>
      <c r="J52" s="273"/>
      <c r="K52" s="271"/>
      <c r="L52" s="271"/>
      <c r="M52" s="273"/>
      <c r="N52" s="273"/>
      <c r="O52" s="273"/>
      <c r="P52" s="273"/>
      <c r="Q52" s="273"/>
      <c r="R52" s="273"/>
      <c r="S52" s="273"/>
      <c r="T52" s="1387"/>
      <c r="U52" s="16"/>
      <c r="W52" s="3" t="s">
        <v>908</v>
      </c>
      <c r="X52" s="3"/>
      <c r="Y52" s="3"/>
      <c r="Z52" s="3"/>
      <c r="AA52" s="3"/>
      <c r="AB52" s="3"/>
      <c r="AC52" s="3"/>
      <c r="AD52" s="3"/>
      <c r="AE52" s="3"/>
      <c r="AF52" s="3"/>
      <c r="AG52" s="3"/>
      <c r="AH52" s="3"/>
      <c r="AI52" s="3"/>
      <c r="AJ52" s="3"/>
      <c r="AK52" s="3"/>
      <c r="AL52" s="3"/>
      <c r="AM52" s="3"/>
      <c r="AN52" s="3"/>
      <c r="AO52" s="3"/>
    </row>
    <row r="53" spans="1:41" x14ac:dyDescent="0.2">
      <c r="A53" s="624"/>
      <c r="B53" s="1077" t="str">
        <f>$B$48</f>
        <v>Scenario 1: Proposed (with SV)</v>
      </c>
      <c r="C53" s="19"/>
      <c r="D53" s="74" t="s">
        <v>108</v>
      </c>
      <c r="E53" s="1500">
        <f>IF('WS9 - Financials'!E31+'WS9 - Financials'!E24=0,0,('WS9 - Financials'!E31-'WS9 - Financials'!E23)/('WS9 - Financials'!E31+'WS9 - Financials'!E24))</f>
        <v>0.79491912160099987</v>
      </c>
      <c r="F53" s="1497">
        <f>IF('WS9 - Financials'!F31+'WS9 - Financials'!F24=0,0,('WS9 - Financials'!F31-'WS9 - Financials'!F23)/('WS9 - Financials'!F31+'WS9 - Financials'!F24))</f>
        <v>0.76447949070389931</v>
      </c>
      <c r="G53" s="1497">
        <f>IF('WS9 - Financials'!G31+'WS9 - Financials'!G24=0,0,('WS9 - Financials'!G31-'WS9 - Financials'!G23)/('WS9 - Financials'!G31+'WS9 - Financials'!G24))</f>
        <v>0.86447260491822486</v>
      </c>
      <c r="H53" s="1497">
        <f>IF('WS9 - Financials'!H31+'WS9 - Financials'!H24=0,0,('WS9 - Financials'!H31-'WS9 - Financials'!H23)/('WS9 - Financials'!H31+'WS9 - Financials'!H24))</f>
        <v>0.84286141128429859</v>
      </c>
      <c r="I53" s="1501">
        <f>IF('WS9 - Financials'!I31+'WS9 - Financials'!I24=0,0,('WS9 - Financials'!I31-'WS9 - Financials'!I23)/('WS9 - Financials'!I31+'WS9 - Financials'!I24))</f>
        <v>0.79943434697770277</v>
      </c>
      <c r="J53" s="1502">
        <f>IF('WS10 - LTFP'!J43+'WS10 - LTFP'!J32=0,0,('WS10 - LTFP'!J43-'WS10 - LTFP'!J31)/('WS10 - LTFP'!J43+'WS10 - LTFP'!J32))</f>
        <v>0.85128749607311194</v>
      </c>
      <c r="K53" s="1502">
        <f>IF('WS10 - LTFP'!K43+'WS10 - LTFP'!K32=0,0,('WS10 - LTFP'!K43-'WS10 - LTFP'!K31)/('WS10 - LTFP'!K43+'WS10 - LTFP'!K32))</f>
        <v>0.90646028005137746</v>
      </c>
      <c r="L53" s="1502">
        <f>IF('WS10 - LTFP'!L43+'WS10 - LTFP'!L32=0,0,('WS10 - LTFP'!L43-'WS10 - LTFP'!L31)/('WS10 - LTFP'!L43+'WS10 - LTFP'!L32))</f>
        <v>0.89292607076465336</v>
      </c>
      <c r="M53" s="1502">
        <f>IF('WS10 - LTFP'!M43+'WS10 - LTFP'!M32=0,0,('WS10 - LTFP'!M43-'WS10 - LTFP'!M31)/('WS10 - LTFP'!M43+'WS10 - LTFP'!M32))</f>
        <v>0.89398537870096306</v>
      </c>
      <c r="N53" s="1502">
        <f>IF('WS10 - LTFP'!N43+'WS10 - LTFP'!N32=0,0,('WS10 - LTFP'!N43-'WS10 - LTFP'!N31)/('WS10 - LTFP'!N43+'WS10 - LTFP'!N32))</f>
        <v>0.8946887378973053</v>
      </c>
      <c r="O53" s="1502">
        <f>IF('WS10 - LTFP'!O43+'WS10 - LTFP'!O32=0,0,('WS10 - LTFP'!O43-'WS10 - LTFP'!O31)/('WS10 - LTFP'!O43+'WS10 - LTFP'!O32))</f>
        <v>0.89669797708785415</v>
      </c>
      <c r="P53" s="1502">
        <f>IF('WS10 - LTFP'!P43+'WS10 - LTFP'!P32=0,0,('WS10 - LTFP'!P43-'WS10 - LTFP'!P31)/('WS10 - LTFP'!P43+'WS10 - LTFP'!P32))</f>
        <v>0.89757672277792011</v>
      </c>
      <c r="Q53" s="1502">
        <f>IF('WS10 - LTFP'!Q43+'WS10 - LTFP'!Q32=0,0,('WS10 - LTFP'!Q43-'WS10 - LTFP'!Q31)/('WS10 - LTFP'!Q43+'WS10 - LTFP'!Q32))</f>
        <v>0.91179052137853223</v>
      </c>
      <c r="R53" s="1502">
        <f>IF('WS10 - LTFP'!R43+'WS10 - LTFP'!R32=0,0,('WS10 - LTFP'!R43-'WS10 - LTFP'!R31)/('WS10 - LTFP'!R43+'WS10 - LTFP'!R32))</f>
        <v>0.91266416569170883</v>
      </c>
      <c r="S53" s="1502">
        <f>IF('WS10 - LTFP'!S43+'WS10 - LTFP'!S32=0,0,('WS10 - LTFP'!S43-'WS10 - LTFP'!S31)/('WS10 - LTFP'!S43+'WS10 - LTFP'!S32))</f>
        <v>0.91365330901413977</v>
      </c>
      <c r="T53" s="1503">
        <f>IF('WS10 - LTFP'!T43+'WS10 - LTFP'!T32=0,0,('WS10 - LTFP'!T43-'WS10 - LTFP'!T31)/('WS10 - LTFP'!T43+'WS10 - LTFP'!T32))</f>
        <v>0.91432100926011595</v>
      </c>
      <c r="U53" s="16"/>
      <c r="W53" s="3" t="s">
        <v>909</v>
      </c>
      <c r="X53" s="3"/>
      <c r="Y53" s="3"/>
      <c r="Z53" s="3"/>
      <c r="AA53" s="3"/>
      <c r="AB53" s="3"/>
      <c r="AC53" s="3"/>
      <c r="AD53" s="3"/>
      <c r="AE53" s="3"/>
      <c r="AF53" s="3"/>
      <c r="AG53" s="3"/>
      <c r="AH53" s="3"/>
      <c r="AI53" s="3"/>
      <c r="AJ53" s="3"/>
      <c r="AK53" s="3"/>
      <c r="AL53" s="3"/>
      <c r="AM53" s="3"/>
      <c r="AN53" s="3"/>
      <c r="AO53" s="3"/>
    </row>
    <row r="54" spans="1:41" x14ac:dyDescent="0.2">
      <c r="A54" s="624"/>
      <c r="B54" s="1077" t="str">
        <f>$B$49</f>
        <v>Scenario 2: Base case (no SV)</v>
      </c>
      <c r="C54" s="19"/>
      <c r="D54" s="74" t="s">
        <v>108</v>
      </c>
      <c r="E54" s="1500">
        <f>E53</f>
        <v>0.79491912160099987</v>
      </c>
      <c r="F54" s="1497">
        <f>F53</f>
        <v>0.76447949070389931</v>
      </c>
      <c r="G54" s="1497">
        <f>G53</f>
        <v>0.86447260491822486</v>
      </c>
      <c r="H54" s="1497">
        <f>H53</f>
        <v>0.84286141128429859</v>
      </c>
      <c r="I54" s="1501">
        <f>I53</f>
        <v>0.79943434697770277</v>
      </c>
      <c r="J54" s="1497">
        <f>IF('WS10 - LTFP'!J189+'WS10 - LTFP'!J178=0,0,('WS10 - LTFP'!J189-'WS10 - LTFP'!J177)/('WS10 - LTFP'!J189+'WS10 - LTFP'!J178))</f>
        <v>0.85128749607311194</v>
      </c>
      <c r="K54" s="1497">
        <f>IF('WS10 - LTFP'!K189+'WS10 - LTFP'!K178=0,0,('WS10 - LTFP'!K189-'WS10 - LTFP'!K177)/('WS10 - LTFP'!K189+'WS10 - LTFP'!K178))</f>
        <v>0.90255863301804218</v>
      </c>
      <c r="L54" s="1497">
        <f>IF('WS10 - LTFP'!L189+'WS10 - LTFP'!L178=0,0,('WS10 - LTFP'!L189-'WS10 - LTFP'!L177)/('WS10 - LTFP'!L189+'WS10 - LTFP'!L178))</f>
        <v>0.88832383937992765</v>
      </c>
      <c r="M54" s="1497">
        <f>IF('WS10 - LTFP'!M189+'WS10 - LTFP'!M178=0,0,('WS10 - LTFP'!M189-'WS10 - LTFP'!M177)/('WS10 - LTFP'!M189+'WS10 - LTFP'!M178))</f>
        <v>0.88938531379433639</v>
      </c>
      <c r="N54" s="1497">
        <f>IF('WS10 - LTFP'!N189+'WS10 - LTFP'!N178=0,0,('WS10 - LTFP'!N189-'WS10 - LTFP'!N177)/('WS10 - LTFP'!N189+'WS10 - LTFP'!N178))</f>
        <v>0.8897091744558282</v>
      </c>
      <c r="O54" s="1497">
        <f>IF('WS10 - LTFP'!O189+'WS10 - LTFP'!O178=0,0,('WS10 - LTFP'!O189-'WS10 - LTFP'!O177)/('WS10 - LTFP'!O189+'WS10 - LTFP'!O178))</f>
        <v>0.89168230369667545</v>
      </c>
      <c r="P54" s="1497">
        <f>IF('WS10 - LTFP'!P189+'WS10 - LTFP'!P178=0,0,('WS10 - LTFP'!P189-'WS10 - LTFP'!P177)/('WS10 - LTFP'!P189+'WS10 - LTFP'!P178))</f>
        <v>0.89243232045439358</v>
      </c>
      <c r="Q54" s="1497">
        <f>IF('WS10 - LTFP'!Q189+'WS10 - LTFP'!Q178=0,0,('WS10 - LTFP'!Q189-'WS10 - LTFP'!Q177)/('WS10 - LTFP'!Q189+'WS10 - LTFP'!Q178))</f>
        <v>0.90703777443264288</v>
      </c>
      <c r="R54" s="1497">
        <f>IF('WS10 - LTFP'!R189+'WS10 - LTFP'!R178=0,0,('WS10 - LTFP'!R189-'WS10 - LTFP'!R177)/('WS10 - LTFP'!R189+'WS10 - LTFP'!R178))</f>
        <v>0.90775988045063027</v>
      </c>
      <c r="S54" s="1497">
        <f>IF('WS10 - LTFP'!S189+'WS10 - LTFP'!S178=0,0,('WS10 - LTFP'!S189-'WS10 - LTFP'!S177)/('WS10 - LTFP'!S189+'WS10 - LTFP'!S178))</f>
        <v>0.90860799435093487</v>
      </c>
      <c r="T54" s="1501">
        <f>IF('WS10 - LTFP'!T189+'WS10 - LTFP'!T178=0,0,('WS10 - LTFP'!T189-'WS10 - LTFP'!T177)/('WS10 - LTFP'!T189+'WS10 - LTFP'!T178))</f>
        <v>0.90904862539270581</v>
      </c>
      <c r="U54" s="16"/>
      <c r="W54" s="3" t="s">
        <v>910</v>
      </c>
      <c r="X54" s="3"/>
      <c r="Y54" s="3"/>
      <c r="Z54" s="3"/>
      <c r="AA54" s="3"/>
      <c r="AB54" s="3"/>
      <c r="AC54" s="3"/>
      <c r="AD54" s="3"/>
      <c r="AE54" s="3"/>
      <c r="AF54" s="3"/>
      <c r="AG54" s="3"/>
      <c r="AH54" s="3"/>
      <c r="AI54" s="3"/>
      <c r="AJ54" s="3"/>
      <c r="AK54" s="3"/>
      <c r="AL54" s="3"/>
      <c r="AM54" s="3"/>
      <c r="AN54" s="3"/>
      <c r="AO54" s="3"/>
    </row>
    <row r="55" spans="1:41" x14ac:dyDescent="0.2">
      <c r="A55" s="624"/>
      <c r="B55" s="299"/>
      <c r="C55" s="3"/>
      <c r="D55" s="19"/>
      <c r="E55" s="1392"/>
      <c r="F55" s="271"/>
      <c r="G55" s="271"/>
      <c r="H55" s="271"/>
      <c r="I55" s="1386"/>
      <c r="J55" s="271"/>
      <c r="K55" s="271"/>
      <c r="L55" s="271"/>
      <c r="M55" s="271"/>
      <c r="N55" s="271"/>
      <c r="O55" s="271"/>
      <c r="P55" s="271"/>
      <c r="Q55" s="271"/>
      <c r="R55" s="271"/>
      <c r="S55" s="271"/>
      <c r="T55" s="1386"/>
      <c r="U55" s="16"/>
      <c r="W55" s="3"/>
      <c r="X55" s="3"/>
      <c r="Y55" s="3"/>
      <c r="Z55" s="3"/>
      <c r="AB55" s="3"/>
      <c r="AC55" s="3"/>
      <c r="AD55" s="3"/>
      <c r="AE55" s="3"/>
      <c r="AF55" s="3"/>
      <c r="AG55" s="3"/>
      <c r="AH55" s="3"/>
      <c r="AI55" s="3"/>
      <c r="AJ55" s="3"/>
      <c r="AK55" s="3"/>
      <c r="AL55" s="3"/>
      <c r="AM55" s="3"/>
      <c r="AN55" s="3"/>
      <c r="AO55" s="3"/>
    </row>
    <row r="56" spans="1:41" x14ac:dyDescent="0.2">
      <c r="A56" s="624"/>
      <c r="B56" s="685" t="s">
        <v>889</v>
      </c>
      <c r="C56" s="3"/>
      <c r="D56" s="19"/>
      <c r="E56" s="1392"/>
      <c r="F56" s="271"/>
      <c r="G56" s="271"/>
      <c r="H56" s="271"/>
      <c r="I56" s="1386"/>
      <c r="J56" s="1388" t="s">
        <v>911</v>
      </c>
      <c r="K56" s="271"/>
      <c r="L56" s="271"/>
      <c r="M56" s="271"/>
      <c r="N56" s="271"/>
      <c r="O56" s="271"/>
      <c r="P56" s="271"/>
      <c r="Q56" s="271"/>
      <c r="R56" s="271"/>
      <c r="S56" s="271"/>
      <c r="T56" s="1386"/>
      <c r="U56" s="16"/>
      <c r="W56" s="386" t="s">
        <v>891</v>
      </c>
      <c r="X56" s="3"/>
      <c r="Y56" s="3"/>
      <c r="Z56" s="3"/>
      <c r="AB56" s="3"/>
      <c r="AC56" s="3"/>
      <c r="AD56" s="3"/>
      <c r="AE56" s="3"/>
      <c r="AF56" s="3"/>
      <c r="AG56" s="3"/>
      <c r="AH56" s="3"/>
      <c r="AI56" s="3"/>
      <c r="AJ56" s="3"/>
      <c r="AK56" s="3"/>
      <c r="AL56" s="3"/>
      <c r="AM56" s="3"/>
      <c r="AN56" s="3"/>
      <c r="AO56" s="3"/>
    </row>
    <row r="57" spans="1:41" x14ac:dyDescent="0.2">
      <c r="A57" s="624"/>
      <c r="B57" s="1077" t="str">
        <f>$B$48</f>
        <v>Scenario 1: Proposed (with SV)</v>
      </c>
      <c r="C57" s="19"/>
      <c r="D57" s="74" t="s">
        <v>108</v>
      </c>
      <c r="E57" s="1500">
        <f>'WS9 - Financials'!E68</f>
        <v>1.0221</v>
      </c>
      <c r="F57" s="1497">
        <f>'WS9 - Financials'!F68</f>
        <v>0.8589</v>
      </c>
      <c r="G57" s="1497">
        <f>'WS9 - Financials'!G68</f>
        <v>1.0434000000000001</v>
      </c>
      <c r="H57" s="1497">
        <f>'WS9 - Financials'!H68</f>
        <v>0.83889999999999998</v>
      </c>
      <c r="I57" s="1501">
        <f>'WS9 - Financials'!I68</f>
        <v>0.65390000000000004</v>
      </c>
      <c r="J57" s="1458">
        <v>2.162996498323392</v>
      </c>
      <c r="K57" s="1458">
        <v>1.2895682996991356</v>
      </c>
      <c r="L57" s="1458">
        <v>1.008342874425322</v>
      </c>
      <c r="M57" s="1458">
        <v>1.001138833599365</v>
      </c>
      <c r="N57" s="1458">
        <v>1.0020446774778908</v>
      </c>
      <c r="O57" s="1458">
        <v>1.0021243899030536</v>
      </c>
      <c r="P57" s="1458">
        <v>1.01163413349009</v>
      </c>
      <c r="Q57" s="1458">
        <v>1.0072174519141166</v>
      </c>
      <c r="R57" s="1458">
        <v>1.007735029086275</v>
      </c>
      <c r="S57" s="1458">
        <v>1.0008353484123833</v>
      </c>
      <c r="T57" s="1496"/>
      <c r="U57" s="449"/>
      <c r="W57" s="3" t="s">
        <v>912</v>
      </c>
      <c r="X57" s="3"/>
      <c r="Y57" s="3"/>
      <c r="Z57" s="3"/>
      <c r="AB57" s="3"/>
      <c r="AC57" s="3"/>
      <c r="AD57" s="3"/>
      <c r="AE57" s="3"/>
      <c r="AF57" s="3"/>
      <c r="AG57" s="3"/>
      <c r="AH57" s="3"/>
      <c r="AI57" s="3"/>
      <c r="AJ57" s="3"/>
      <c r="AK57" s="3"/>
      <c r="AL57" s="3"/>
      <c r="AM57" s="3"/>
      <c r="AN57" s="3"/>
      <c r="AO57" s="3"/>
    </row>
    <row r="58" spans="1:41" x14ac:dyDescent="0.2">
      <c r="A58" s="624"/>
      <c r="B58" s="1077" t="str">
        <f>B54</f>
        <v>Scenario 2: Base case (no SV)</v>
      </c>
      <c r="C58" s="19"/>
      <c r="D58" s="74" t="s">
        <v>108</v>
      </c>
      <c r="E58" s="1500">
        <f>E57</f>
        <v>1.0221</v>
      </c>
      <c r="F58" s="1497">
        <f t="shared" ref="F58" si="0">F57</f>
        <v>0.8589</v>
      </c>
      <c r="G58" s="1497">
        <f>G57</f>
        <v>1.0434000000000001</v>
      </c>
      <c r="H58" s="1497">
        <f t="shared" ref="H58:J58" si="1">H57</f>
        <v>0.83889999999999998</v>
      </c>
      <c r="I58" s="1501">
        <f t="shared" si="1"/>
        <v>0.65390000000000004</v>
      </c>
      <c r="J58" s="1497">
        <f t="shared" si="1"/>
        <v>2.162996498323392</v>
      </c>
      <c r="K58" s="1641">
        <v>1.2895682996991356</v>
      </c>
      <c r="L58" s="1641">
        <v>1.008342874425322</v>
      </c>
      <c r="M58" s="1641">
        <v>1.001138833599365</v>
      </c>
      <c r="N58" s="1641">
        <v>1.0020446774778908</v>
      </c>
      <c r="O58" s="1641">
        <v>1.0021243899030536</v>
      </c>
      <c r="P58" s="1641">
        <v>1.01163413349009</v>
      </c>
      <c r="Q58" s="1641">
        <v>1.0072174519141166</v>
      </c>
      <c r="R58" s="1641">
        <v>1.007735029086275</v>
      </c>
      <c r="S58" s="1641">
        <v>1.0008353484123833</v>
      </c>
      <c r="T58" s="1496"/>
      <c r="U58" s="449"/>
      <c r="W58" s="3" t="s">
        <v>913</v>
      </c>
      <c r="X58" s="3"/>
      <c r="Y58" s="3"/>
      <c r="Z58" s="3"/>
      <c r="AB58" s="3"/>
      <c r="AC58" s="3"/>
      <c r="AD58" s="3"/>
      <c r="AE58" s="3"/>
      <c r="AF58" s="3"/>
      <c r="AG58" s="3"/>
      <c r="AH58" s="3"/>
      <c r="AI58" s="3"/>
      <c r="AJ58" s="3"/>
      <c r="AK58" s="3"/>
      <c r="AL58" s="3"/>
      <c r="AM58" s="3"/>
      <c r="AN58" s="3"/>
      <c r="AO58" s="3"/>
    </row>
    <row r="59" spans="1:41" x14ac:dyDescent="0.2">
      <c r="A59" s="624"/>
      <c r="B59" s="344"/>
      <c r="C59" s="454"/>
      <c r="D59" s="140"/>
      <c r="E59" s="1399"/>
      <c r="F59" s="1389"/>
      <c r="G59" s="1389"/>
      <c r="H59" s="1389"/>
      <c r="I59" s="1390"/>
      <c r="J59" s="1389"/>
      <c r="K59" s="1389"/>
      <c r="L59" s="1389"/>
      <c r="M59" s="1389"/>
      <c r="N59" s="1389"/>
      <c r="O59" s="1389"/>
      <c r="P59" s="1389"/>
      <c r="Q59" s="1389"/>
      <c r="R59" s="1389"/>
      <c r="S59" s="1389"/>
      <c r="T59" s="1390"/>
      <c r="U59" s="16"/>
      <c r="W59" s="3"/>
      <c r="X59" s="3"/>
      <c r="Y59" s="3"/>
      <c r="Z59" s="3"/>
      <c r="AB59" s="3"/>
      <c r="AC59" s="3"/>
      <c r="AD59" s="3"/>
      <c r="AE59" s="3"/>
      <c r="AF59" s="3"/>
      <c r="AG59" s="3"/>
      <c r="AH59" s="3"/>
      <c r="AI59" s="3"/>
      <c r="AJ59" s="3"/>
      <c r="AK59" s="3"/>
      <c r="AL59" s="3"/>
      <c r="AM59" s="3"/>
      <c r="AN59" s="3"/>
      <c r="AO59" s="3"/>
    </row>
    <row r="60" spans="1:41" x14ac:dyDescent="0.2">
      <c r="A60" s="624"/>
      <c r="B60" s="3"/>
      <c r="C60" s="19"/>
      <c r="D60" s="3"/>
      <c r="E60" s="271"/>
      <c r="F60" s="271"/>
      <c r="G60" s="271"/>
      <c r="H60" s="271"/>
      <c r="I60" s="271"/>
      <c r="J60" s="271"/>
      <c r="K60" s="271"/>
      <c r="L60" s="271"/>
      <c r="M60" s="271"/>
      <c r="N60" s="271"/>
      <c r="O60" s="271"/>
      <c r="P60" s="271"/>
      <c r="Q60" s="271"/>
      <c r="R60" s="271"/>
      <c r="S60" s="271"/>
      <c r="T60" s="271"/>
      <c r="U60" s="16"/>
      <c r="W60" s="3"/>
      <c r="X60" s="3"/>
      <c r="Y60" s="3"/>
      <c r="Z60" s="3"/>
      <c r="AB60" s="3"/>
      <c r="AC60" s="3"/>
      <c r="AD60" s="3"/>
      <c r="AE60" s="3"/>
      <c r="AF60" s="3"/>
      <c r="AG60" s="3"/>
      <c r="AH60" s="3"/>
      <c r="AI60" s="3"/>
      <c r="AJ60" s="3"/>
      <c r="AK60" s="3"/>
      <c r="AL60" s="3"/>
      <c r="AM60" s="3"/>
      <c r="AN60" s="3"/>
      <c r="AO60" s="3"/>
    </row>
    <row r="61" spans="1:41" x14ac:dyDescent="0.2">
      <c r="A61" s="624"/>
      <c r="B61" s="3"/>
      <c r="C61" s="19"/>
      <c r="D61" s="3"/>
      <c r="E61" s="271"/>
      <c r="F61" s="271"/>
      <c r="G61" s="271"/>
      <c r="H61" s="271"/>
      <c r="I61" s="271"/>
      <c r="J61" s="271"/>
      <c r="K61" s="271"/>
      <c r="L61" s="271"/>
      <c r="M61" s="271"/>
      <c r="N61" s="271"/>
      <c r="O61" s="271"/>
      <c r="P61" s="271"/>
      <c r="Q61" s="271"/>
      <c r="R61" s="271"/>
      <c r="S61" s="271"/>
      <c r="T61" s="271"/>
      <c r="U61" s="16"/>
      <c r="W61" s="3"/>
      <c r="X61" s="3"/>
      <c r="Y61" s="3"/>
      <c r="Z61" s="3"/>
      <c r="AB61" s="3"/>
      <c r="AC61" s="3"/>
      <c r="AD61" s="3"/>
      <c r="AE61" s="3"/>
      <c r="AF61" s="3"/>
      <c r="AG61" s="3"/>
      <c r="AH61" s="3"/>
      <c r="AI61" s="3"/>
      <c r="AJ61" s="3"/>
      <c r="AK61" s="3"/>
      <c r="AL61" s="3"/>
      <c r="AM61" s="3"/>
      <c r="AN61" s="3"/>
      <c r="AO61" s="3"/>
    </row>
    <row r="62" spans="1:41" ht="12.75" x14ac:dyDescent="0.2">
      <c r="A62" s="641" t="s">
        <v>914</v>
      </c>
      <c r="B62" s="461" t="str">
        <f>"Table "&amp;A1&amp;A62&amp;": Effective infrastructure and service management"</f>
        <v>Table 11.2: Effective infrastructure and service management</v>
      </c>
      <c r="C62" s="2"/>
      <c r="D62" s="2"/>
      <c r="E62" s="3" t="str">
        <f>IF('WS1-Application'!$D$33='WS0 - Input data'!$B$405,"[Leave row "&amp;ROW(B65)&amp;", "&amp;ROW(B69)&amp;" and "&amp;ROW(B73)&amp;" blank]",".")</f>
        <v>.</v>
      </c>
      <c r="F62" s="1400"/>
      <c r="G62" s="1388"/>
      <c r="H62" s="1400"/>
      <c r="I62" s="271"/>
      <c r="J62" s="271"/>
      <c r="K62" s="271"/>
      <c r="L62" s="271"/>
      <c r="M62" s="271"/>
      <c r="N62" s="271"/>
      <c r="O62" s="271"/>
      <c r="P62" s="271"/>
      <c r="Q62" s="271"/>
      <c r="R62" s="271"/>
      <c r="S62" s="271"/>
      <c r="T62" s="271"/>
      <c r="U62" s="16"/>
      <c r="W62" s="3"/>
      <c r="X62" s="3"/>
      <c r="Y62" s="3"/>
      <c r="Z62" s="3"/>
      <c r="AB62" s="3"/>
      <c r="AC62" s="3"/>
      <c r="AD62" s="3"/>
      <c r="AE62" s="3"/>
      <c r="AF62" s="3"/>
      <c r="AG62" s="3"/>
      <c r="AH62" s="3"/>
      <c r="AI62" s="3"/>
      <c r="AJ62" s="3"/>
      <c r="AK62" s="3"/>
      <c r="AL62" s="3"/>
      <c r="AM62" s="3"/>
      <c r="AN62" s="3"/>
      <c r="AO62" s="3"/>
    </row>
    <row r="63" spans="1:41" x14ac:dyDescent="0.2">
      <c r="A63" s="624"/>
      <c r="B63" s="950"/>
      <c r="C63" s="141"/>
      <c r="D63" s="141"/>
      <c r="E63" s="1405"/>
      <c r="F63" s="1401"/>
      <c r="G63" s="1401"/>
      <c r="H63" s="1401"/>
      <c r="I63" s="1402"/>
      <c r="J63" s="1401"/>
      <c r="K63" s="1401"/>
      <c r="L63" s="1401"/>
      <c r="M63" s="1401"/>
      <c r="N63" s="1401"/>
      <c r="O63" s="1401"/>
      <c r="P63" s="1401"/>
      <c r="Q63" s="1401"/>
      <c r="R63" s="1401"/>
      <c r="S63" s="1401"/>
      <c r="T63" s="1402"/>
      <c r="U63" s="16"/>
      <c r="W63" s="3"/>
      <c r="X63" s="3"/>
      <c r="Y63" s="3"/>
      <c r="Z63" s="3"/>
      <c r="AB63" s="3"/>
      <c r="AC63" s="3"/>
      <c r="AD63" s="3"/>
      <c r="AE63" s="3"/>
      <c r="AF63" s="3"/>
      <c r="AG63" s="3"/>
      <c r="AH63" s="3"/>
      <c r="AI63" s="3"/>
      <c r="AJ63" s="3"/>
      <c r="AK63" s="3"/>
      <c r="AL63" s="3"/>
      <c r="AM63" s="3"/>
      <c r="AN63" s="3"/>
      <c r="AO63" s="3"/>
    </row>
    <row r="64" spans="1:41" x14ac:dyDescent="0.2">
      <c r="A64" s="624"/>
      <c r="B64" s="685" t="s">
        <v>894</v>
      </c>
      <c r="C64" s="3"/>
      <c r="D64" s="3"/>
      <c r="E64" s="1392"/>
      <c r="F64" s="271"/>
      <c r="G64" s="271"/>
      <c r="H64" s="271"/>
      <c r="I64" s="1386"/>
      <c r="J64" s="1403" t="str">
        <f>J56</f>
        <v>Please enter forecast ratios</v>
      </c>
      <c r="K64" s="271"/>
      <c r="L64" s="271"/>
      <c r="M64" s="271"/>
      <c r="N64" s="271"/>
      <c r="O64" s="271"/>
      <c r="P64" s="271"/>
      <c r="Q64" s="271"/>
      <c r="R64" s="271"/>
      <c r="S64" s="271"/>
      <c r="T64" s="1386"/>
      <c r="U64" s="16"/>
      <c r="W64" s="386" t="s">
        <v>891</v>
      </c>
      <c r="X64" s="3"/>
      <c r="Y64" s="3"/>
      <c r="Z64" s="3"/>
      <c r="AB64" s="3"/>
      <c r="AC64" s="3"/>
      <c r="AD64" s="3"/>
      <c r="AE64" s="3"/>
      <c r="AF64" s="3"/>
      <c r="AG64" s="3"/>
      <c r="AH64" s="3"/>
      <c r="AI64" s="3"/>
      <c r="AJ64" s="3"/>
      <c r="AK64" s="3"/>
      <c r="AL64" s="3"/>
      <c r="AM64" s="3"/>
      <c r="AN64" s="3"/>
      <c r="AO64" s="3"/>
    </row>
    <row r="65" spans="1:41" x14ac:dyDescent="0.2">
      <c r="A65" s="624"/>
      <c r="B65" s="1077" t="str">
        <f>$B48</f>
        <v>Scenario 1: Proposed (with SV)</v>
      </c>
      <c r="D65" s="74" t="s">
        <v>108</v>
      </c>
      <c r="E65" s="1500">
        <f>'WS9 - Financials'!E69</f>
        <v>1.2800000000000001E-2</v>
      </c>
      <c r="F65" s="1497">
        <f>'WS9 - Financials'!F69</f>
        <v>1.29E-2</v>
      </c>
      <c r="G65" s="1497">
        <f>'WS9 - Financials'!G69</f>
        <v>1.3100000000000001E-2</v>
      </c>
      <c r="H65" s="1497">
        <f>'WS9 - Financials'!H69</f>
        <v>5.7999999999999996E-3</v>
      </c>
      <c r="I65" s="1501">
        <f>'WS9 - Financials'!I69</f>
        <v>1.1900000000000001E-2</v>
      </c>
      <c r="J65" s="1458">
        <v>1.36708635369732E-2</v>
      </c>
      <c r="K65" s="1458">
        <v>1.3222827952165554E-2</v>
      </c>
      <c r="L65" s="1458">
        <v>1.2790433720364314E-2</v>
      </c>
      <c r="M65" s="1458">
        <v>1.2320169572473836E-2</v>
      </c>
      <c r="N65" s="1458">
        <v>1.2253462068557531E-2</v>
      </c>
      <c r="O65" s="1458">
        <v>1.2184012216162322E-2</v>
      </c>
      <c r="P65" s="1458">
        <v>1.1922577393420735E-2</v>
      </c>
      <c r="Q65" s="1458">
        <v>1.1747583216833946E-2</v>
      </c>
      <c r="R65" s="1458">
        <v>1.1559179832920345E-2</v>
      </c>
      <c r="S65" s="1458">
        <v>1.15146714233636E-2</v>
      </c>
      <c r="T65" s="1496"/>
      <c r="U65" s="449"/>
      <c r="W65" s="3" t="s">
        <v>915</v>
      </c>
      <c r="X65" s="3"/>
      <c r="Y65" s="3"/>
      <c r="Z65" s="3"/>
      <c r="AB65" s="3"/>
      <c r="AC65" s="3"/>
      <c r="AD65" s="3"/>
      <c r="AE65" s="3"/>
      <c r="AF65" s="3"/>
      <c r="AG65" s="3"/>
      <c r="AH65" s="3"/>
      <c r="AI65" s="3"/>
      <c r="AJ65" s="3"/>
      <c r="AK65" s="3"/>
      <c r="AL65" s="3"/>
      <c r="AM65" s="3"/>
      <c r="AN65" s="3"/>
      <c r="AO65" s="3"/>
    </row>
    <row r="66" spans="1:41" x14ac:dyDescent="0.2">
      <c r="A66" s="624"/>
      <c r="B66" s="1077" t="str">
        <f>$B49</f>
        <v>Scenario 2: Base case (no SV)</v>
      </c>
      <c r="D66" s="74" t="s">
        <v>108</v>
      </c>
      <c r="E66" s="1500">
        <f t="shared" ref="E66:G66" si="2">E65</f>
        <v>1.2800000000000001E-2</v>
      </c>
      <c r="F66" s="1497">
        <f t="shared" ref="F66:H66" si="3">F65</f>
        <v>1.29E-2</v>
      </c>
      <c r="G66" s="1497">
        <f t="shared" si="2"/>
        <v>1.3100000000000001E-2</v>
      </c>
      <c r="H66" s="1497">
        <f t="shared" si="3"/>
        <v>5.7999999999999996E-3</v>
      </c>
      <c r="I66" s="1501">
        <f t="shared" ref="I66:J66" si="4">I65</f>
        <v>1.1900000000000001E-2</v>
      </c>
      <c r="J66" s="1497">
        <f t="shared" si="4"/>
        <v>1.36708635369732E-2</v>
      </c>
      <c r="K66" s="1458">
        <v>1.3222827952165554E-2</v>
      </c>
      <c r="L66" s="1458">
        <v>1.2790433720364314E-2</v>
      </c>
      <c r="M66" s="1458">
        <v>1.2320169572473836E-2</v>
      </c>
      <c r="N66" s="1458">
        <v>1.2253462068557531E-2</v>
      </c>
      <c r="O66" s="1458">
        <v>1.2184012216162322E-2</v>
      </c>
      <c r="P66" s="1458">
        <v>1.1922577393420735E-2</v>
      </c>
      <c r="Q66" s="1458">
        <v>1.1747583216833946E-2</v>
      </c>
      <c r="R66" s="1458">
        <v>1.1559179832920345E-2</v>
      </c>
      <c r="S66" s="1458">
        <v>1.15146714233636E-2</v>
      </c>
      <c r="T66" s="1496"/>
      <c r="U66" s="3"/>
      <c r="W66" s="3" t="s">
        <v>916</v>
      </c>
      <c r="X66" s="3"/>
      <c r="Y66" s="3"/>
      <c r="Z66" s="3"/>
      <c r="AB66" s="3"/>
      <c r="AC66" s="3"/>
      <c r="AD66" s="3"/>
      <c r="AE66" s="3"/>
      <c r="AF66" s="3"/>
      <c r="AG66" s="3"/>
      <c r="AH66" s="3"/>
      <c r="AI66" s="3"/>
      <c r="AJ66" s="3"/>
      <c r="AK66" s="3"/>
      <c r="AL66" s="3"/>
      <c r="AM66" s="3"/>
      <c r="AN66" s="3"/>
      <c r="AO66" s="3"/>
    </row>
    <row r="67" spans="1:41" x14ac:dyDescent="0.2">
      <c r="A67" s="624"/>
      <c r="B67" s="299"/>
      <c r="C67" s="19"/>
      <c r="D67" s="19"/>
      <c r="E67" s="1392"/>
      <c r="F67" s="271"/>
      <c r="G67" s="271"/>
      <c r="H67" s="271"/>
      <c r="I67" s="1386"/>
      <c r="J67" s="271"/>
      <c r="K67" s="271"/>
      <c r="L67" s="271"/>
      <c r="M67" s="271"/>
      <c r="N67" s="271"/>
      <c r="O67" s="271"/>
      <c r="P67" s="271"/>
      <c r="Q67" s="271"/>
      <c r="R67" s="271"/>
      <c r="S67" s="271"/>
      <c r="T67" s="1386"/>
      <c r="U67" s="3"/>
      <c r="W67" s="3"/>
      <c r="X67" s="3"/>
      <c r="Y67" s="3"/>
      <c r="Z67" s="3"/>
      <c r="AA67" s="3"/>
      <c r="AB67" s="3"/>
      <c r="AC67" s="3"/>
      <c r="AD67" s="3"/>
      <c r="AE67" s="3"/>
      <c r="AF67" s="3"/>
      <c r="AG67" s="3"/>
      <c r="AH67" s="3"/>
      <c r="AI67" s="3"/>
      <c r="AJ67" s="3"/>
      <c r="AK67" s="3"/>
      <c r="AL67" s="3"/>
      <c r="AM67" s="3"/>
      <c r="AN67" s="3"/>
      <c r="AO67" s="3"/>
    </row>
    <row r="68" spans="1:41" x14ac:dyDescent="0.2">
      <c r="A68" s="624"/>
      <c r="B68" s="685" t="s">
        <v>898</v>
      </c>
      <c r="C68" s="19"/>
      <c r="D68" s="19"/>
      <c r="E68" s="1406"/>
      <c r="F68" s="271"/>
      <c r="G68" s="1404"/>
      <c r="H68" s="271"/>
      <c r="I68" s="1407"/>
      <c r="J68" s="271" t="s">
        <v>917</v>
      </c>
      <c r="K68" s="271"/>
      <c r="L68" s="271"/>
      <c r="M68" s="271"/>
      <c r="N68" s="271"/>
      <c r="O68" s="271"/>
      <c r="P68" s="271"/>
      <c r="Q68" s="271"/>
      <c r="R68" s="271"/>
      <c r="S68" s="271"/>
      <c r="T68" s="1386"/>
      <c r="U68" s="3"/>
      <c r="W68" s="3"/>
      <c r="X68" s="3"/>
      <c r="Y68" s="3"/>
      <c r="Z68" s="3"/>
      <c r="AA68" s="3"/>
      <c r="AB68" s="3"/>
      <c r="AC68" s="3"/>
      <c r="AD68" s="3"/>
      <c r="AE68" s="3"/>
      <c r="AF68" s="3"/>
      <c r="AG68" s="3"/>
      <c r="AH68" s="3"/>
      <c r="AI68" s="3"/>
      <c r="AJ68" s="3"/>
      <c r="AK68" s="3"/>
      <c r="AL68" s="3"/>
      <c r="AM68" s="3"/>
      <c r="AN68" s="3"/>
      <c r="AO68" s="3"/>
    </row>
    <row r="69" spans="1:41" x14ac:dyDescent="0.2">
      <c r="A69" s="624"/>
      <c r="B69" s="1077" t="str">
        <f>$B48</f>
        <v>Scenario 1: Proposed (with SV)</v>
      </c>
      <c r="D69" s="74" t="s">
        <v>108</v>
      </c>
      <c r="E69" s="1500">
        <f>'WS9 - Financials'!E70</f>
        <v>1.0001</v>
      </c>
      <c r="F69" s="1497">
        <f>'WS9 - Financials'!F70</f>
        <v>1.0001</v>
      </c>
      <c r="G69" s="1497">
        <f>'WS9 - Financials'!G70</f>
        <v>1.0302</v>
      </c>
      <c r="H69" s="1497">
        <f>'WS9 - Financials'!H70</f>
        <v>1.03</v>
      </c>
      <c r="I69" s="1501">
        <f>'WS9 - Financials'!I70</f>
        <v>1.0339</v>
      </c>
      <c r="J69" s="1498">
        <v>1.0299386893860976</v>
      </c>
      <c r="K69" s="1498">
        <v>1.1712164201964055</v>
      </c>
      <c r="L69" s="1498">
        <v>1.1674818780126808</v>
      </c>
      <c r="M69" s="1498">
        <v>1.1638561089022683</v>
      </c>
      <c r="N69" s="1498">
        <v>1.1603359447174022</v>
      </c>
      <c r="O69" s="1498">
        <v>1.1569183095864637</v>
      </c>
      <c r="P69" s="1498">
        <v>1.1536002172263295</v>
      </c>
      <c r="Q69" s="1498">
        <v>1.1503787683329953</v>
      </c>
      <c r="R69" s="1498">
        <v>1.1472511480482048</v>
      </c>
      <c r="S69" s="1498">
        <v>1.1442146234998645</v>
      </c>
      <c r="T69" s="1499"/>
      <c r="U69" s="3"/>
      <c r="W69" s="3"/>
      <c r="X69" s="3"/>
      <c r="Y69" s="3"/>
      <c r="Z69" s="3"/>
      <c r="AA69" s="3"/>
      <c r="AB69" s="3"/>
      <c r="AC69" s="3"/>
      <c r="AD69" s="3"/>
      <c r="AE69" s="3"/>
      <c r="AF69" s="3"/>
      <c r="AG69" s="3"/>
      <c r="AH69" s="3"/>
      <c r="AI69" s="3"/>
      <c r="AJ69" s="3"/>
      <c r="AK69" s="3"/>
      <c r="AL69" s="3"/>
      <c r="AM69" s="3"/>
      <c r="AN69" s="3"/>
      <c r="AO69" s="3"/>
    </row>
    <row r="70" spans="1:41" x14ac:dyDescent="0.2">
      <c r="A70" s="624"/>
      <c r="B70" s="1077" t="str">
        <f>$B49</f>
        <v>Scenario 2: Base case (no SV)</v>
      </c>
      <c r="D70" s="74" t="s">
        <v>108</v>
      </c>
      <c r="E70" s="1500">
        <f t="shared" ref="E70:G70" si="5">E69</f>
        <v>1.0001</v>
      </c>
      <c r="F70" s="1497">
        <f t="shared" ref="F70:H70" si="6">F69</f>
        <v>1.0001</v>
      </c>
      <c r="G70" s="1497">
        <f t="shared" si="5"/>
        <v>1.0302</v>
      </c>
      <c r="H70" s="1497">
        <f t="shared" si="6"/>
        <v>1.03</v>
      </c>
      <c r="I70" s="1501">
        <f t="shared" ref="I70:J70" si="7">I69</f>
        <v>1.0339</v>
      </c>
      <c r="J70" s="1497">
        <f t="shared" si="7"/>
        <v>1.0299386893860976</v>
      </c>
      <c r="K70" s="1498">
        <v>1.0337852678353341</v>
      </c>
      <c r="L70" s="1498">
        <v>1.0300507256516092</v>
      </c>
      <c r="M70" s="1498">
        <v>1.0264249565411969</v>
      </c>
      <c r="N70" s="1498">
        <v>1.0229047923563306</v>
      </c>
      <c r="O70" s="1498">
        <v>1.0194871572253923</v>
      </c>
      <c r="P70" s="1498">
        <v>1.0161690648652579</v>
      </c>
      <c r="Q70" s="1498">
        <v>1.0129476159719237</v>
      </c>
      <c r="R70" s="1498">
        <v>1.0098199956871332</v>
      </c>
      <c r="S70" s="1498">
        <v>1.0067834711387929</v>
      </c>
      <c r="T70" s="1499"/>
      <c r="U70" s="3"/>
      <c r="W70" s="3"/>
      <c r="X70" s="3"/>
      <c r="Y70" s="3"/>
      <c r="Z70" s="3"/>
      <c r="AA70" s="3"/>
      <c r="AB70" s="3"/>
      <c r="AC70" s="3"/>
      <c r="AD70" s="3"/>
      <c r="AE70" s="3"/>
      <c r="AF70" s="3"/>
      <c r="AG70" s="3"/>
      <c r="AH70" s="3"/>
      <c r="AI70" s="3"/>
      <c r="AJ70" s="3"/>
      <c r="AK70" s="3"/>
      <c r="AL70" s="3"/>
      <c r="AM70" s="3"/>
      <c r="AN70" s="3"/>
      <c r="AO70" s="3"/>
    </row>
    <row r="71" spans="1:41" x14ac:dyDescent="0.2">
      <c r="A71" s="624"/>
      <c r="B71" s="299"/>
      <c r="C71" s="3"/>
      <c r="D71" s="19"/>
      <c r="E71" s="1392"/>
      <c r="F71" s="271"/>
      <c r="G71" s="271"/>
      <c r="H71" s="271"/>
      <c r="I71" s="1386"/>
      <c r="J71" s="271"/>
      <c r="K71" s="271"/>
      <c r="L71" s="271"/>
      <c r="M71" s="271"/>
      <c r="N71" s="271"/>
      <c r="O71" s="271"/>
      <c r="P71" s="271"/>
      <c r="Q71" s="271"/>
      <c r="R71" s="271"/>
      <c r="S71" s="271"/>
      <c r="T71" s="1386"/>
      <c r="U71" s="3"/>
      <c r="W71" s="3"/>
      <c r="X71" s="3"/>
      <c r="Y71" s="3"/>
      <c r="Z71" s="3"/>
      <c r="AA71" s="3"/>
      <c r="AB71" s="3"/>
      <c r="AC71" s="3"/>
      <c r="AD71" s="3"/>
      <c r="AE71" s="3"/>
      <c r="AF71" s="3"/>
      <c r="AG71" s="3"/>
      <c r="AH71" s="3"/>
      <c r="AI71" s="3"/>
      <c r="AJ71" s="3"/>
      <c r="AK71" s="3"/>
      <c r="AL71" s="3"/>
      <c r="AM71" s="3"/>
      <c r="AN71" s="3"/>
      <c r="AO71" s="3"/>
    </row>
    <row r="72" spans="1:41" x14ac:dyDescent="0.2">
      <c r="A72" s="624"/>
      <c r="B72" s="685" t="s">
        <v>901</v>
      </c>
      <c r="D72" s="19"/>
      <c r="E72" s="1392"/>
      <c r="F72" s="271"/>
      <c r="G72" s="271"/>
      <c r="H72" s="271"/>
      <c r="I72" s="1386"/>
      <c r="J72" s="271" t="s">
        <v>917</v>
      </c>
      <c r="K72" s="271"/>
      <c r="L72" s="271"/>
      <c r="M72" s="271"/>
      <c r="N72" s="271"/>
      <c r="O72" s="271"/>
      <c r="P72" s="271"/>
      <c r="Q72" s="271"/>
      <c r="R72" s="271"/>
      <c r="S72" s="271"/>
      <c r="T72" s="1386"/>
      <c r="U72" s="3"/>
      <c r="W72" s="3"/>
      <c r="X72" s="3"/>
      <c r="Y72" s="3"/>
      <c r="Z72" s="3"/>
      <c r="AA72" s="3"/>
      <c r="AB72" s="3"/>
      <c r="AC72" s="3"/>
      <c r="AD72" s="3"/>
      <c r="AE72" s="3"/>
      <c r="AF72" s="3"/>
      <c r="AG72" s="3"/>
      <c r="AH72" s="3"/>
      <c r="AI72" s="3"/>
      <c r="AJ72" s="3"/>
      <c r="AK72" s="3"/>
      <c r="AL72" s="3"/>
      <c r="AM72" s="3"/>
      <c r="AN72" s="3"/>
      <c r="AO72" s="3"/>
    </row>
    <row r="73" spans="1:41" x14ac:dyDescent="0.2">
      <c r="A73" s="624"/>
      <c r="B73" s="1077" t="str">
        <f>$B48</f>
        <v>Scenario 1: Proposed (with SV)</v>
      </c>
      <c r="D73" s="74" t="s">
        <v>108</v>
      </c>
      <c r="E73" s="1500">
        <f>IF('WS9 - Financials'!E30=0,0,ABS('WS9 - Financials'!E59+'WS9 - Financials'!E60)/'WS9 - Financials'!E30)</f>
        <v>2.681722519022179E-2</v>
      </c>
      <c r="F73" s="1497">
        <f>IF('WS9 - Financials'!F30=0,0,ABS('WS9 - Financials'!F59+'WS9 - Financials'!F60)/'WS9 - Financials'!F30)</f>
        <v>2.8803475304561336E-2</v>
      </c>
      <c r="G73" s="1497">
        <f>IF('WS9 - Financials'!G30=0,0,ABS('WS9 - Financials'!G59+'WS9 - Financials'!G60)/'WS9 - Financials'!G30)</f>
        <v>2.5854916270397103E-2</v>
      </c>
      <c r="H73" s="1497">
        <f>IF('WS9 - Financials'!H30=0,0,ABS('WS9 - Financials'!H59+'WS9 - Financials'!H60)/'WS9 - Financials'!H30)</f>
        <v>2.6059693342844813E-2</v>
      </c>
      <c r="I73" s="1501">
        <f>IF('WS9 - Financials'!I30=0,0,ABS('WS9 - Financials'!I59+'WS9 - Financials'!I60)/'WS9 - Financials'!I30)</f>
        <v>2.5654545154965316E-2</v>
      </c>
      <c r="J73" s="1498"/>
      <c r="K73" s="1498"/>
      <c r="L73" s="1498"/>
      <c r="M73" s="1498"/>
      <c r="N73" s="1498"/>
      <c r="O73" s="1498"/>
      <c r="P73" s="1498"/>
      <c r="Q73" s="1498"/>
      <c r="R73" s="1498"/>
      <c r="S73" s="1498"/>
      <c r="T73" s="1499"/>
      <c r="U73" s="3"/>
      <c r="W73" s="3"/>
      <c r="X73" s="3"/>
      <c r="Y73" s="3"/>
      <c r="Z73" s="3"/>
      <c r="AA73" s="3"/>
      <c r="AB73" s="3"/>
      <c r="AC73" s="3"/>
      <c r="AD73" s="3"/>
      <c r="AE73" s="3"/>
      <c r="AF73" s="3"/>
      <c r="AG73" s="3"/>
      <c r="AH73" s="3"/>
      <c r="AI73" s="3"/>
      <c r="AJ73" s="3"/>
      <c r="AK73" s="3"/>
      <c r="AL73" s="3"/>
      <c r="AM73" s="3"/>
      <c r="AN73" s="3"/>
      <c r="AO73" s="3"/>
    </row>
    <row r="74" spans="1:41" x14ac:dyDescent="0.2">
      <c r="A74" s="624"/>
      <c r="B74" s="1077" t="str">
        <f>$B49</f>
        <v>Scenario 2: Base case (no SV)</v>
      </c>
      <c r="D74" s="74" t="s">
        <v>108</v>
      </c>
      <c r="E74" s="1500">
        <f t="shared" ref="E74:G74" si="8">E73</f>
        <v>2.681722519022179E-2</v>
      </c>
      <c r="F74" s="1497">
        <f t="shared" ref="F74:H74" si="9">F73</f>
        <v>2.8803475304561336E-2</v>
      </c>
      <c r="G74" s="1497">
        <f t="shared" si="8"/>
        <v>2.5854916270397103E-2</v>
      </c>
      <c r="H74" s="1497">
        <f t="shared" si="9"/>
        <v>2.6059693342844813E-2</v>
      </c>
      <c r="I74" s="1501">
        <f t="shared" ref="I74:J74" si="10">I73</f>
        <v>2.5654545154965316E-2</v>
      </c>
      <c r="J74" s="1497">
        <f t="shared" si="10"/>
        <v>0</v>
      </c>
      <c r="K74" s="1498"/>
      <c r="L74" s="1498"/>
      <c r="M74" s="1498"/>
      <c r="N74" s="1498"/>
      <c r="O74" s="1498"/>
      <c r="P74" s="1498"/>
      <c r="Q74" s="1498"/>
      <c r="R74" s="1498"/>
      <c r="S74" s="1498"/>
      <c r="T74" s="1499"/>
      <c r="U74" s="3"/>
      <c r="W74" s="3"/>
      <c r="X74" s="3"/>
      <c r="Y74" s="3"/>
      <c r="Z74" s="3"/>
      <c r="AA74" s="3"/>
      <c r="AB74" s="3"/>
      <c r="AC74" s="3"/>
      <c r="AD74" s="3"/>
      <c r="AE74" s="3"/>
      <c r="AF74" s="3"/>
      <c r="AG74" s="3"/>
      <c r="AH74" s="3"/>
      <c r="AI74" s="3"/>
      <c r="AJ74" s="3"/>
      <c r="AK74" s="3"/>
      <c r="AL74" s="3"/>
      <c r="AM74" s="3"/>
      <c r="AN74" s="3"/>
      <c r="AO74" s="3"/>
    </row>
    <row r="75" spans="1:41" x14ac:dyDescent="0.2">
      <c r="A75" s="624"/>
      <c r="B75" s="344"/>
      <c r="C75" s="454"/>
      <c r="D75" s="140"/>
      <c r="E75" s="344"/>
      <c r="F75" s="140"/>
      <c r="G75" s="140"/>
      <c r="H75" s="140"/>
      <c r="I75" s="578"/>
      <c r="J75" s="140"/>
      <c r="K75" s="140"/>
      <c r="L75" s="140"/>
      <c r="M75" s="140"/>
      <c r="N75" s="140"/>
      <c r="O75" s="140"/>
      <c r="P75" s="140"/>
      <c r="Q75" s="140"/>
      <c r="R75" s="140"/>
      <c r="S75" s="140"/>
      <c r="T75" s="578"/>
      <c r="U75" s="3"/>
      <c r="W75" s="3"/>
      <c r="X75" s="3"/>
      <c r="Y75" s="3"/>
      <c r="Z75" s="3"/>
      <c r="AA75" s="3"/>
      <c r="AB75" s="3"/>
      <c r="AC75" s="3"/>
      <c r="AD75" s="3"/>
      <c r="AE75" s="3"/>
      <c r="AF75" s="3"/>
      <c r="AG75" s="3"/>
      <c r="AH75" s="3"/>
      <c r="AI75" s="3"/>
      <c r="AJ75" s="3"/>
      <c r="AK75" s="3"/>
      <c r="AL75" s="3"/>
      <c r="AM75" s="3"/>
      <c r="AN75" s="3"/>
      <c r="AO75" s="3"/>
    </row>
    <row r="76" spans="1:41" ht="12" customHeight="1" x14ac:dyDescent="0.2">
      <c r="A76" s="624"/>
      <c r="B76" s="3"/>
      <c r="C76" s="19"/>
      <c r="D76" s="3"/>
      <c r="E76" s="3"/>
      <c r="F76" s="3"/>
      <c r="G76" s="3"/>
      <c r="H76" s="3"/>
      <c r="I76" s="3"/>
      <c r="J76" s="3"/>
      <c r="K76" s="3"/>
      <c r="L76" s="3"/>
      <c r="M76" s="3"/>
      <c r="N76" s="3"/>
      <c r="O76" s="3"/>
      <c r="P76" s="3"/>
      <c r="Q76" s="3"/>
      <c r="R76" s="3"/>
      <c r="S76" s="3"/>
      <c r="T76" s="3"/>
      <c r="U76" s="3"/>
      <c r="W76" s="3"/>
      <c r="X76" s="3"/>
      <c r="Y76" s="3"/>
      <c r="Z76" s="3"/>
      <c r="AA76" s="3"/>
      <c r="AB76" s="3"/>
      <c r="AC76" s="3"/>
      <c r="AD76" s="3"/>
      <c r="AE76" s="3"/>
      <c r="AF76" s="3"/>
      <c r="AG76" s="3"/>
      <c r="AH76" s="3"/>
      <c r="AI76" s="3"/>
      <c r="AJ76" s="3"/>
      <c r="AK76" s="3"/>
      <c r="AL76" s="3"/>
      <c r="AM76" s="3"/>
      <c r="AN76" s="3"/>
      <c r="AO76" s="3"/>
    </row>
    <row r="77" spans="1:41" ht="12" customHeight="1" x14ac:dyDescent="0.2">
      <c r="A77" s="624"/>
      <c r="B77" s="3"/>
      <c r="C77" s="19"/>
      <c r="D77" s="3"/>
      <c r="E77" s="3"/>
      <c r="F77" s="3"/>
      <c r="G77" s="3"/>
      <c r="H77" s="3"/>
      <c r="I77" s="3"/>
      <c r="J77" s="3"/>
      <c r="K77" s="3"/>
      <c r="L77" s="3"/>
      <c r="M77" s="3"/>
      <c r="N77" s="3"/>
      <c r="O77" s="3"/>
      <c r="P77" s="3"/>
      <c r="Q77" s="3"/>
      <c r="R77" s="3"/>
      <c r="S77" s="3"/>
      <c r="T77" s="3"/>
      <c r="U77" s="3"/>
      <c r="W77" s="3"/>
      <c r="X77" s="3"/>
      <c r="Y77" s="3"/>
      <c r="Z77" s="3"/>
      <c r="AA77" s="3"/>
      <c r="AB77" s="3"/>
      <c r="AC77" s="3"/>
      <c r="AD77" s="3"/>
      <c r="AE77" s="3"/>
      <c r="AF77" s="3"/>
      <c r="AG77" s="3"/>
      <c r="AH77" s="3"/>
      <c r="AI77" s="3"/>
      <c r="AJ77" s="3"/>
      <c r="AK77" s="3"/>
      <c r="AL77" s="3"/>
      <c r="AM77" s="3"/>
      <c r="AN77" s="3"/>
      <c r="AO77" s="3"/>
    </row>
    <row r="78" spans="1:41" ht="12.75" x14ac:dyDescent="0.2">
      <c r="A78" s="641" t="s">
        <v>866</v>
      </c>
      <c r="B78" s="461" t="str">
        <f>"Table "&amp;A1&amp;A78&amp;": Financial data underlying the ratios"</f>
        <v>Table 11.3: Financial data underlying the ratios</v>
      </c>
      <c r="C78" s="19"/>
      <c r="D78" s="3"/>
      <c r="E78" s="3"/>
      <c r="F78" s="3"/>
      <c r="G78" s="3"/>
      <c r="H78" s="3"/>
      <c r="I78" s="3"/>
      <c r="J78" s="3"/>
      <c r="K78" s="3"/>
      <c r="L78" s="3"/>
      <c r="M78" s="3"/>
      <c r="N78" s="3"/>
      <c r="O78" s="3"/>
      <c r="P78" s="3"/>
      <c r="Q78" s="3"/>
      <c r="R78" s="3"/>
      <c r="S78" s="3"/>
      <c r="T78" s="3"/>
      <c r="U78" s="3"/>
      <c r="W78" s="3"/>
      <c r="X78" s="3"/>
      <c r="Y78" s="3"/>
      <c r="Z78" s="3"/>
      <c r="AA78" s="3"/>
      <c r="AB78" s="3"/>
      <c r="AC78" s="3"/>
      <c r="AD78" s="3"/>
      <c r="AE78" s="3"/>
      <c r="AF78" s="3"/>
      <c r="AG78" s="3"/>
      <c r="AH78" s="3"/>
      <c r="AI78" s="3"/>
      <c r="AJ78" s="3"/>
      <c r="AK78" s="3"/>
      <c r="AL78" s="3"/>
      <c r="AM78" s="3"/>
      <c r="AN78" s="3"/>
      <c r="AO78" s="3"/>
    </row>
    <row r="79" spans="1:41" ht="15" x14ac:dyDescent="0.25">
      <c r="B79" s="1182"/>
      <c r="C79" s="695"/>
      <c r="D79" s="695"/>
      <c r="E79" s="1412" t="s">
        <v>782</v>
      </c>
      <c r="F79" s="1381"/>
      <c r="G79" s="1381"/>
      <c r="H79" s="1381"/>
      <c r="I79" s="1382"/>
      <c r="J79" s="1381" t="s">
        <v>783</v>
      </c>
      <c r="K79" s="1381"/>
      <c r="L79" s="1381"/>
      <c r="M79" s="1381"/>
      <c r="N79" s="1381"/>
      <c r="O79" s="1381"/>
      <c r="P79" s="1381"/>
      <c r="Q79" s="1381"/>
      <c r="R79" s="1381"/>
      <c r="S79" s="1381"/>
      <c r="T79" s="1382"/>
      <c r="U79" s="3"/>
      <c r="W79" s="3"/>
      <c r="X79" s="3"/>
      <c r="Y79" s="3"/>
      <c r="Z79" s="3"/>
      <c r="AA79" s="3"/>
      <c r="AB79" s="3"/>
      <c r="AC79" s="3"/>
      <c r="AD79" s="3"/>
      <c r="AE79" s="3"/>
      <c r="AF79" s="3"/>
      <c r="AG79" s="3"/>
      <c r="AH79" s="3"/>
      <c r="AI79" s="3"/>
      <c r="AJ79" s="3"/>
      <c r="AK79" s="3"/>
      <c r="AL79" s="3"/>
      <c r="AM79" s="3"/>
      <c r="AN79" s="3"/>
      <c r="AO79" s="3"/>
    </row>
    <row r="80" spans="1:41" x14ac:dyDescent="0.2">
      <c r="A80" s="624"/>
      <c r="B80" s="299"/>
      <c r="C80" s="19"/>
      <c r="D80" s="3"/>
      <c r="E80" s="1413" t="str">
        <f t="shared" ref="E80:I80" si="11">E44</f>
        <v>Hist yr -5</v>
      </c>
      <c r="F80" s="401" t="str">
        <f t="shared" si="11"/>
        <v>Hist yr -4</v>
      </c>
      <c r="G80" s="400" t="str">
        <f t="shared" si="11"/>
        <v>Hist yr -3</v>
      </c>
      <c r="H80" s="401" t="str">
        <f t="shared" si="11"/>
        <v>Hist yr -2</v>
      </c>
      <c r="I80" s="1414" t="str">
        <f t="shared" si="11"/>
        <v>Hist yr -1</v>
      </c>
      <c r="J80" s="402" t="str">
        <f>J44</f>
        <v>Year 0</v>
      </c>
      <c r="K80" s="402" t="str">
        <f t="shared" ref="K80:T80" si="12">K44</f>
        <v>Year 1</v>
      </c>
      <c r="L80" s="402" t="str">
        <f t="shared" si="12"/>
        <v>Year 2</v>
      </c>
      <c r="M80" s="402" t="str">
        <f t="shared" si="12"/>
        <v>Year 3</v>
      </c>
      <c r="N80" s="402" t="str">
        <f t="shared" si="12"/>
        <v>Year 4</v>
      </c>
      <c r="O80" s="402" t="str">
        <f t="shared" si="12"/>
        <v>Year 5</v>
      </c>
      <c r="P80" s="402" t="str">
        <f t="shared" si="12"/>
        <v>Year 6</v>
      </c>
      <c r="Q80" s="402" t="str">
        <f t="shared" si="12"/>
        <v>Year 7</v>
      </c>
      <c r="R80" s="402" t="str">
        <f t="shared" si="12"/>
        <v>Year 8</v>
      </c>
      <c r="S80" s="402" t="str">
        <f t="shared" si="12"/>
        <v>Year 9</v>
      </c>
      <c r="T80" s="1408" t="str">
        <f t="shared" si="12"/>
        <v>Year 10</v>
      </c>
      <c r="U80" s="3"/>
      <c r="W80" s="3"/>
      <c r="X80" s="3"/>
      <c r="Y80" s="3"/>
      <c r="Z80" s="3"/>
      <c r="AA80" s="3"/>
      <c r="AB80" s="3"/>
      <c r="AC80" s="3"/>
      <c r="AD80" s="3"/>
      <c r="AE80" s="3"/>
      <c r="AF80" s="3"/>
      <c r="AG80" s="3"/>
      <c r="AH80" s="3"/>
      <c r="AI80" s="3"/>
      <c r="AJ80" s="3"/>
      <c r="AK80" s="3"/>
      <c r="AL80" s="3"/>
      <c r="AM80" s="3"/>
      <c r="AN80" s="3"/>
      <c r="AO80" s="3"/>
    </row>
    <row r="81" spans="1:41" x14ac:dyDescent="0.2">
      <c r="A81" s="624"/>
      <c r="B81" s="453"/>
      <c r="C81" s="159"/>
      <c r="D81" s="30"/>
      <c r="E81" s="1391" t="str">
        <f>E45</f>
        <v>2018-19</v>
      </c>
      <c r="F81" s="161" t="str">
        <f t="shared" ref="F81" si="13">F45</f>
        <v>2019-20</v>
      </c>
      <c r="G81" s="161" t="str">
        <f>G45</f>
        <v>2020-21</v>
      </c>
      <c r="H81" s="161" t="str">
        <f t="shared" ref="H81:T81" si="14">H45</f>
        <v>2021-22</v>
      </c>
      <c r="I81" s="1385" t="str">
        <f t="shared" si="14"/>
        <v>2022-23</v>
      </c>
      <c r="J81" s="161" t="str">
        <f t="shared" si="14"/>
        <v>2023-24</v>
      </c>
      <c r="K81" s="161" t="str">
        <f t="shared" si="14"/>
        <v>2024-25</v>
      </c>
      <c r="L81" s="161" t="str">
        <f t="shared" si="14"/>
        <v>2025-26</v>
      </c>
      <c r="M81" s="161" t="str">
        <f t="shared" si="14"/>
        <v>2026-27</v>
      </c>
      <c r="N81" s="161" t="str">
        <f t="shared" si="14"/>
        <v>2027-28</v>
      </c>
      <c r="O81" s="161" t="str">
        <f t="shared" si="14"/>
        <v>2028-29</v>
      </c>
      <c r="P81" s="161" t="str">
        <f t="shared" si="14"/>
        <v>2029-30</v>
      </c>
      <c r="Q81" s="161" t="str">
        <f t="shared" si="14"/>
        <v>2030-31</v>
      </c>
      <c r="R81" s="161" t="str">
        <f t="shared" si="14"/>
        <v>2031-32</v>
      </c>
      <c r="S81" s="161" t="str">
        <f t="shared" si="14"/>
        <v>2032-33</v>
      </c>
      <c r="T81" s="1385" t="str">
        <f t="shared" si="14"/>
        <v>2033-34</v>
      </c>
      <c r="U81" s="3"/>
      <c r="W81" s="3"/>
      <c r="X81" s="3"/>
      <c r="Y81" s="3"/>
      <c r="Z81" s="3"/>
      <c r="AA81" s="3"/>
      <c r="AB81" s="3"/>
      <c r="AC81" s="3"/>
      <c r="AD81" s="3"/>
      <c r="AE81" s="3"/>
      <c r="AF81" s="3"/>
      <c r="AG81" s="3"/>
      <c r="AH81" s="3"/>
      <c r="AI81" s="3"/>
      <c r="AJ81" s="3"/>
      <c r="AK81" s="3"/>
      <c r="AL81" s="3"/>
      <c r="AM81" s="3"/>
      <c r="AN81" s="3"/>
      <c r="AO81" s="3"/>
    </row>
    <row r="82" spans="1:41" x14ac:dyDescent="0.2">
      <c r="A82" s="624"/>
      <c r="B82" s="690" t="str">
        <f>B56</f>
        <v>Infrastructure Renewals Ratio</v>
      </c>
      <c r="E82" s="299"/>
      <c r="F82" s="3"/>
      <c r="G82" s="3"/>
      <c r="H82" s="3"/>
      <c r="I82" s="568"/>
      <c r="J82" s="3"/>
      <c r="K82" s="3"/>
      <c r="L82" s="3"/>
      <c r="M82" s="3"/>
      <c r="N82" s="3"/>
      <c r="O82" s="3"/>
      <c r="P82" s="3"/>
      <c r="Q82" s="3"/>
      <c r="R82" s="3"/>
      <c r="S82" s="3"/>
      <c r="T82" s="568"/>
      <c r="U82" s="3"/>
      <c r="W82" s="3"/>
      <c r="X82" s="3"/>
      <c r="Y82" s="3"/>
      <c r="Z82" s="3"/>
      <c r="AA82" s="3"/>
      <c r="AB82" s="3"/>
      <c r="AC82" s="3"/>
      <c r="AD82" s="3"/>
      <c r="AE82" s="3"/>
      <c r="AF82" s="3"/>
      <c r="AG82" s="3"/>
      <c r="AH82" s="3"/>
      <c r="AI82" s="3"/>
      <c r="AJ82" s="3"/>
      <c r="AK82" s="3"/>
      <c r="AL82" s="3"/>
      <c r="AM82" s="3"/>
      <c r="AN82" s="3"/>
      <c r="AO82" s="3"/>
    </row>
    <row r="83" spans="1:41" x14ac:dyDescent="0.2">
      <c r="A83" s="624"/>
      <c r="B83" s="581" t="s">
        <v>890</v>
      </c>
      <c r="C83" t="str">
        <f>$B$48</f>
        <v>Scenario 1: Proposed (with SV)</v>
      </c>
      <c r="D83" s="1409" t="s">
        <v>732</v>
      </c>
      <c r="E83" s="1507">
        <v>14587</v>
      </c>
      <c r="F83" s="73">
        <v>10300</v>
      </c>
      <c r="G83" s="73">
        <v>15465</v>
      </c>
      <c r="H83" s="73">
        <v>13199</v>
      </c>
      <c r="I83" s="1508">
        <v>11484</v>
      </c>
      <c r="J83" s="73">
        <v>37704.9</v>
      </c>
      <c r="K83" s="73">
        <v>23229.895297186653</v>
      </c>
      <c r="L83" s="73">
        <v>18709.465918183072</v>
      </c>
      <c r="M83" s="73">
        <v>18922.944857006554</v>
      </c>
      <c r="N83" s="73">
        <v>19823.425109826316</v>
      </c>
      <c r="O83" s="73">
        <v>20247.154266700076</v>
      </c>
      <c r="P83" s="73">
        <v>20888.125454731064</v>
      </c>
      <c r="Q83" s="73">
        <v>21230.598630986551</v>
      </c>
      <c r="R83" s="73">
        <v>21704.469840636677</v>
      </c>
      <c r="S83" s="73">
        <v>22037.108191406591</v>
      </c>
      <c r="T83" s="1508"/>
      <c r="U83" s="3"/>
      <c r="W83" s="3"/>
      <c r="X83" s="3"/>
      <c r="Y83" s="3"/>
      <c r="Z83" s="3"/>
      <c r="AA83" s="3"/>
      <c r="AB83" s="3"/>
      <c r="AC83" s="3"/>
      <c r="AD83" s="3"/>
      <c r="AE83" s="3"/>
      <c r="AF83" s="3"/>
      <c r="AG83" s="3"/>
      <c r="AH83" s="3"/>
      <c r="AI83" s="3"/>
      <c r="AJ83" s="3"/>
      <c r="AK83" s="3"/>
      <c r="AL83" s="3"/>
      <c r="AM83" s="3"/>
      <c r="AN83" s="3"/>
      <c r="AO83" s="3"/>
    </row>
    <row r="84" spans="1:41" x14ac:dyDescent="0.2">
      <c r="A84" s="624"/>
      <c r="B84" s="581" t="s">
        <v>892</v>
      </c>
      <c r="C84" t="str">
        <f>$B$48</f>
        <v>Scenario 1: Proposed (with SV)</v>
      </c>
      <c r="D84" s="1409" t="s">
        <v>732</v>
      </c>
      <c r="E84" s="1507">
        <v>14271</v>
      </c>
      <c r="F84" s="73">
        <v>14919</v>
      </c>
      <c r="G84" s="73">
        <v>14822</v>
      </c>
      <c r="H84" s="73">
        <v>15733</v>
      </c>
      <c r="I84" s="1508">
        <v>17561</v>
      </c>
      <c r="J84" s="73">
        <v>17431.789662732364</v>
      </c>
      <c r="K84" s="73">
        <v>18013.699082558353</v>
      </c>
      <c r="L84" s="73">
        <v>18441.039764358749</v>
      </c>
      <c r="M84" s="73">
        <v>18902.830538579776</v>
      </c>
      <c r="N84" s="73">
        <v>19784.386558704336</v>
      </c>
      <c r="O84" s="73">
        <v>20205.643851899284</v>
      </c>
      <c r="P84" s="73">
        <v>20649.316224927567</v>
      </c>
      <c r="Q84" s="73">
        <v>21079.877070456616</v>
      </c>
      <c r="R84" s="73">
        <v>21539.285013572997</v>
      </c>
      <c r="S84" s="73">
        <v>22020.126145809507</v>
      </c>
      <c r="T84" s="1508"/>
      <c r="U84" s="3"/>
      <c r="W84" s="3"/>
      <c r="X84" s="3"/>
      <c r="Y84" s="3"/>
      <c r="Z84" s="3"/>
      <c r="AA84" s="3"/>
      <c r="AB84" s="3"/>
      <c r="AC84" s="3"/>
      <c r="AD84" s="3"/>
      <c r="AE84" s="3"/>
      <c r="AF84" s="3"/>
      <c r="AG84" s="3"/>
      <c r="AH84" s="3"/>
      <c r="AI84" s="3"/>
      <c r="AJ84" s="3"/>
      <c r="AK84" s="3"/>
      <c r="AL84" s="3"/>
      <c r="AM84" s="3"/>
      <c r="AN84" s="3"/>
      <c r="AO84" s="3"/>
    </row>
    <row r="85" spans="1:41" x14ac:dyDescent="0.2">
      <c r="A85" s="624"/>
      <c r="B85" s="581" t="s">
        <v>918</v>
      </c>
      <c r="C85" t="str">
        <f>$B$49</f>
        <v>Scenario 2: Base case (no SV)</v>
      </c>
      <c r="D85" s="1409" t="s">
        <v>732</v>
      </c>
      <c r="E85" s="1642">
        <v>14587</v>
      </c>
      <c r="F85" s="1643">
        <v>10300</v>
      </c>
      <c r="G85" s="1643">
        <v>15465</v>
      </c>
      <c r="H85" s="1643">
        <v>13199</v>
      </c>
      <c r="I85" s="1644">
        <v>11484</v>
      </c>
      <c r="J85" s="1643">
        <v>37704.9</v>
      </c>
      <c r="K85" s="1643">
        <v>23229.895297186653</v>
      </c>
      <c r="L85" s="1643">
        <v>18709.465918183072</v>
      </c>
      <c r="M85" s="1643">
        <v>18922.944857006554</v>
      </c>
      <c r="N85" s="1643">
        <v>19823.425109826316</v>
      </c>
      <c r="O85" s="1643">
        <v>20247.154266700076</v>
      </c>
      <c r="P85" s="1643">
        <v>20888.125454731064</v>
      </c>
      <c r="Q85" s="1643">
        <v>21230.598630986551</v>
      </c>
      <c r="R85" s="1643">
        <v>21704.469840636677</v>
      </c>
      <c r="S85" s="1643">
        <v>22037.108191406591</v>
      </c>
      <c r="T85" s="1508"/>
      <c r="U85" s="3"/>
      <c r="W85" s="3"/>
      <c r="X85" s="3"/>
      <c r="Y85" s="3"/>
      <c r="Z85" s="3"/>
      <c r="AA85" s="3"/>
      <c r="AB85" s="3"/>
      <c r="AC85" s="3"/>
      <c r="AD85" s="3"/>
      <c r="AE85" s="3"/>
      <c r="AF85" s="3"/>
      <c r="AG85" s="3"/>
      <c r="AH85" s="3"/>
      <c r="AI85" s="3"/>
      <c r="AJ85" s="3"/>
      <c r="AK85" s="3"/>
      <c r="AL85" s="3"/>
      <c r="AM85" s="3"/>
      <c r="AN85" s="3"/>
      <c r="AO85" s="3"/>
    </row>
    <row r="86" spans="1:41" x14ac:dyDescent="0.2">
      <c r="A86" s="624"/>
      <c r="B86" s="581" t="s">
        <v>892</v>
      </c>
      <c r="C86" t="str">
        <f>$B$49</f>
        <v>Scenario 2: Base case (no SV)</v>
      </c>
      <c r="D86" s="1409" t="s">
        <v>732</v>
      </c>
      <c r="E86" s="1642">
        <v>14271</v>
      </c>
      <c r="F86" s="1643">
        <v>14919</v>
      </c>
      <c r="G86" s="1643">
        <v>14822</v>
      </c>
      <c r="H86" s="1643">
        <v>15733</v>
      </c>
      <c r="I86" s="1644">
        <v>17561</v>
      </c>
      <c r="J86" s="1643">
        <v>17431.789662732364</v>
      </c>
      <c r="K86" s="1643">
        <v>18013.699082558353</v>
      </c>
      <c r="L86" s="1643">
        <v>18441.039764358749</v>
      </c>
      <c r="M86" s="1643">
        <v>18902.830538579776</v>
      </c>
      <c r="N86" s="1643">
        <v>19784.386558704336</v>
      </c>
      <c r="O86" s="1643">
        <v>20205.643851899284</v>
      </c>
      <c r="P86" s="1643">
        <v>20649.316224927567</v>
      </c>
      <c r="Q86" s="1643">
        <v>21079.877070456616</v>
      </c>
      <c r="R86" s="1643">
        <v>21539.285013572997</v>
      </c>
      <c r="S86" s="1643">
        <v>22020.126145809507</v>
      </c>
      <c r="T86" s="1508"/>
      <c r="U86" s="3"/>
      <c r="W86" s="3"/>
      <c r="X86" s="3"/>
      <c r="Y86" s="3"/>
      <c r="Z86" s="3"/>
      <c r="AA86" s="3"/>
      <c r="AB86" s="3"/>
      <c r="AC86" s="3"/>
      <c r="AD86" s="3"/>
      <c r="AE86" s="3"/>
      <c r="AF86" s="3"/>
      <c r="AG86" s="3"/>
      <c r="AH86" s="3"/>
      <c r="AI86" s="3"/>
      <c r="AJ86" s="3"/>
      <c r="AK86" s="3"/>
      <c r="AL86" s="3"/>
      <c r="AM86" s="3"/>
      <c r="AN86" s="3"/>
      <c r="AO86" s="3"/>
    </row>
    <row r="87" spans="1:41" x14ac:dyDescent="0.2">
      <c r="A87" s="624"/>
      <c r="B87" s="1265"/>
      <c r="D87" s="207"/>
      <c r="E87" s="1298"/>
      <c r="F87" s="151"/>
      <c r="G87" s="151"/>
      <c r="H87" s="151"/>
      <c r="I87" s="1261"/>
      <c r="J87" s="151"/>
      <c r="K87" s="151"/>
      <c r="L87" s="151"/>
      <c r="M87" s="151"/>
      <c r="N87" s="151"/>
      <c r="O87" s="151"/>
      <c r="P87" s="151"/>
      <c r="Q87" s="151"/>
      <c r="R87" s="151"/>
      <c r="S87" s="151"/>
      <c r="T87" s="1261"/>
      <c r="U87" s="3"/>
      <c r="W87" s="3"/>
      <c r="X87" s="3"/>
      <c r="Y87" s="3"/>
      <c r="Z87" s="3"/>
      <c r="AA87" s="3"/>
      <c r="AB87" s="3"/>
      <c r="AC87" s="3"/>
      <c r="AD87" s="3"/>
      <c r="AE87" s="3"/>
      <c r="AF87" s="3"/>
      <c r="AG87" s="3"/>
      <c r="AH87" s="3"/>
      <c r="AI87" s="3"/>
      <c r="AJ87" s="3"/>
      <c r="AK87" s="3"/>
      <c r="AL87" s="3"/>
      <c r="AM87" s="3"/>
      <c r="AN87" s="3"/>
      <c r="AO87" s="3"/>
    </row>
    <row r="88" spans="1:41" x14ac:dyDescent="0.2">
      <c r="A88" s="624"/>
      <c r="B88" s="1410" t="str">
        <f>B64</f>
        <v>Infrastructure Backlog Ratio</v>
      </c>
      <c r="D88" s="207"/>
      <c r="E88" s="1298"/>
      <c r="F88" s="151"/>
      <c r="G88" s="151"/>
      <c r="H88" s="151"/>
      <c r="I88" s="1261"/>
      <c r="J88" s="151"/>
      <c r="K88" s="151"/>
      <c r="L88" s="151"/>
      <c r="M88" s="151"/>
      <c r="N88" s="151"/>
      <c r="O88" s="151"/>
      <c r="P88" s="151"/>
      <c r="Q88" s="151"/>
      <c r="R88" s="151"/>
      <c r="S88" s="151"/>
      <c r="T88" s="1261"/>
      <c r="U88" s="3"/>
      <c r="W88" s="3"/>
      <c r="X88" s="3"/>
      <c r="Y88" s="3"/>
      <c r="Z88" s="3"/>
      <c r="AA88" s="3"/>
      <c r="AB88" s="3"/>
      <c r="AC88" s="3"/>
      <c r="AD88" s="3"/>
      <c r="AE88" s="3"/>
      <c r="AF88" s="3"/>
      <c r="AG88" s="3"/>
      <c r="AH88" s="3"/>
      <c r="AI88" s="3"/>
      <c r="AJ88" s="3"/>
      <c r="AK88" s="3"/>
      <c r="AL88" s="3"/>
      <c r="AM88" s="3"/>
      <c r="AN88" s="3"/>
      <c r="AO88" s="3"/>
    </row>
    <row r="89" spans="1:41" x14ac:dyDescent="0.2">
      <c r="A89" s="624"/>
      <c r="B89" s="581" t="s">
        <v>895</v>
      </c>
      <c r="C89" s="207" t="str">
        <f>$B$48</f>
        <v>Scenario 1: Proposed (with SV)</v>
      </c>
      <c r="D89" s="1409" t="s">
        <v>732</v>
      </c>
      <c r="E89" s="1507">
        <v>9773</v>
      </c>
      <c r="F89" s="73">
        <v>10224</v>
      </c>
      <c r="G89" s="73">
        <v>10565</v>
      </c>
      <c r="H89" s="73">
        <v>5287</v>
      </c>
      <c r="I89" s="1508">
        <v>10894</v>
      </c>
      <c r="J89" s="73">
        <v>13192.889662732363</v>
      </c>
      <c r="K89" s="73">
        <v>12976.693448104061</v>
      </c>
      <c r="L89" s="73">
        <v>12708.267294279736</v>
      </c>
      <c r="M89" s="73">
        <v>12688.15297585296</v>
      </c>
      <c r="N89" s="73">
        <v>12649.114424730978</v>
      </c>
      <c r="O89" s="73">
        <v>12607.60400993019</v>
      </c>
      <c r="P89" s="73">
        <v>12368.794780126695</v>
      </c>
      <c r="Q89" s="73">
        <v>12218.073219596759</v>
      </c>
      <c r="R89" s="73">
        <v>12052.888392533079</v>
      </c>
      <c r="S89" s="73">
        <v>12035.906346935995</v>
      </c>
      <c r="T89" s="1508"/>
      <c r="U89" s="3"/>
      <c r="W89" s="3"/>
      <c r="X89" s="3"/>
      <c r="Y89" s="3"/>
      <c r="Z89" s="3"/>
      <c r="AA89" s="3"/>
      <c r="AB89" s="3"/>
      <c r="AC89" s="3"/>
      <c r="AD89" s="3"/>
      <c r="AE89" s="3"/>
      <c r="AF89" s="3"/>
      <c r="AG89" s="3"/>
      <c r="AH89" s="3"/>
      <c r="AI89" s="3"/>
      <c r="AJ89" s="3"/>
      <c r="AK89" s="3"/>
      <c r="AL89" s="3"/>
      <c r="AM89" s="3"/>
      <c r="AN89" s="3"/>
      <c r="AO89" s="3"/>
    </row>
    <row r="90" spans="1:41" ht="25.5" x14ac:dyDescent="0.2">
      <c r="A90" s="624"/>
      <c r="B90" s="1265" t="s">
        <v>919</v>
      </c>
      <c r="C90" s="207" t="str">
        <f>$B$48</f>
        <v>Scenario 1: Proposed (with SV)</v>
      </c>
      <c r="D90" s="1409" t="s">
        <v>732</v>
      </c>
      <c r="E90" s="1507">
        <v>775471</v>
      </c>
      <c r="F90" s="73">
        <v>787170</v>
      </c>
      <c r="G90" s="73">
        <v>809281</v>
      </c>
      <c r="H90" s="73">
        <v>913336</v>
      </c>
      <c r="I90" s="1508">
        <v>913121</v>
      </c>
      <c r="J90" s="73">
        <v>965037.03859319887</v>
      </c>
      <c r="K90" s="73">
        <v>981385.63815910625</v>
      </c>
      <c r="L90" s="73">
        <v>993575.9468458246</v>
      </c>
      <c r="M90" s="73">
        <v>1029868.3716335597</v>
      </c>
      <c r="N90" s="73">
        <v>1032289.0260695134</v>
      </c>
      <c r="O90" s="73">
        <v>1034766.1990363048</v>
      </c>
      <c r="P90" s="73">
        <v>1037426.252057898</v>
      </c>
      <c r="Q90" s="73">
        <v>1040049.9399815798</v>
      </c>
      <c r="R90" s="73">
        <v>1042711.3832251887</v>
      </c>
      <c r="S90" s="73">
        <v>1045267.0253807498</v>
      </c>
      <c r="T90" s="1508"/>
      <c r="U90" s="3"/>
      <c r="W90" s="3"/>
      <c r="X90" s="3"/>
      <c r="Y90" s="3"/>
      <c r="Z90" s="3"/>
      <c r="AA90" s="3"/>
      <c r="AB90" s="3"/>
      <c r="AC90" s="3"/>
      <c r="AD90" s="3"/>
      <c r="AE90" s="3"/>
      <c r="AF90" s="3"/>
      <c r="AG90" s="3"/>
      <c r="AH90" s="3"/>
      <c r="AI90" s="3"/>
      <c r="AJ90" s="3"/>
      <c r="AK90" s="3"/>
      <c r="AL90" s="3"/>
      <c r="AM90" s="3"/>
      <c r="AN90" s="3"/>
      <c r="AO90" s="3"/>
    </row>
    <row r="91" spans="1:41" x14ac:dyDescent="0.2">
      <c r="A91" s="624"/>
      <c r="B91" s="581" t="s">
        <v>895</v>
      </c>
      <c r="C91" s="207" t="str">
        <f>$B$49</f>
        <v>Scenario 2: Base case (no SV)</v>
      </c>
      <c r="D91" s="1409" t="s">
        <v>732</v>
      </c>
      <c r="E91" s="1642">
        <v>9773</v>
      </c>
      <c r="F91" s="1643">
        <v>10224</v>
      </c>
      <c r="G91" s="1643">
        <v>10565</v>
      </c>
      <c r="H91" s="1643">
        <v>5287</v>
      </c>
      <c r="I91" s="1644">
        <v>10894</v>
      </c>
      <c r="J91" s="73">
        <v>13192.889662732363</v>
      </c>
      <c r="K91" s="73">
        <v>12976.693448104061</v>
      </c>
      <c r="L91" s="73">
        <v>12708.267294279736</v>
      </c>
      <c r="M91" s="73">
        <v>12688.15297585296</v>
      </c>
      <c r="N91" s="73">
        <v>12649.114424730978</v>
      </c>
      <c r="O91" s="73">
        <v>12607.60400993019</v>
      </c>
      <c r="P91" s="73">
        <v>12368.794780126695</v>
      </c>
      <c r="Q91" s="73">
        <v>12218.073219596759</v>
      </c>
      <c r="R91" s="73">
        <v>12052.888392533079</v>
      </c>
      <c r="S91" s="73">
        <v>12035.906346935995</v>
      </c>
      <c r="T91" s="1508"/>
      <c r="U91" s="3"/>
      <c r="W91" s="3"/>
      <c r="X91" s="3"/>
      <c r="Y91" s="3"/>
      <c r="Z91" s="3"/>
      <c r="AA91" s="3"/>
      <c r="AB91" s="3"/>
      <c r="AC91" s="3"/>
      <c r="AD91" s="3"/>
      <c r="AE91" s="3"/>
      <c r="AF91" s="3"/>
      <c r="AG91" s="3"/>
      <c r="AH91" s="3"/>
      <c r="AI91" s="3"/>
      <c r="AJ91" s="3"/>
      <c r="AK91" s="3"/>
      <c r="AL91" s="3"/>
      <c r="AM91" s="3"/>
      <c r="AN91" s="3"/>
      <c r="AO91" s="3"/>
    </row>
    <row r="92" spans="1:41" ht="25.5" x14ac:dyDescent="0.2">
      <c r="A92" s="624"/>
      <c r="B92" s="1265" t="s">
        <v>919</v>
      </c>
      <c r="C92" s="207" t="str">
        <f>$B$49</f>
        <v>Scenario 2: Base case (no SV)</v>
      </c>
      <c r="D92" s="1409" t="s">
        <v>732</v>
      </c>
      <c r="E92" s="1642">
        <v>775471</v>
      </c>
      <c r="F92" s="1643">
        <v>787170</v>
      </c>
      <c r="G92" s="1643">
        <v>809281</v>
      </c>
      <c r="H92" s="1643">
        <v>913336</v>
      </c>
      <c r="I92" s="1644">
        <v>913121</v>
      </c>
      <c r="J92" s="73">
        <v>965037.03859319887</v>
      </c>
      <c r="K92" s="73">
        <v>981385.63815910625</v>
      </c>
      <c r="L92" s="73">
        <v>993575.9468458246</v>
      </c>
      <c r="M92" s="73">
        <v>1029868.3716335597</v>
      </c>
      <c r="N92" s="73">
        <v>1032289.0260695134</v>
      </c>
      <c r="O92" s="73">
        <v>1034766.1990363048</v>
      </c>
      <c r="P92" s="73">
        <v>1037426.252057898</v>
      </c>
      <c r="Q92" s="73">
        <v>1040049.9399815798</v>
      </c>
      <c r="R92" s="73">
        <v>1042711.3832251887</v>
      </c>
      <c r="S92" s="73">
        <v>1045267.0253807498</v>
      </c>
      <c r="T92" s="1508"/>
      <c r="U92" s="3"/>
      <c r="W92" s="3"/>
      <c r="X92" s="3"/>
      <c r="Y92" s="3"/>
      <c r="Z92" s="3"/>
      <c r="AA92" s="3"/>
      <c r="AB92" s="3"/>
      <c r="AC92" s="3"/>
      <c r="AD92" s="3"/>
      <c r="AE92" s="3"/>
      <c r="AF92" s="3"/>
      <c r="AG92" s="3"/>
      <c r="AH92" s="3"/>
      <c r="AI92" s="3"/>
      <c r="AJ92" s="3"/>
      <c r="AK92" s="3"/>
      <c r="AL92" s="3"/>
      <c r="AM92" s="3"/>
      <c r="AN92" s="3"/>
      <c r="AO92" s="3"/>
    </row>
    <row r="93" spans="1:41" x14ac:dyDescent="0.2">
      <c r="A93" s="624"/>
      <c r="B93" s="581"/>
      <c r="D93" s="207"/>
      <c r="E93" s="1298"/>
      <c r="F93" s="151"/>
      <c r="G93" s="151"/>
      <c r="H93" s="151"/>
      <c r="I93" s="1261"/>
      <c r="J93" s="151"/>
      <c r="K93" s="151"/>
      <c r="L93" s="151"/>
      <c r="M93" s="151"/>
      <c r="N93" s="151"/>
      <c r="O93" s="151"/>
      <c r="P93" s="151"/>
      <c r="Q93" s="151"/>
      <c r="R93" s="151"/>
      <c r="S93" s="151"/>
      <c r="T93" s="1261"/>
      <c r="U93" s="3"/>
      <c r="W93" s="3"/>
      <c r="X93" s="3"/>
      <c r="Y93" s="3"/>
      <c r="Z93" s="3"/>
      <c r="AA93" s="3"/>
      <c r="AB93" s="3"/>
      <c r="AC93" s="3"/>
      <c r="AD93" s="3"/>
      <c r="AE93" s="3"/>
      <c r="AF93" s="3"/>
      <c r="AG93" s="3"/>
      <c r="AH93" s="3"/>
      <c r="AI93" s="3"/>
      <c r="AJ93" s="3"/>
      <c r="AK93" s="3"/>
      <c r="AL93" s="3"/>
      <c r="AM93" s="3"/>
      <c r="AN93" s="3"/>
      <c r="AO93" s="3"/>
    </row>
    <row r="94" spans="1:41" x14ac:dyDescent="0.2">
      <c r="A94" s="624"/>
      <c r="B94" s="668" t="str">
        <f>B68</f>
        <v>Asset Maintenance Ratio</v>
      </c>
      <c r="D94" s="207"/>
      <c r="E94" s="1298"/>
      <c r="F94" s="151"/>
      <c r="G94" s="151"/>
      <c r="H94" s="151"/>
      <c r="I94" s="1261"/>
      <c r="J94" s="151"/>
      <c r="K94" s="151"/>
      <c r="L94" s="151"/>
      <c r="M94" s="151"/>
      <c r="N94" s="151"/>
      <c r="O94" s="151"/>
      <c r="P94" s="151"/>
      <c r="Q94" s="151"/>
      <c r="R94" s="151"/>
      <c r="S94" s="151"/>
      <c r="T94" s="1261"/>
      <c r="U94" s="3"/>
      <c r="W94" s="3"/>
      <c r="X94" s="3"/>
      <c r="Y94" s="3"/>
      <c r="Z94" s="3"/>
      <c r="AA94" s="3"/>
      <c r="AB94" s="3"/>
      <c r="AC94" s="3"/>
      <c r="AD94" s="3"/>
      <c r="AE94" s="3"/>
      <c r="AF94" s="3"/>
      <c r="AG94" s="3"/>
      <c r="AH94" s="3"/>
      <c r="AI94" s="3"/>
      <c r="AJ94" s="3"/>
      <c r="AK94" s="3"/>
      <c r="AL94" s="3"/>
      <c r="AM94" s="3"/>
      <c r="AN94" s="3"/>
      <c r="AO94" s="3"/>
    </row>
    <row r="95" spans="1:41" x14ac:dyDescent="0.2">
      <c r="A95" s="624"/>
      <c r="B95" s="581" t="s">
        <v>899</v>
      </c>
      <c r="C95" s="207" t="str">
        <f>$B$48</f>
        <v>Scenario 1: Proposed (with SV)</v>
      </c>
      <c r="D95" s="1409" t="s">
        <v>732</v>
      </c>
      <c r="E95" s="1507">
        <v>13879</v>
      </c>
      <c r="F95" s="73">
        <v>9948</v>
      </c>
      <c r="G95" s="73">
        <v>10225</v>
      </c>
      <c r="H95" s="73">
        <v>10269</v>
      </c>
      <c r="I95" s="1508">
        <v>12985</v>
      </c>
      <c r="J95" s="73">
        <v>13387.724999999999</v>
      </c>
      <c r="K95" s="73">
        <v>15680.856749999999</v>
      </c>
      <c r="L95" s="73">
        <v>16099.7824525</v>
      </c>
      <c r="M95" s="73">
        <v>16531.275926074999</v>
      </c>
      <c r="N95" s="73">
        <v>16975.714203857249</v>
      </c>
      <c r="O95" s="73">
        <v>17433.485629972965</v>
      </c>
      <c r="P95" s="73">
        <v>17904.990198872158</v>
      </c>
      <c r="Q95" s="73">
        <v>18390.639904838321</v>
      </c>
      <c r="R95" s="73">
        <v>18890.859101983471</v>
      </c>
      <c r="S95" s="73">
        <v>19406.084875042976</v>
      </c>
      <c r="T95" s="1508"/>
      <c r="U95" s="3"/>
      <c r="W95" s="3"/>
      <c r="X95" s="3"/>
      <c r="Y95" s="3"/>
      <c r="Z95" s="3"/>
      <c r="AA95" s="3"/>
      <c r="AB95" s="3"/>
      <c r="AC95" s="3"/>
      <c r="AD95" s="3"/>
      <c r="AE95" s="3"/>
      <c r="AF95" s="3"/>
      <c r="AG95" s="3"/>
      <c r="AH95" s="3"/>
      <c r="AI95" s="3"/>
      <c r="AJ95" s="3"/>
      <c r="AK95" s="3"/>
      <c r="AL95" s="3"/>
      <c r="AM95" s="3"/>
      <c r="AN95" s="3"/>
      <c r="AO95" s="3"/>
    </row>
    <row r="96" spans="1:41" x14ac:dyDescent="0.2">
      <c r="A96" s="624"/>
      <c r="B96" s="581" t="s">
        <v>900</v>
      </c>
      <c r="C96" s="207" t="str">
        <f>$B$48</f>
        <v>Scenario 1: Proposed (with SV)</v>
      </c>
      <c r="D96" s="1409" t="s">
        <v>732</v>
      </c>
      <c r="E96" s="1507">
        <v>13878</v>
      </c>
      <c r="F96" s="73">
        <v>9947</v>
      </c>
      <c r="G96" s="73">
        <v>9925</v>
      </c>
      <c r="H96" s="73">
        <v>9970</v>
      </c>
      <c r="I96" s="1508">
        <v>12559</v>
      </c>
      <c r="J96" s="73">
        <v>12998.564999999999</v>
      </c>
      <c r="K96" s="73">
        <v>13388.521949999998</v>
      </c>
      <c r="L96" s="73">
        <v>13790.1776085</v>
      </c>
      <c r="M96" s="73">
        <v>14203.882936754999</v>
      </c>
      <c r="N96" s="73">
        <v>14629.99942485765</v>
      </c>
      <c r="O96" s="73">
        <v>15068.89940760338</v>
      </c>
      <c r="P96" s="73">
        <v>15520.966389831481</v>
      </c>
      <c r="Q96" s="73">
        <v>15986.595381526426</v>
      </c>
      <c r="R96" s="73">
        <v>16466.193242972218</v>
      </c>
      <c r="S96" s="73">
        <v>16960.179040261388</v>
      </c>
      <c r="T96" s="1508"/>
      <c r="U96" s="3"/>
      <c r="W96" s="3"/>
      <c r="X96" s="3"/>
      <c r="Y96" s="3"/>
      <c r="Z96" s="3"/>
      <c r="AA96" s="3"/>
      <c r="AB96" s="3"/>
      <c r="AC96" s="3"/>
      <c r="AD96" s="3"/>
      <c r="AE96" s="3"/>
      <c r="AF96" s="3"/>
      <c r="AG96" s="3"/>
      <c r="AH96" s="3"/>
      <c r="AI96" s="3"/>
      <c r="AJ96" s="3"/>
      <c r="AK96" s="3"/>
      <c r="AL96" s="3"/>
      <c r="AM96" s="3"/>
      <c r="AN96" s="3"/>
      <c r="AO96" s="3"/>
    </row>
    <row r="97" spans="1:41" x14ac:dyDescent="0.2">
      <c r="A97" s="624"/>
      <c r="B97" s="581" t="s">
        <v>899</v>
      </c>
      <c r="C97" s="207" t="str">
        <f>$B$49</f>
        <v>Scenario 2: Base case (no SV)</v>
      </c>
      <c r="D97" s="1409" t="s">
        <v>732</v>
      </c>
      <c r="E97" s="1642">
        <v>13879</v>
      </c>
      <c r="F97" s="1643">
        <v>9948</v>
      </c>
      <c r="G97" s="1643">
        <v>10225</v>
      </c>
      <c r="H97" s="1643">
        <v>10269</v>
      </c>
      <c r="I97" s="1644">
        <v>12985</v>
      </c>
      <c r="J97" s="73">
        <v>13387.724999999999</v>
      </c>
      <c r="K97" s="73">
        <v>13840.856749999999</v>
      </c>
      <c r="L97" s="73">
        <v>14204.582452499999</v>
      </c>
      <c r="M97" s="73">
        <v>14579.219926074999</v>
      </c>
      <c r="N97" s="73">
        <v>14965.09652385725</v>
      </c>
      <c r="O97" s="73">
        <v>15362.549419572966</v>
      </c>
      <c r="P97" s="73">
        <v>15771.925902160154</v>
      </c>
      <c r="Q97" s="73">
        <v>16193.583679224961</v>
      </c>
      <c r="R97" s="73">
        <v>16627.891189601709</v>
      </c>
      <c r="S97" s="73">
        <v>17075.227925289761</v>
      </c>
      <c r="T97" s="1508"/>
      <c r="U97" s="3"/>
      <c r="W97" s="3"/>
      <c r="X97" s="3"/>
      <c r="Y97" s="3"/>
      <c r="Z97" s="3"/>
      <c r="AA97" s="3"/>
      <c r="AB97" s="3"/>
      <c r="AC97" s="3"/>
      <c r="AD97" s="3"/>
      <c r="AE97" s="3"/>
      <c r="AF97" s="3"/>
      <c r="AG97" s="3"/>
      <c r="AH97" s="3"/>
      <c r="AI97" s="3"/>
      <c r="AJ97" s="3"/>
      <c r="AK97" s="3"/>
      <c r="AL97" s="3"/>
      <c r="AM97" s="3"/>
      <c r="AN97" s="3"/>
      <c r="AO97" s="3"/>
    </row>
    <row r="98" spans="1:41" x14ac:dyDescent="0.2">
      <c r="A98" s="624"/>
      <c r="B98" s="581" t="s">
        <v>900</v>
      </c>
      <c r="C98" s="207" t="str">
        <f>$B$49</f>
        <v>Scenario 2: Base case (no SV)</v>
      </c>
      <c r="D98" s="1409" t="s">
        <v>732</v>
      </c>
      <c r="E98" s="1642">
        <v>13878</v>
      </c>
      <c r="F98" s="1643">
        <v>9947</v>
      </c>
      <c r="G98" s="1643">
        <v>9925</v>
      </c>
      <c r="H98" s="1643">
        <v>9970</v>
      </c>
      <c r="I98" s="1644">
        <v>12559</v>
      </c>
      <c r="J98" s="73">
        <v>12998.564999999999</v>
      </c>
      <c r="K98" s="73">
        <v>13388.521949999998</v>
      </c>
      <c r="L98" s="73">
        <v>13790.1776085</v>
      </c>
      <c r="M98" s="73">
        <v>14203.882936754999</v>
      </c>
      <c r="N98" s="73">
        <v>14629.99942485765</v>
      </c>
      <c r="O98" s="73">
        <v>15068.89940760338</v>
      </c>
      <c r="P98" s="73">
        <v>15520.966389831481</v>
      </c>
      <c r="Q98" s="73">
        <v>15986.595381526426</v>
      </c>
      <c r="R98" s="73">
        <v>16466.193242972218</v>
      </c>
      <c r="S98" s="73">
        <v>16960.179040261388</v>
      </c>
      <c r="T98" s="1508"/>
      <c r="U98" s="3"/>
      <c r="W98" s="3"/>
      <c r="X98" s="3"/>
      <c r="Y98" s="3"/>
      <c r="Z98" s="3"/>
      <c r="AA98" s="3"/>
      <c r="AB98" s="3"/>
      <c r="AC98" s="3"/>
      <c r="AD98" s="3"/>
      <c r="AE98" s="3"/>
      <c r="AF98" s="3"/>
      <c r="AG98" s="3"/>
      <c r="AH98" s="3"/>
      <c r="AI98" s="3"/>
      <c r="AJ98" s="3"/>
      <c r="AK98" s="3"/>
      <c r="AL98" s="3"/>
      <c r="AM98" s="3"/>
      <c r="AN98" s="3"/>
      <c r="AO98" s="3"/>
    </row>
    <row r="99" spans="1:41" x14ac:dyDescent="0.2">
      <c r="A99" s="624"/>
      <c r="B99" s="600"/>
      <c r="C99" s="571"/>
      <c r="D99" s="1411"/>
      <c r="E99" s="344"/>
      <c r="F99" s="140"/>
      <c r="G99" s="140"/>
      <c r="H99" s="140"/>
      <c r="I99" s="578"/>
      <c r="J99" s="140"/>
      <c r="K99" s="140"/>
      <c r="L99" s="140"/>
      <c r="M99" s="140"/>
      <c r="N99" s="140"/>
      <c r="O99" s="140"/>
      <c r="P99" s="140"/>
      <c r="Q99" s="140"/>
      <c r="R99" s="140"/>
      <c r="S99" s="140"/>
      <c r="T99" s="578"/>
      <c r="U99" s="3"/>
      <c r="W99" s="3"/>
      <c r="X99" s="3"/>
      <c r="Y99" s="3"/>
      <c r="Z99" s="3"/>
      <c r="AA99" s="3"/>
      <c r="AB99" s="3"/>
      <c r="AC99" s="3"/>
      <c r="AD99" s="3"/>
      <c r="AE99" s="3"/>
      <c r="AF99" s="3"/>
      <c r="AG99" s="3"/>
      <c r="AH99" s="3"/>
      <c r="AI99" s="3"/>
      <c r="AJ99" s="3"/>
      <c r="AK99" s="3"/>
      <c r="AL99" s="3"/>
      <c r="AM99" s="3"/>
      <c r="AN99" s="3"/>
      <c r="AO99" s="3"/>
    </row>
    <row r="100" spans="1:41" x14ac:dyDescent="0.2">
      <c r="A100" s="624"/>
      <c r="B100" s="1"/>
      <c r="D100" s="207"/>
      <c r="E100" s="3"/>
      <c r="F100" s="3"/>
      <c r="G100" s="3"/>
      <c r="H100" s="3"/>
      <c r="I100" s="3"/>
      <c r="J100" s="3"/>
      <c r="K100" s="3"/>
      <c r="L100" s="3"/>
      <c r="M100" s="3"/>
      <c r="N100" s="3"/>
      <c r="O100" s="3"/>
      <c r="P100" s="3"/>
      <c r="Q100" s="3"/>
      <c r="R100" s="3"/>
      <c r="S100" s="3"/>
      <c r="T100" s="3"/>
      <c r="U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
      <c r="A101" s="624"/>
      <c r="C101" s="3"/>
      <c r="D101" s="3"/>
      <c r="E101" s="3"/>
      <c r="F101" s="3"/>
      <c r="G101" s="3"/>
      <c r="H101" s="3"/>
      <c r="I101" s="3"/>
      <c r="J101" s="3"/>
      <c r="K101" s="3"/>
      <c r="L101" s="3"/>
      <c r="M101" s="3"/>
      <c r="N101" s="3"/>
      <c r="O101" s="3"/>
      <c r="P101" s="3"/>
      <c r="Q101" s="3"/>
      <c r="R101" s="3"/>
      <c r="S101" s="3"/>
      <c r="T101" s="3"/>
      <c r="U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
      <c r="A102" s="624"/>
      <c r="C102" s="3"/>
      <c r="D102" s="3"/>
      <c r="E102" s="3"/>
      <c r="F102" s="3"/>
      <c r="G102" s="3"/>
      <c r="H102" s="3"/>
      <c r="I102" s="3"/>
      <c r="J102" s="3"/>
      <c r="K102" s="3"/>
      <c r="L102" s="3"/>
      <c r="M102" s="3"/>
      <c r="N102" s="3"/>
      <c r="O102" s="3"/>
      <c r="P102" s="3"/>
      <c r="Q102" s="3"/>
      <c r="R102" s="3"/>
      <c r="S102" s="3"/>
      <c r="T102" s="3"/>
      <c r="U102" s="3"/>
      <c r="W102" s="3"/>
      <c r="X102" s="3"/>
      <c r="Y102" s="3"/>
      <c r="Z102" s="3"/>
      <c r="AA102" s="3"/>
      <c r="AB102" s="3"/>
      <c r="AC102" s="3"/>
      <c r="AD102" s="3"/>
      <c r="AE102" s="3"/>
      <c r="AF102" s="3"/>
      <c r="AG102" s="3"/>
      <c r="AH102" s="3"/>
      <c r="AI102" s="3"/>
      <c r="AJ102" s="3"/>
      <c r="AK102" s="3"/>
      <c r="AL102" s="3"/>
      <c r="AM102" s="3"/>
      <c r="AN102" s="3"/>
      <c r="AO102" s="3"/>
    </row>
    <row r="103" spans="1:41" x14ac:dyDescent="0.2">
      <c r="A103" s="624"/>
      <c r="C103" s="3"/>
      <c r="D103" s="3"/>
      <c r="E103" s="3"/>
      <c r="F103" s="3"/>
      <c r="G103" s="3"/>
      <c r="H103" s="3"/>
      <c r="I103" s="3"/>
      <c r="J103" s="3"/>
      <c r="K103" s="3"/>
      <c r="L103" s="3"/>
      <c r="M103" s="3"/>
      <c r="N103" s="3"/>
      <c r="O103" s="3"/>
      <c r="P103" s="3"/>
      <c r="Q103" s="3"/>
      <c r="R103" s="3"/>
      <c r="S103" s="3"/>
      <c r="T103" s="3"/>
      <c r="U103" s="3"/>
      <c r="W103" s="3"/>
      <c r="X103" s="3"/>
      <c r="Y103" s="3"/>
      <c r="Z103" s="3"/>
      <c r="AA103" s="3"/>
      <c r="AB103" s="3"/>
      <c r="AC103" s="3"/>
      <c r="AD103" s="3"/>
      <c r="AE103" s="3"/>
      <c r="AF103" s="3"/>
      <c r="AG103" s="3"/>
      <c r="AH103" s="3"/>
      <c r="AI103" s="3"/>
      <c r="AJ103" s="3"/>
      <c r="AK103" s="3"/>
      <c r="AL103" s="3"/>
      <c r="AM103" s="3"/>
      <c r="AN103" s="3"/>
      <c r="AO103" s="3"/>
    </row>
    <row r="104" spans="1:41" x14ac:dyDescent="0.2">
      <c r="A104" s="624"/>
      <c r="C104" s="3"/>
      <c r="D104" s="3"/>
      <c r="E104" s="3"/>
      <c r="F104" s="3"/>
      <c r="G104" s="3"/>
      <c r="H104" s="3"/>
      <c r="I104" s="3"/>
      <c r="J104" s="3"/>
      <c r="K104" s="3"/>
      <c r="L104" s="3"/>
      <c r="M104" s="3"/>
      <c r="N104" s="3"/>
      <c r="O104" s="3"/>
      <c r="P104" s="3"/>
      <c r="Q104" s="3"/>
      <c r="R104" s="3"/>
      <c r="S104" s="3"/>
      <c r="T104" s="3"/>
      <c r="U104" s="3"/>
      <c r="W104" s="3"/>
      <c r="X104" s="3"/>
      <c r="Y104" s="3"/>
      <c r="Z104" s="3"/>
      <c r="AA104" s="3"/>
      <c r="AB104" s="3"/>
      <c r="AC104" s="3"/>
      <c r="AD104" s="3"/>
      <c r="AE104" s="3"/>
      <c r="AF104" s="3"/>
      <c r="AG104" s="3"/>
      <c r="AH104" s="3"/>
      <c r="AI104" s="3"/>
      <c r="AJ104" s="3"/>
      <c r="AK104" s="3"/>
      <c r="AL104" s="3"/>
      <c r="AM104" s="3"/>
      <c r="AN104" s="3"/>
      <c r="AO104" s="3"/>
    </row>
    <row r="105" spans="1:41" x14ac:dyDescent="0.2">
      <c r="A105" s="624"/>
      <c r="B105" s="274"/>
      <c r="C105" s="3"/>
      <c r="D105" s="3"/>
      <c r="E105" s="3"/>
      <c r="F105" s="3"/>
      <c r="G105" s="3"/>
      <c r="H105" s="3"/>
      <c r="I105" s="3"/>
      <c r="J105" s="3"/>
      <c r="K105" s="3"/>
      <c r="L105" s="3"/>
      <c r="M105" s="3"/>
      <c r="N105" s="3"/>
      <c r="O105" s="3"/>
      <c r="P105" s="3"/>
      <c r="Q105" s="3"/>
      <c r="R105" s="3"/>
      <c r="S105" s="3"/>
      <c r="T105" s="3"/>
      <c r="U105" s="3"/>
      <c r="W105" s="3"/>
      <c r="X105" s="3"/>
      <c r="Y105" s="3"/>
      <c r="Z105" s="3"/>
      <c r="AA105" s="3"/>
      <c r="AB105" s="3"/>
      <c r="AC105" s="3"/>
      <c r="AD105" s="3"/>
      <c r="AE105" s="3"/>
      <c r="AF105" s="3"/>
      <c r="AG105" s="3"/>
      <c r="AH105" s="3"/>
      <c r="AI105" s="3"/>
      <c r="AJ105" s="3"/>
      <c r="AK105" s="3"/>
      <c r="AL105" s="3"/>
      <c r="AM105" s="3"/>
      <c r="AN105" s="3"/>
      <c r="AO105" s="3"/>
    </row>
    <row r="106" spans="1:41" x14ac:dyDescent="0.2">
      <c r="A106" s="624"/>
      <c r="B106" s="3"/>
      <c r="C106" s="3"/>
      <c r="D106" s="3"/>
      <c r="E106" s="3"/>
      <c r="F106" s="3"/>
      <c r="G106" s="3"/>
      <c r="H106" s="3"/>
      <c r="I106" s="3"/>
      <c r="J106" s="3"/>
      <c r="K106" s="3"/>
      <c r="L106" s="3"/>
      <c r="M106" s="3"/>
      <c r="N106" s="3"/>
      <c r="O106" s="3"/>
      <c r="P106" s="3"/>
      <c r="Q106" s="3"/>
      <c r="R106" s="3"/>
      <c r="S106" s="3"/>
      <c r="T106" s="3"/>
      <c r="U106" s="3"/>
      <c r="W106" s="3"/>
      <c r="X106" s="3"/>
      <c r="Y106" s="3"/>
      <c r="Z106" s="3"/>
      <c r="AA106" s="3"/>
      <c r="AB106" s="3"/>
      <c r="AC106" s="3"/>
      <c r="AD106" s="3"/>
      <c r="AE106" s="3"/>
      <c r="AF106" s="3"/>
      <c r="AG106" s="3"/>
      <c r="AH106" s="3"/>
      <c r="AI106" s="3"/>
      <c r="AJ106" s="3"/>
      <c r="AK106" s="3"/>
      <c r="AL106" s="3"/>
      <c r="AM106" s="3"/>
      <c r="AN106" s="3"/>
      <c r="AO106" s="3"/>
    </row>
    <row r="107" spans="1:41" x14ac:dyDescent="0.2">
      <c r="A107" s="624"/>
      <c r="B107" s="3"/>
      <c r="C107" s="3"/>
      <c r="D107" s="3"/>
      <c r="E107" s="3"/>
      <c r="F107" s="3"/>
      <c r="G107" s="3"/>
      <c r="H107" s="3"/>
      <c r="I107" s="3"/>
      <c r="J107" s="3"/>
      <c r="K107" s="3"/>
      <c r="L107" s="3"/>
      <c r="M107" s="3"/>
      <c r="N107" s="3"/>
      <c r="O107" s="3"/>
      <c r="P107" s="3"/>
      <c r="Q107" s="3"/>
      <c r="R107" s="3"/>
      <c r="S107" s="3"/>
      <c r="T107" s="3"/>
      <c r="U107" s="3"/>
      <c r="W107" s="3"/>
      <c r="X107" s="3"/>
      <c r="Y107" s="3"/>
      <c r="Z107" s="3"/>
      <c r="AA107" s="3"/>
      <c r="AB107" s="3"/>
      <c r="AC107" s="3"/>
      <c r="AD107" s="3"/>
      <c r="AE107" s="3"/>
      <c r="AF107" s="3"/>
      <c r="AG107" s="3"/>
      <c r="AH107" s="3"/>
      <c r="AI107" s="3"/>
      <c r="AJ107" s="3"/>
      <c r="AK107" s="3"/>
      <c r="AL107" s="3"/>
      <c r="AM107" s="3"/>
      <c r="AN107" s="3"/>
      <c r="AO107" s="3"/>
    </row>
    <row r="108" spans="1:41" x14ac:dyDescent="0.2">
      <c r="A108" s="624"/>
      <c r="B108" s="3"/>
      <c r="C108" s="3"/>
      <c r="D108" s="3"/>
      <c r="E108" s="3"/>
      <c r="F108" s="3"/>
      <c r="G108" s="3"/>
      <c r="H108" s="3"/>
      <c r="I108" s="3"/>
      <c r="J108" s="3"/>
      <c r="K108" s="3"/>
      <c r="L108" s="3"/>
      <c r="M108" s="3"/>
      <c r="N108" s="3"/>
      <c r="O108" s="3"/>
      <c r="P108" s="3"/>
      <c r="Q108" s="3"/>
      <c r="R108" s="3"/>
      <c r="S108" s="3"/>
      <c r="T108" s="3"/>
      <c r="U108" s="3"/>
      <c r="W108" s="3"/>
      <c r="X108" s="3"/>
      <c r="Y108" s="3"/>
      <c r="Z108" s="3"/>
      <c r="AA108" s="3"/>
      <c r="AB108" s="3"/>
      <c r="AC108" s="3"/>
      <c r="AD108" s="3"/>
      <c r="AE108" s="3"/>
      <c r="AF108" s="3"/>
      <c r="AG108" s="3"/>
      <c r="AH108" s="3"/>
      <c r="AI108" s="3"/>
      <c r="AJ108" s="3"/>
      <c r="AK108" s="3"/>
      <c r="AL108" s="3"/>
      <c r="AM108" s="3"/>
      <c r="AN108" s="3"/>
      <c r="AO108" s="3"/>
    </row>
    <row r="109" spans="1:41" x14ac:dyDescent="0.2">
      <c r="A109" s="624"/>
      <c r="B109" s="3"/>
      <c r="C109" s="3"/>
      <c r="D109" s="3"/>
      <c r="E109" s="3"/>
      <c r="F109" s="3"/>
      <c r="G109" s="3"/>
      <c r="H109" s="3"/>
      <c r="I109" s="3"/>
      <c r="J109" s="3"/>
      <c r="K109" s="3"/>
      <c r="L109" s="3"/>
      <c r="M109" s="3"/>
      <c r="N109" s="3"/>
      <c r="O109" s="3"/>
      <c r="P109" s="3"/>
      <c r="Q109" s="3"/>
      <c r="R109" s="3"/>
      <c r="S109" s="3"/>
      <c r="T109" s="3"/>
      <c r="U109" s="3"/>
      <c r="W109" s="3"/>
      <c r="X109" s="3"/>
      <c r="Y109" s="3"/>
      <c r="Z109" s="3"/>
      <c r="AA109" s="3"/>
      <c r="AB109" s="3"/>
      <c r="AC109" s="3"/>
      <c r="AD109" s="3"/>
      <c r="AE109" s="3"/>
      <c r="AF109" s="3"/>
      <c r="AG109" s="3"/>
      <c r="AH109" s="3"/>
      <c r="AI109" s="3"/>
      <c r="AJ109" s="3"/>
      <c r="AK109" s="3"/>
      <c r="AL109" s="3"/>
      <c r="AM109" s="3"/>
      <c r="AN109" s="3"/>
      <c r="AO109" s="3"/>
    </row>
    <row r="110" spans="1:41" x14ac:dyDescent="0.2">
      <c r="A110" s="624"/>
      <c r="B110" s="3"/>
      <c r="C110" s="3"/>
      <c r="D110" s="3"/>
      <c r="E110" s="3"/>
      <c r="F110" s="3"/>
      <c r="G110" s="3"/>
      <c r="H110" s="3"/>
      <c r="I110" s="3"/>
      <c r="J110" s="3"/>
      <c r="K110" s="3"/>
      <c r="L110" s="3"/>
      <c r="M110" s="3"/>
      <c r="N110" s="3"/>
      <c r="O110" s="3"/>
      <c r="P110" s="3"/>
      <c r="Q110" s="3"/>
      <c r="R110" s="3"/>
      <c r="S110" s="3"/>
      <c r="T110" s="3"/>
      <c r="U110" s="3"/>
      <c r="W110" s="3"/>
      <c r="X110" s="3"/>
      <c r="Y110" s="3"/>
      <c r="Z110" s="3"/>
      <c r="AA110" s="3"/>
      <c r="AB110" s="3"/>
      <c r="AC110" s="3"/>
      <c r="AD110" s="3"/>
      <c r="AE110" s="3"/>
      <c r="AF110" s="3"/>
      <c r="AG110" s="3"/>
      <c r="AH110" s="3"/>
      <c r="AI110" s="3"/>
      <c r="AJ110" s="3"/>
      <c r="AK110" s="3"/>
      <c r="AL110" s="3"/>
      <c r="AM110" s="3"/>
      <c r="AN110" s="3"/>
      <c r="AO110" s="3"/>
    </row>
    <row r="111" spans="1:41" x14ac:dyDescent="0.2">
      <c r="A111" s="624"/>
      <c r="B111" s="3"/>
      <c r="C111" s="3"/>
      <c r="D111" s="3"/>
      <c r="E111" s="3"/>
      <c r="F111" s="3"/>
      <c r="G111" s="3"/>
      <c r="H111" s="3"/>
      <c r="I111" s="3"/>
      <c r="J111" s="3"/>
      <c r="K111" s="3"/>
      <c r="L111" s="3"/>
      <c r="M111" s="3"/>
      <c r="N111" s="3"/>
      <c r="O111" s="3"/>
      <c r="P111" s="3"/>
      <c r="Q111" s="3"/>
      <c r="R111" s="3"/>
      <c r="S111" s="3"/>
      <c r="T111" s="3"/>
      <c r="U111" s="3"/>
      <c r="W111" s="3"/>
      <c r="X111" s="3"/>
      <c r="Y111" s="3"/>
      <c r="Z111" s="3"/>
      <c r="AA111" s="3"/>
      <c r="AB111" s="3"/>
      <c r="AC111" s="3"/>
      <c r="AD111" s="3"/>
      <c r="AE111" s="3"/>
      <c r="AF111" s="3"/>
      <c r="AG111" s="3"/>
      <c r="AH111" s="3"/>
      <c r="AI111" s="3"/>
      <c r="AJ111" s="3"/>
      <c r="AK111" s="3"/>
      <c r="AL111" s="3"/>
      <c r="AM111" s="3"/>
      <c r="AN111" s="3"/>
      <c r="AO111" s="3"/>
    </row>
    <row r="112" spans="1:41" x14ac:dyDescent="0.2">
      <c r="A112" s="624"/>
      <c r="B112" s="3"/>
      <c r="C112" s="3"/>
      <c r="D112" s="3"/>
      <c r="E112" s="3"/>
      <c r="F112" s="3"/>
      <c r="G112" s="3"/>
      <c r="H112" s="3"/>
      <c r="I112" s="3"/>
      <c r="J112" s="3"/>
      <c r="K112" s="3"/>
      <c r="L112" s="3"/>
      <c r="M112" s="3"/>
      <c r="N112" s="3"/>
      <c r="O112" s="3"/>
      <c r="P112" s="3"/>
      <c r="Q112" s="3"/>
      <c r="R112" s="3"/>
      <c r="S112" s="3"/>
      <c r="T112" s="3"/>
      <c r="U112" s="3"/>
      <c r="W112" s="3"/>
      <c r="X112" s="3"/>
      <c r="Y112" s="3"/>
      <c r="Z112" s="3"/>
      <c r="AA112" s="3"/>
      <c r="AB112" s="3"/>
      <c r="AC112" s="3"/>
      <c r="AD112" s="3"/>
      <c r="AE112" s="3"/>
      <c r="AF112" s="3"/>
      <c r="AG112" s="3"/>
      <c r="AH112" s="3"/>
      <c r="AI112" s="3"/>
      <c r="AJ112" s="3"/>
      <c r="AK112" s="3"/>
      <c r="AL112" s="3"/>
      <c r="AM112" s="3"/>
      <c r="AN112" s="3"/>
      <c r="AO112" s="3"/>
    </row>
    <row r="113" spans="1:41" x14ac:dyDescent="0.2">
      <c r="A113" s="624"/>
      <c r="B113" s="3"/>
      <c r="C113" s="3"/>
      <c r="D113" s="3"/>
      <c r="E113" s="3"/>
      <c r="F113" s="3"/>
      <c r="G113" s="3"/>
      <c r="H113" s="3"/>
      <c r="I113" s="3"/>
      <c r="J113" s="3"/>
      <c r="K113" s="3"/>
      <c r="L113" s="3"/>
      <c r="M113" s="3"/>
      <c r="N113" s="3"/>
      <c r="O113" s="3"/>
      <c r="P113" s="3"/>
      <c r="Q113" s="3"/>
      <c r="R113" s="3"/>
      <c r="S113" s="3"/>
      <c r="T113" s="3"/>
      <c r="U113" s="3"/>
      <c r="W113" s="3"/>
      <c r="X113" s="3"/>
      <c r="Y113" s="3"/>
      <c r="Z113" s="3"/>
      <c r="AA113" s="3"/>
      <c r="AB113" s="3"/>
      <c r="AC113" s="3"/>
      <c r="AD113" s="3"/>
      <c r="AE113" s="3"/>
      <c r="AF113" s="3"/>
      <c r="AG113" s="3"/>
      <c r="AH113" s="3"/>
      <c r="AI113" s="3"/>
      <c r="AJ113" s="3"/>
      <c r="AK113" s="3"/>
      <c r="AL113" s="3"/>
      <c r="AM113" s="3"/>
      <c r="AN113" s="3"/>
      <c r="AO113" s="3"/>
    </row>
    <row r="114" spans="1:41" x14ac:dyDescent="0.2">
      <c r="A114" s="624"/>
      <c r="B114" s="3"/>
      <c r="C114" s="3"/>
      <c r="D114" s="3"/>
      <c r="E114" s="3"/>
      <c r="F114" s="3"/>
      <c r="G114" s="3"/>
      <c r="H114" s="3"/>
      <c r="I114" s="3"/>
      <c r="J114" s="3"/>
      <c r="K114" s="3"/>
      <c r="L114" s="3"/>
      <c r="M114" s="3"/>
      <c r="N114" s="3"/>
      <c r="O114" s="3"/>
      <c r="P114" s="3"/>
      <c r="Q114" s="3"/>
      <c r="R114" s="3"/>
      <c r="S114" s="3"/>
      <c r="T114" s="3"/>
      <c r="U114" s="3"/>
      <c r="W114" s="3"/>
      <c r="X114" s="3"/>
      <c r="Y114" s="3"/>
      <c r="Z114" s="3"/>
      <c r="AA114" s="3"/>
      <c r="AB114" s="3"/>
      <c r="AC114" s="3"/>
      <c r="AD114" s="3"/>
      <c r="AE114" s="3"/>
      <c r="AF114" s="3"/>
      <c r="AG114" s="3"/>
      <c r="AH114" s="3"/>
      <c r="AI114" s="3"/>
      <c r="AJ114" s="3"/>
      <c r="AK114" s="3"/>
      <c r="AL114" s="3"/>
      <c r="AM114" s="3"/>
      <c r="AN114" s="3"/>
      <c r="AO114" s="3"/>
    </row>
    <row r="115" spans="1:41" x14ac:dyDescent="0.2">
      <c r="A115" s="624"/>
      <c r="B115" s="3"/>
      <c r="C115" s="3"/>
      <c r="D115" s="3"/>
      <c r="E115" s="3"/>
      <c r="F115" s="3"/>
      <c r="G115" s="3"/>
      <c r="H115" s="3"/>
      <c r="I115" s="3"/>
      <c r="J115" s="3"/>
      <c r="K115" s="3"/>
      <c r="L115" s="3"/>
      <c r="M115" s="3"/>
      <c r="N115" s="3"/>
      <c r="O115" s="3"/>
      <c r="P115" s="3"/>
      <c r="Q115" s="3"/>
      <c r="R115" s="3"/>
      <c r="S115" s="3"/>
      <c r="T115" s="3"/>
      <c r="U115" s="3"/>
      <c r="W115" s="3"/>
      <c r="X115" s="3"/>
      <c r="Y115" s="3"/>
      <c r="Z115" s="3"/>
      <c r="AA115" s="3"/>
      <c r="AB115" s="3"/>
      <c r="AC115" s="3"/>
      <c r="AD115" s="3"/>
      <c r="AE115" s="3"/>
      <c r="AF115" s="3"/>
      <c r="AG115" s="3"/>
      <c r="AH115" s="3"/>
      <c r="AI115" s="3"/>
      <c r="AJ115" s="3"/>
      <c r="AK115" s="3"/>
      <c r="AL115" s="3"/>
      <c r="AM115" s="3"/>
      <c r="AN115" s="3"/>
      <c r="AO115" s="3"/>
    </row>
    <row r="116" spans="1:41" x14ac:dyDescent="0.2">
      <c r="A116" s="624"/>
      <c r="B116" s="3"/>
      <c r="C116" s="3"/>
      <c r="D116" s="3"/>
      <c r="E116" s="3"/>
      <c r="F116" s="3"/>
      <c r="G116" s="3"/>
      <c r="H116" s="3"/>
      <c r="I116" s="3"/>
      <c r="J116" s="3"/>
      <c r="K116" s="3"/>
      <c r="L116" s="3"/>
      <c r="M116" s="3"/>
      <c r="N116" s="3"/>
      <c r="O116" s="3"/>
      <c r="P116" s="3"/>
      <c r="Q116" s="3"/>
      <c r="R116" s="3"/>
      <c r="S116" s="3"/>
      <c r="T116" s="3"/>
      <c r="U116" s="3"/>
      <c r="W116" s="3"/>
      <c r="X116" s="3"/>
      <c r="Y116" s="3"/>
      <c r="Z116" s="3"/>
      <c r="AA116" s="3"/>
      <c r="AB116" s="3"/>
      <c r="AC116" s="3"/>
      <c r="AD116" s="3"/>
      <c r="AE116" s="3"/>
      <c r="AF116" s="3"/>
      <c r="AG116" s="3"/>
      <c r="AH116" s="3"/>
      <c r="AI116" s="3"/>
      <c r="AJ116" s="3"/>
      <c r="AK116" s="3"/>
      <c r="AL116" s="3"/>
      <c r="AM116" s="3"/>
      <c r="AN116" s="3"/>
      <c r="AO116" s="3"/>
    </row>
    <row r="117" spans="1:41" x14ac:dyDescent="0.2">
      <c r="A117" s="624"/>
      <c r="B117" s="3"/>
      <c r="C117" s="3"/>
      <c r="D117" s="3"/>
      <c r="E117" s="3"/>
      <c r="F117" s="3"/>
      <c r="G117" s="3"/>
      <c r="H117" s="3"/>
      <c r="I117" s="3"/>
      <c r="J117" s="3"/>
      <c r="K117" s="3"/>
      <c r="L117" s="3"/>
      <c r="M117" s="3"/>
      <c r="N117" s="3"/>
      <c r="O117" s="3"/>
      <c r="P117" s="3"/>
      <c r="Q117" s="3"/>
      <c r="R117" s="3"/>
      <c r="S117" s="3"/>
      <c r="T117" s="3"/>
      <c r="U117" s="3"/>
      <c r="W117" s="3"/>
      <c r="X117" s="3"/>
      <c r="Y117" s="3"/>
      <c r="Z117" s="3"/>
      <c r="AA117" s="3"/>
      <c r="AB117" s="3"/>
      <c r="AC117" s="3"/>
      <c r="AD117" s="3"/>
      <c r="AE117" s="3"/>
      <c r="AF117" s="3"/>
      <c r="AG117" s="3"/>
      <c r="AH117" s="3"/>
      <c r="AI117" s="3"/>
      <c r="AJ117" s="3"/>
      <c r="AK117" s="3"/>
      <c r="AL117" s="3"/>
      <c r="AM117" s="3"/>
      <c r="AN117" s="3"/>
      <c r="AO117" s="3"/>
    </row>
    <row r="118" spans="1:41" x14ac:dyDescent="0.2">
      <c r="A118" s="624"/>
      <c r="B118" s="3"/>
      <c r="C118" s="3"/>
      <c r="D118" s="3"/>
      <c r="E118" s="3"/>
      <c r="F118" s="3"/>
      <c r="G118" s="3"/>
      <c r="H118" s="3"/>
      <c r="I118" s="3"/>
      <c r="J118" s="3"/>
      <c r="K118" s="3"/>
      <c r="L118" s="3"/>
      <c r="M118" s="3"/>
      <c r="N118" s="3"/>
      <c r="O118" s="3"/>
      <c r="P118" s="3"/>
      <c r="Q118" s="3"/>
      <c r="R118" s="3"/>
      <c r="S118" s="3"/>
      <c r="T118" s="3"/>
      <c r="U118" s="3"/>
      <c r="W118" s="3"/>
      <c r="X118" s="3"/>
      <c r="Y118" s="3"/>
      <c r="Z118" s="3"/>
      <c r="AA118" s="3"/>
      <c r="AB118" s="3"/>
      <c r="AC118" s="3"/>
      <c r="AD118" s="3"/>
      <c r="AE118" s="3"/>
      <c r="AF118" s="3"/>
      <c r="AG118" s="3"/>
      <c r="AH118" s="3"/>
      <c r="AI118" s="3"/>
      <c r="AJ118" s="3"/>
      <c r="AK118" s="3"/>
      <c r="AL118" s="3"/>
      <c r="AM118" s="3"/>
      <c r="AN118" s="3"/>
      <c r="AO118" s="3"/>
    </row>
    <row r="119" spans="1:41" x14ac:dyDescent="0.2">
      <c r="A119" s="624"/>
      <c r="B119" s="3"/>
      <c r="C119" s="3"/>
      <c r="D119" s="3"/>
      <c r="E119" s="3"/>
      <c r="F119" s="3"/>
      <c r="G119" s="3"/>
      <c r="H119" s="3"/>
      <c r="I119" s="3"/>
      <c r="J119" s="3"/>
      <c r="K119" s="3"/>
      <c r="L119" s="3"/>
      <c r="M119" s="3"/>
      <c r="N119" s="3"/>
      <c r="O119" s="3"/>
      <c r="P119" s="3"/>
      <c r="Q119" s="3"/>
      <c r="R119" s="3"/>
      <c r="S119" s="3"/>
      <c r="T119" s="3"/>
      <c r="U119" s="3"/>
      <c r="W119" s="3"/>
      <c r="X119" s="3"/>
      <c r="Y119" s="3"/>
      <c r="Z119" s="3"/>
      <c r="AA119" s="3"/>
      <c r="AB119" s="3"/>
      <c r="AC119" s="3"/>
      <c r="AD119" s="3"/>
      <c r="AE119" s="3"/>
      <c r="AF119" s="3"/>
      <c r="AG119" s="3"/>
      <c r="AH119" s="3"/>
      <c r="AI119" s="3"/>
      <c r="AJ119" s="3"/>
      <c r="AK119" s="3"/>
      <c r="AL119" s="3"/>
      <c r="AM119" s="3"/>
      <c r="AN119" s="3"/>
      <c r="AO119" s="3"/>
    </row>
    <row r="120" spans="1:41" x14ac:dyDescent="0.2">
      <c r="A120" s="624"/>
      <c r="B120" s="3"/>
      <c r="C120" s="3"/>
      <c r="D120" s="3"/>
      <c r="E120" s="3"/>
      <c r="F120" s="3"/>
      <c r="G120" s="3"/>
      <c r="H120" s="3"/>
      <c r="I120" s="3"/>
      <c r="J120" s="3"/>
      <c r="K120" s="3"/>
      <c r="L120" s="3"/>
      <c r="M120" s="3"/>
      <c r="N120" s="3"/>
      <c r="O120" s="3"/>
      <c r="P120" s="3"/>
      <c r="Q120" s="3"/>
      <c r="R120" s="3"/>
      <c r="S120" s="3"/>
      <c r="T120" s="3"/>
      <c r="U120" s="3"/>
      <c r="W120" s="3"/>
      <c r="X120" s="3"/>
      <c r="Y120" s="3"/>
      <c r="Z120" s="3"/>
      <c r="AA120" s="3"/>
      <c r="AB120" s="3"/>
      <c r="AC120" s="3"/>
      <c r="AD120" s="3"/>
      <c r="AE120" s="3"/>
      <c r="AF120" s="3"/>
      <c r="AG120" s="3"/>
      <c r="AH120" s="3"/>
      <c r="AI120" s="3"/>
      <c r="AJ120" s="3"/>
      <c r="AK120" s="3"/>
      <c r="AL120" s="3"/>
      <c r="AM120" s="3"/>
      <c r="AN120" s="3"/>
      <c r="AO120" s="3"/>
    </row>
    <row r="121" spans="1:41" x14ac:dyDescent="0.2">
      <c r="A121" s="624"/>
      <c r="B121" s="3"/>
      <c r="C121" s="3"/>
      <c r="D121" s="3"/>
      <c r="E121" s="3"/>
      <c r="F121" s="3"/>
      <c r="G121" s="3"/>
      <c r="H121" s="3"/>
      <c r="I121" s="3"/>
      <c r="J121" s="3"/>
      <c r="K121" s="3"/>
      <c r="L121" s="3"/>
      <c r="M121" s="3"/>
      <c r="N121" s="3"/>
      <c r="O121" s="3"/>
      <c r="P121" s="3"/>
      <c r="Q121" s="3"/>
      <c r="R121" s="3"/>
      <c r="S121" s="3"/>
      <c r="T121" s="3"/>
      <c r="U121" s="3"/>
      <c r="W121" s="3"/>
      <c r="X121" s="3"/>
      <c r="Y121" s="3"/>
      <c r="Z121" s="3"/>
      <c r="AA121" s="3"/>
      <c r="AB121" s="3"/>
      <c r="AC121" s="3"/>
      <c r="AD121" s="3"/>
      <c r="AE121" s="3"/>
      <c r="AF121" s="3"/>
      <c r="AG121" s="3"/>
      <c r="AH121" s="3"/>
      <c r="AI121" s="3"/>
      <c r="AJ121" s="3"/>
      <c r="AK121" s="3"/>
      <c r="AL121" s="3"/>
      <c r="AM121" s="3"/>
      <c r="AN121" s="3"/>
      <c r="AO121" s="3"/>
    </row>
    <row r="122" spans="1:41" x14ac:dyDescent="0.2">
      <c r="A122" s="624"/>
      <c r="B122" s="3"/>
      <c r="C122" s="3"/>
      <c r="D122" s="3"/>
      <c r="E122" s="3"/>
      <c r="F122" s="3"/>
      <c r="G122" s="3"/>
      <c r="H122" s="3"/>
      <c r="I122" s="3"/>
      <c r="J122" s="3"/>
      <c r="K122" s="3"/>
      <c r="L122" s="3"/>
      <c r="M122" s="3"/>
      <c r="N122" s="3"/>
      <c r="O122" s="3"/>
      <c r="P122" s="3"/>
      <c r="Q122" s="3"/>
      <c r="R122" s="3"/>
      <c r="S122" s="3"/>
      <c r="T122" s="3"/>
      <c r="U122" s="3"/>
      <c r="W122" s="3"/>
      <c r="X122" s="3"/>
      <c r="Y122" s="3"/>
      <c r="Z122" s="3"/>
      <c r="AA122" s="3"/>
      <c r="AB122" s="3"/>
      <c r="AC122" s="3"/>
      <c r="AD122" s="3"/>
      <c r="AE122" s="3"/>
      <c r="AF122" s="3"/>
      <c r="AG122" s="3"/>
      <c r="AH122" s="3"/>
      <c r="AI122" s="3"/>
      <c r="AJ122" s="3"/>
      <c r="AK122" s="3"/>
      <c r="AL122" s="3"/>
      <c r="AM122" s="3"/>
      <c r="AN122" s="3"/>
      <c r="AO122" s="3"/>
    </row>
    <row r="123" spans="1:41" x14ac:dyDescent="0.2">
      <c r="A123" s="624"/>
      <c r="B123" s="3"/>
      <c r="C123" s="3"/>
      <c r="D123" s="3"/>
      <c r="E123" s="3"/>
      <c r="F123" s="3"/>
      <c r="G123" s="3"/>
      <c r="H123" s="3"/>
      <c r="I123" s="3"/>
      <c r="J123" s="3"/>
      <c r="K123" s="3"/>
      <c r="L123" s="3"/>
      <c r="M123" s="3"/>
      <c r="N123" s="3"/>
      <c r="O123" s="3"/>
      <c r="P123" s="3"/>
      <c r="Q123" s="3"/>
      <c r="R123" s="3"/>
      <c r="S123" s="3"/>
      <c r="T123" s="3"/>
      <c r="U123" s="3"/>
      <c r="W123" s="3"/>
      <c r="X123" s="3"/>
      <c r="Y123" s="3"/>
      <c r="Z123" s="3"/>
      <c r="AA123" s="3"/>
      <c r="AB123" s="3"/>
      <c r="AC123" s="3"/>
      <c r="AD123" s="3"/>
      <c r="AE123" s="3"/>
      <c r="AF123" s="3"/>
      <c r="AG123" s="3"/>
      <c r="AH123" s="3"/>
      <c r="AI123" s="3"/>
      <c r="AJ123" s="3"/>
      <c r="AK123" s="3"/>
      <c r="AL123" s="3"/>
      <c r="AM123" s="3"/>
      <c r="AN123" s="3"/>
      <c r="AO123" s="3"/>
    </row>
    <row r="124" spans="1:41" x14ac:dyDescent="0.2">
      <c r="A124" s="624"/>
      <c r="B124" s="3"/>
      <c r="C124" s="3"/>
      <c r="D124" s="3"/>
      <c r="E124" s="3"/>
      <c r="F124" s="3"/>
      <c r="G124" s="3"/>
      <c r="H124" s="3"/>
      <c r="I124" s="3"/>
      <c r="J124" s="3"/>
      <c r="K124" s="3"/>
      <c r="L124" s="3"/>
      <c r="M124" s="3"/>
      <c r="N124" s="3"/>
      <c r="O124" s="3"/>
      <c r="P124" s="3"/>
      <c r="Q124" s="3"/>
      <c r="R124" s="3"/>
      <c r="S124" s="3"/>
      <c r="T124" s="3"/>
      <c r="U124" s="3"/>
      <c r="W124" s="3"/>
      <c r="X124" s="3"/>
      <c r="Y124" s="3"/>
      <c r="Z124" s="3"/>
      <c r="AA124" s="3"/>
      <c r="AB124" s="3"/>
      <c r="AC124" s="3"/>
      <c r="AD124" s="3"/>
      <c r="AE124" s="3"/>
      <c r="AF124" s="3"/>
      <c r="AG124" s="3"/>
      <c r="AH124" s="3"/>
      <c r="AI124" s="3"/>
      <c r="AJ124" s="3"/>
      <c r="AK124" s="3"/>
      <c r="AL124" s="3"/>
      <c r="AM124" s="3"/>
      <c r="AN124" s="3"/>
      <c r="AO124" s="3"/>
    </row>
    <row r="125" spans="1:41" x14ac:dyDescent="0.2">
      <c r="A125" s="624"/>
      <c r="B125" s="3"/>
      <c r="C125" s="3"/>
      <c r="D125" s="3"/>
      <c r="E125" s="3"/>
      <c r="F125" s="3"/>
      <c r="G125" s="3"/>
      <c r="H125" s="3"/>
      <c r="I125" s="3"/>
      <c r="J125" s="3"/>
      <c r="K125" s="3"/>
      <c r="L125" s="3"/>
      <c r="M125" s="3"/>
      <c r="N125" s="3"/>
      <c r="O125" s="3"/>
      <c r="P125" s="3"/>
      <c r="Q125" s="3"/>
      <c r="R125" s="3"/>
      <c r="S125" s="3"/>
      <c r="T125" s="3"/>
      <c r="U125" s="3"/>
      <c r="W125" s="3"/>
      <c r="X125" s="3"/>
      <c r="Y125" s="3"/>
      <c r="Z125" s="3"/>
      <c r="AA125" s="3"/>
      <c r="AB125" s="3"/>
      <c r="AC125" s="3"/>
      <c r="AD125" s="3"/>
      <c r="AE125" s="3"/>
      <c r="AF125" s="3"/>
      <c r="AG125" s="3"/>
      <c r="AH125" s="3"/>
      <c r="AI125" s="3"/>
      <c r="AJ125" s="3"/>
      <c r="AK125" s="3"/>
      <c r="AL125" s="3"/>
      <c r="AM125" s="3"/>
      <c r="AN125" s="3"/>
      <c r="AO125" s="3"/>
    </row>
    <row r="126" spans="1:41" x14ac:dyDescent="0.2">
      <c r="A126" s="624"/>
      <c r="B126" s="3"/>
      <c r="C126" s="3"/>
      <c r="D126" s="3"/>
      <c r="E126" s="3"/>
      <c r="F126" s="3"/>
      <c r="G126" s="3"/>
      <c r="H126" s="3"/>
      <c r="I126" s="3"/>
      <c r="J126" s="3"/>
      <c r="K126" s="3"/>
      <c r="L126" s="3"/>
      <c r="M126" s="3"/>
      <c r="N126" s="3"/>
      <c r="O126" s="3"/>
      <c r="P126" s="3"/>
      <c r="Q126" s="3"/>
      <c r="R126" s="3"/>
      <c r="S126" s="3"/>
      <c r="T126" s="3"/>
      <c r="U126" s="3"/>
      <c r="W126" s="3"/>
      <c r="X126" s="3"/>
      <c r="Y126" s="3"/>
      <c r="Z126" s="3"/>
      <c r="AA126" s="3"/>
      <c r="AB126" s="3"/>
      <c r="AC126" s="3"/>
      <c r="AD126" s="3"/>
      <c r="AE126" s="3"/>
      <c r="AF126" s="3"/>
      <c r="AG126" s="3"/>
      <c r="AH126" s="3"/>
      <c r="AI126" s="3"/>
      <c r="AJ126" s="3"/>
      <c r="AK126" s="3"/>
      <c r="AL126" s="3"/>
      <c r="AM126" s="3"/>
      <c r="AN126" s="3"/>
      <c r="AO126" s="3"/>
    </row>
    <row r="127" spans="1:41" x14ac:dyDescent="0.2">
      <c r="A127" s="624"/>
      <c r="B127" s="3"/>
      <c r="C127" s="3"/>
      <c r="D127" s="3"/>
      <c r="E127" s="3"/>
      <c r="F127" s="3"/>
      <c r="G127" s="3"/>
      <c r="H127" s="3"/>
      <c r="I127" s="3"/>
      <c r="J127" s="3"/>
      <c r="K127" s="3"/>
      <c r="L127" s="3"/>
      <c r="M127" s="3"/>
      <c r="N127" s="3"/>
      <c r="O127" s="3"/>
      <c r="P127" s="3"/>
      <c r="Q127" s="3"/>
      <c r="R127" s="3"/>
      <c r="S127" s="3"/>
      <c r="T127" s="3"/>
      <c r="U127" s="3"/>
      <c r="W127" s="3"/>
      <c r="X127" s="3"/>
      <c r="Y127" s="3"/>
      <c r="Z127" s="3"/>
      <c r="AA127" s="3"/>
      <c r="AB127" s="3"/>
      <c r="AC127" s="3"/>
      <c r="AD127" s="3"/>
      <c r="AE127" s="3"/>
      <c r="AF127" s="3"/>
      <c r="AG127" s="3"/>
      <c r="AH127" s="3"/>
      <c r="AI127" s="3"/>
      <c r="AJ127" s="3"/>
      <c r="AK127" s="3"/>
      <c r="AL127" s="3"/>
      <c r="AM127" s="3"/>
      <c r="AN127" s="3"/>
      <c r="AO127" s="3"/>
    </row>
    <row r="128" spans="1:41" x14ac:dyDescent="0.2">
      <c r="A128" s="624"/>
      <c r="B128" s="3"/>
      <c r="C128" s="3"/>
      <c r="D128" s="3"/>
      <c r="E128" s="3"/>
      <c r="F128" s="3"/>
      <c r="G128" s="3"/>
      <c r="H128" s="3"/>
      <c r="I128" s="3"/>
      <c r="J128" s="3"/>
      <c r="K128" s="3"/>
      <c r="L128" s="3"/>
      <c r="M128" s="3"/>
      <c r="N128" s="3"/>
      <c r="O128" s="3"/>
      <c r="P128" s="3"/>
      <c r="Q128" s="3"/>
      <c r="R128" s="3"/>
      <c r="S128" s="3"/>
      <c r="T128" s="3"/>
      <c r="U128" s="3"/>
      <c r="W128" s="3"/>
      <c r="X128" s="3"/>
      <c r="Y128" s="3"/>
      <c r="Z128" s="3"/>
      <c r="AA128" s="3"/>
      <c r="AB128" s="3"/>
      <c r="AC128" s="3"/>
      <c r="AD128" s="3"/>
      <c r="AE128" s="3"/>
      <c r="AF128" s="3"/>
      <c r="AG128" s="3"/>
      <c r="AH128" s="3"/>
      <c r="AI128" s="3"/>
      <c r="AJ128" s="3"/>
      <c r="AK128" s="3"/>
      <c r="AL128" s="3"/>
      <c r="AM128" s="3"/>
      <c r="AN128" s="3"/>
      <c r="AO128" s="3"/>
    </row>
    <row r="129" spans="1:41" x14ac:dyDescent="0.2">
      <c r="A129" s="624"/>
      <c r="B129" s="3"/>
      <c r="C129" s="3"/>
      <c r="D129" s="3"/>
      <c r="E129" s="3"/>
      <c r="F129" s="3"/>
      <c r="G129" s="3"/>
      <c r="H129" s="3"/>
      <c r="I129" s="3"/>
      <c r="J129" s="3"/>
      <c r="K129" s="3"/>
      <c r="L129" s="3"/>
      <c r="M129" s="3"/>
      <c r="N129" s="3"/>
      <c r="O129" s="3"/>
      <c r="P129" s="3"/>
      <c r="Q129" s="3"/>
      <c r="R129" s="3"/>
      <c r="S129" s="3"/>
      <c r="T129" s="3"/>
      <c r="U129" s="3"/>
      <c r="W129" s="3"/>
      <c r="X129" s="3"/>
      <c r="Y129" s="3"/>
      <c r="Z129" s="3"/>
      <c r="AA129" s="3"/>
      <c r="AB129" s="3"/>
      <c r="AC129" s="3"/>
      <c r="AD129" s="3"/>
      <c r="AE129" s="3"/>
      <c r="AF129" s="3"/>
      <c r="AG129" s="3"/>
      <c r="AH129" s="3"/>
      <c r="AI129" s="3"/>
      <c r="AJ129" s="3"/>
      <c r="AK129" s="3"/>
      <c r="AL129" s="3"/>
      <c r="AM129" s="3"/>
      <c r="AN129" s="3"/>
      <c r="AO129" s="3"/>
    </row>
    <row r="130" spans="1:41" x14ac:dyDescent="0.2">
      <c r="A130" s="624"/>
      <c r="B130" s="3"/>
      <c r="C130" s="3"/>
      <c r="D130" s="3"/>
      <c r="E130" s="3"/>
      <c r="F130" s="3"/>
      <c r="G130" s="3"/>
      <c r="H130" s="3"/>
      <c r="I130" s="3"/>
      <c r="J130" s="3"/>
      <c r="K130" s="3"/>
      <c r="L130" s="3"/>
      <c r="M130" s="3"/>
      <c r="N130" s="3"/>
      <c r="O130" s="3"/>
      <c r="P130" s="3"/>
      <c r="Q130" s="3"/>
      <c r="R130" s="3"/>
      <c r="S130" s="3"/>
      <c r="T130" s="3"/>
      <c r="U130" s="3"/>
      <c r="W130" s="3"/>
      <c r="X130" s="3"/>
      <c r="Y130" s="3"/>
      <c r="Z130" s="3"/>
      <c r="AA130" s="3"/>
      <c r="AB130" s="3"/>
      <c r="AC130" s="3"/>
      <c r="AD130" s="3"/>
      <c r="AE130" s="3"/>
      <c r="AF130" s="3"/>
      <c r="AG130" s="3"/>
      <c r="AH130" s="3"/>
      <c r="AI130" s="3"/>
      <c r="AJ130" s="3"/>
      <c r="AK130" s="3"/>
      <c r="AL130" s="3"/>
      <c r="AM130" s="3"/>
      <c r="AN130" s="3"/>
      <c r="AO130" s="3"/>
    </row>
    <row r="131" spans="1:41" x14ac:dyDescent="0.2">
      <c r="A131" s="624"/>
      <c r="B131" s="3"/>
      <c r="C131" s="3"/>
      <c r="D131" s="3"/>
      <c r="E131" s="3"/>
      <c r="F131" s="3"/>
      <c r="G131" s="3"/>
      <c r="H131" s="3"/>
      <c r="I131" s="3"/>
      <c r="J131" s="3"/>
      <c r="K131" s="3"/>
      <c r="L131" s="3"/>
      <c r="M131" s="3"/>
      <c r="N131" s="3"/>
      <c r="O131" s="3"/>
      <c r="P131" s="3"/>
      <c r="Q131" s="3"/>
      <c r="R131" s="3"/>
      <c r="S131" s="3"/>
      <c r="T131" s="3"/>
      <c r="U131" s="3"/>
      <c r="W131" s="3"/>
      <c r="X131" s="3"/>
      <c r="Y131" s="3"/>
      <c r="Z131" s="3"/>
      <c r="AA131" s="3"/>
      <c r="AB131" s="3"/>
      <c r="AC131" s="3"/>
      <c r="AD131" s="3"/>
      <c r="AE131" s="3"/>
      <c r="AF131" s="3"/>
      <c r="AG131" s="3"/>
      <c r="AH131" s="3"/>
      <c r="AI131" s="3"/>
      <c r="AJ131" s="3"/>
      <c r="AK131" s="3"/>
      <c r="AL131" s="3"/>
      <c r="AM131" s="3"/>
      <c r="AN131" s="3"/>
      <c r="AO131" s="3"/>
    </row>
    <row r="132" spans="1:41" x14ac:dyDescent="0.2">
      <c r="A132" s="624"/>
      <c r="B132" s="3"/>
      <c r="C132" s="3"/>
      <c r="D132" s="3"/>
      <c r="E132" s="3"/>
      <c r="F132" s="3"/>
      <c r="G132" s="3"/>
      <c r="H132" s="3"/>
      <c r="I132" s="3"/>
      <c r="J132" s="3"/>
      <c r="K132" s="3"/>
      <c r="L132" s="3"/>
      <c r="M132" s="3"/>
      <c r="N132" s="3"/>
      <c r="O132" s="3"/>
      <c r="P132" s="3"/>
      <c r="Q132" s="3"/>
      <c r="R132" s="3"/>
      <c r="S132" s="3"/>
      <c r="T132" s="3"/>
      <c r="U132" s="3"/>
      <c r="W132" s="3"/>
      <c r="X132" s="3"/>
      <c r="Y132" s="3"/>
      <c r="Z132" s="3"/>
      <c r="AA132" s="3"/>
      <c r="AB132" s="3"/>
      <c r="AC132" s="3"/>
      <c r="AD132" s="3"/>
      <c r="AE132" s="3"/>
      <c r="AF132" s="3"/>
      <c r="AG132" s="3"/>
      <c r="AH132" s="3"/>
      <c r="AI132" s="3"/>
      <c r="AJ132" s="3"/>
      <c r="AK132" s="3"/>
      <c r="AL132" s="3"/>
      <c r="AM132" s="3"/>
      <c r="AN132" s="3"/>
      <c r="AO132" s="3"/>
    </row>
    <row r="133" spans="1:41" x14ac:dyDescent="0.2">
      <c r="A133" s="624"/>
      <c r="B133" s="3"/>
      <c r="C133" s="3"/>
      <c r="D133" s="3"/>
      <c r="E133" s="3"/>
      <c r="F133" s="3"/>
      <c r="G133" s="3"/>
      <c r="H133" s="3"/>
      <c r="I133" s="3"/>
      <c r="J133" s="3"/>
      <c r="K133" s="3"/>
      <c r="L133" s="3"/>
      <c r="M133" s="3"/>
      <c r="N133" s="3"/>
      <c r="O133" s="3"/>
      <c r="P133" s="3"/>
      <c r="Q133" s="3"/>
      <c r="R133" s="3"/>
      <c r="S133" s="3"/>
      <c r="T133" s="3"/>
      <c r="U133" s="3"/>
      <c r="W133" s="3"/>
      <c r="X133" s="3"/>
      <c r="Y133" s="3"/>
      <c r="Z133" s="3"/>
      <c r="AA133" s="3"/>
      <c r="AB133" s="3"/>
      <c r="AC133" s="3"/>
      <c r="AD133" s="3"/>
      <c r="AE133" s="3"/>
      <c r="AF133" s="3"/>
      <c r="AG133" s="3"/>
      <c r="AH133" s="3"/>
      <c r="AI133" s="3"/>
      <c r="AJ133" s="3"/>
      <c r="AK133" s="3"/>
      <c r="AL133" s="3"/>
      <c r="AM133" s="3"/>
      <c r="AN133" s="3"/>
      <c r="AO133" s="3"/>
    </row>
    <row r="134" spans="1:41" x14ac:dyDescent="0.2">
      <c r="A134" s="624"/>
      <c r="B134" s="3"/>
      <c r="C134" s="3"/>
      <c r="D134" s="3"/>
      <c r="E134" s="3"/>
      <c r="F134" s="3"/>
      <c r="G134" s="3"/>
      <c r="H134" s="3"/>
      <c r="I134" s="3"/>
      <c r="J134" s="3"/>
      <c r="K134" s="3"/>
      <c r="L134" s="3"/>
      <c r="M134" s="3"/>
      <c r="N134" s="3"/>
      <c r="O134" s="3"/>
      <c r="P134" s="3"/>
      <c r="Q134" s="3"/>
      <c r="R134" s="3"/>
      <c r="S134" s="3"/>
      <c r="T134" s="3"/>
      <c r="U134" s="3"/>
      <c r="W134" s="3"/>
      <c r="X134" s="3"/>
      <c r="Y134" s="3"/>
      <c r="Z134" s="3"/>
      <c r="AA134" s="3"/>
      <c r="AB134" s="3"/>
      <c r="AC134" s="3"/>
      <c r="AD134" s="3"/>
      <c r="AE134" s="3"/>
      <c r="AF134" s="3"/>
      <c r="AG134" s="3"/>
      <c r="AH134" s="3"/>
      <c r="AI134" s="3"/>
      <c r="AJ134" s="3"/>
      <c r="AK134" s="3"/>
      <c r="AL134" s="3"/>
      <c r="AM134" s="3"/>
      <c r="AN134" s="3"/>
      <c r="AO134" s="3"/>
    </row>
    <row r="135" spans="1:41" x14ac:dyDescent="0.2">
      <c r="A135" s="624"/>
      <c r="B135" s="3"/>
      <c r="C135" s="3"/>
      <c r="D135" s="3"/>
      <c r="E135" s="3"/>
      <c r="F135" s="3"/>
      <c r="G135" s="3"/>
      <c r="H135" s="3"/>
      <c r="I135" s="3"/>
      <c r="J135" s="3"/>
      <c r="K135" s="3"/>
      <c r="L135" s="3"/>
      <c r="M135" s="3"/>
      <c r="N135" s="3"/>
      <c r="O135" s="3"/>
      <c r="P135" s="3"/>
      <c r="Q135" s="3"/>
      <c r="R135" s="3"/>
      <c r="S135" s="3"/>
      <c r="T135" s="3"/>
      <c r="U135" s="3"/>
      <c r="W135" s="3"/>
      <c r="X135" s="3"/>
      <c r="Y135" s="3"/>
      <c r="Z135" s="3"/>
      <c r="AA135" s="3"/>
      <c r="AB135" s="3"/>
      <c r="AC135" s="3"/>
      <c r="AD135" s="3"/>
      <c r="AE135" s="3"/>
      <c r="AF135" s="3"/>
      <c r="AG135" s="3"/>
      <c r="AH135" s="3"/>
      <c r="AI135" s="3"/>
      <c r="AJ135" s="3"/>
      <c r="AK135" s="3"/>
      <c r="AL135" s="3"/>
      <c r="AM135" s="3"/>
      <c r="AN135" s="3"/>
      <c r="AO135" s="3"/>
    </row>
    <row r="136" spans="1:41" x14ac:dyDescent="0.2">
      <c r="A136" s="624"/>
      <c r="B136" s="3"/>
      <c r="C136" s="3"/>
      <c r="D136" s="3"/>
      <c r="E136" s="3"/>
      <c r="F136" s="3"/>
      <c r="G136" s="3"/>
      <c r="H136" s="3"/>
      <c r="I136" s="3"/>
      <c r="J136" s="3"/>
      <c r="K136" s="3"/>
      <c r="L136" s="3"/>
      <c r="M136" s="3"/>
      <c r="N136" s="3"/>
      <c r="O136" s="3"/>
      <c r="P136" s="3"/>
      <c r="Q136" s="3"/>
      <c r="R136" s="3"/>
      <c r="S136" s="3"/>
      <c r="T136" s="3"/>
      <c r="U136" s="3"/>
      <c r="W136" s="3"/>
      <c r="X136" s="3"/>
      <c r="Y136" s="3"/>
      <c r="Z136" s="3"/>
      <c r="AA136" s="3"/>
      <c r="AB136" s="3"/>
      <c r="AC136" s="3"/>
      <c r="AD136" s="3"/>
      <c r="AE136" s="3"/>
      <c r="AF136" s="3"/>
      <c r="AG136" s="3"/>
      <c r="AH136" s="3"/>
      <c r="AI136" s="3"/>
      <c r="AJ136" s="3"/>
      <c r="AK136" s="3"/>
      <c r="AL136" s="3"/>
      <c r="AM136" s="3"/>
      <c r="AN136" s="3"/>
      <c r="AO136" s="3"/>
    </row>
    <row r="137" spans="1:41" x14ac:dyDescent="0.2">
      <c r="A137" s="624"/>
      <c r="B137" s="3"/>
      <c r="C137" s="3"/>
      <c r="D137" s="3"/>
      <c r="E137" s="3"/>
      <c r="F137" s="3"/>
      <c r="G137" s="3"/>
      <c r="H137" s="3"/>
      <c r="I137" s="3"/>
      <c r="J137" s="3"/>
      <c r="K137" s="3"/>
      <c r="L137" s="3"/>
      <c r="M137" s="3"/>
      <c r="N137" s="3"/>
      <c r="O137" s="3"/>
      <c r="P137" s="3"/>
      <c r="Q137" s="3"/>
      <c r="R137" s="3"/>
      <c r="S137" s="3"/>
      <c r="T137" s="3"/>
      <c r="U137" s="3"/>
      <c r="W137" s="3"/>
      <c r="X137" s="3"/>
      <c r="Y137" s="3"/>
      <c r="Z137" s="3"/>
      <c r="AA137" s="3"/>
      <c r="AB137" s="3"/>
      <c r="AC137" s="3"/>
      <c r="AD137" s="3"/>
      <c r="AE137" s="3"/>
      <c r="AF137" s="3"/>
      <c r="AG137" s="3"/>
      <c r="AH137" s="3"/>
      <c r="AI137" s="3"/>
      <c r="AJ137" s="3"/>
      <c r="AK137" s="3"/>
      <c r="AL137" s="3"/>
      <c r="AM137" s="3"/>
      <c r="AN137" s="3"/>
      <c r="AO137" s="3"/>
    </row>
    <row r="138" spans="1:41" x14ac:dyDescent="0.2">
      <c r="A138" s="624"/>
      <c r="B138" s="3"/>
      <c r="C138" s="3"/>
      <c r="D138" s="3"/>
      <c r="E138" s="3"/>
      <c r="F138" s="3"/>
      <c r="G138" s="3"/>
      <c r="H138" s="3"/>
      <c r="I138" s="3"/>
      <c r="J138" s="3"/>
      <c r="K138" s="3"/>
      <c r="L138" s="3"/>
      <c r="M138" s="3"/>
      <c r="N138" s="3"/>
      <c r="O138" s="3"/>
      <c r="P138" s="3"/>
      <c r="Q138" s="3"/>
      <c r="R138" s="3"/>
      <c r="S138" s="3"/>
      <c r="T138" s="3"/>
      <c r="U138" s="3"/>
      <c r="W138" s="3"/>
      <c r="X138" s="3"/>
      <c r="Y138" s="3"/>
      <c r="Z138" s="3"/>
      <c r="AA138" s="3"/>
      <c r="AB138" s="3"/>
      <c r="AC138" s="3"/>
      <c r="AD138" s="3"/>
      <c r="AE138" s="3"/>
      <c r="AF138" s="3"/>
      <c r="AG138" s="3"/>
      <c r="AH138" s="3"/>
      <c r="AI138" s="3"/>
      <c r="AJ138" s="3"/>
      <c r="AK138" s="3"/>
      <c r="AL138" s="3"/>
      <c r="AM138" s="3"/>
      <c r="AN138" s="3"/>
      <c r="AO138" s="3"/>
    </row>
    <row r="139" spans="1:41" x14ac:dyDescent="0.2">
      <c r="A139" s="624"/>
      <c r="B139" s="3"/>
      <c r="C139" s="3"/>
      <c r="D139" s="3"/>
      <c r="E139" s="3"/>
      <c r="F139" s="3"/>
      <c r="G139" s="3"/>
      <c r="H139" s="3"/>
      <c r="I139" s="3"/>
      <c r="J139" s="3"/>
      <c r="K139" s="3"/>
      <c r="L139" s="3"/>
      <c r="M139" s="3"/>
      <c r="N139" s="3"/>
      <c r="O139" s="3"/>
      <c r="P139" s="3"/>
      <c r="Q139" s="3"/>
      <c r="R139" s="3"/>
      <c r="S139" s="3"/>
      <c r="T139" s="3"/>
      <c r="U139" s="3"/>
      <c r="W139" s="3"/>
      <c r="X139" s="3"/>
      <c r="Y139" s="3"/>
      <c r="Z139" s="3"/>
      <c r="AA139" s="3"/>
      <c r="AB139" s="3"/>
      <c r="AC139" s="3"/>
      <c r="AD139" s="3"/>
      <c r="AE139" s="3"/>
      <c r="AF139" s="3"/>
      <c r="AG139" s="3"/>
      <c r="AH139" s="3"/>
      <c r="AI139" s="3"/>
      <c r="AJ139" s="3"/>
      <c r="AK139" s="3"/>
      <c r="AL139" s="3"/>
      <c r="AM139" s="3"/>
      <c r="AN139" s="3"/>
      <c r="AO139" s="3"/>
    </row>
    <row r="140" spans="1:41" x14ac:dyDescent="0.2">
      <c r="A140" s="624"/>
      <c r="B140" s="3"/>
      <c r="C140" s="3"/>
      <c r="D140" s="3"/>
      <c r="E140" s="3"/>
      <c r="F140" s="3"/>
      <c r="G140" s="3"/>
      <c r="H140" s="3"/>
      <c r="I140" s="3"/>
      <c r="J140" s="3"/>
      <c r="K140" s="3"/>
      <c r="L140" s="3"/>
      <c r="M140" s="3"/>
      <c r="N140" s="3"/>
      <c r="O140" s="3"/>
      <c r="P140" s="3"/>
      <c r="Q140" s="3"/>
      <c r="R140" s="3"/>
      <c r="S140" s="3"/>
      <c r="T140" s="3"/>
      <c r="U140" s="3"/>
      <c r="W140" s="3"/>
      <c r="X140" s="3"/>
      <c r="Y140" s="3"/>
      <c r="Z140" s="3"/>
      <c r="AA140" s="3"/>
      <c r="AB140" s="3"/>
      <c r="AC140" s="3"/>
      <c r="AD140" s="3"/>
      <c r="AE140" s="3"/>
      <c r="AF140" s="3"/>
      <c r="AG140" s="3"/>
      <c r="AH140" s="3"/>
      <c r="AI140" s="3"/>
      <c r="AJ140" s="3"/>
      <c r="AK140" s="3"/>
      <c r="AL140" s="3"/>
      <c r="AM140" s="3"/>
      <c r="AN140" s="3"/>
      <c r="AO140" s="3"/>
    </row>
    <row r="141" spans="1:41" x14ac:dyDescent="0.2">
      <c r="A141" s="624"/>
      <c r="B141" s="3"/>
      <c r="C141" s="3"/>
      <c r="D141" s="3"/>
      <c r="E141" s="3"/>
      <c r="F141" s="3"/>
      <c r="G141" s="3"/>
      <c r="H141" s="3"/>
      <c r="I141" s="3"/>
      <c r="J141" s="3"/>
      <c r="K141" s="3"/>
      <c r="L141" s="3"/>
      <c r="M141" s="3"/>
      <c r="N141" s="3"/>
      <c r="O141" s="3"/>
      <c r="P141" s="3"/>
      <c r="Q141" s="3"/>
      <c r="R141" s="3"/>
      <c r="S141" s="3"/>
      <c r="T141" s="3"/>
      <c r="U141" s="3"/>
      <c r="W141" s="3"/>
      <c r="X141" s="3"/>
      <c r="Y141" s="3"/>
      <c r="Z141" s="3"/>
      <c r="AA141" s="3"/>
      <c r="AB141" s="3"/>
      <c r="AC141" s="3"/>
      <c r="AD141" s="3"/>
      <c r="AE141" s="3"/>
      <c r="AF141" s="3"/>
      <c r="AG141" s="3"/>
      <c r="AH141" s="3"/>
      <c r="AI141" s="3"/>
      <c r="AJ141" s="3"/>
      <c r="AK141" s="3"/>
      <c r="AL141" s="3"/>
      <c r="AM141" s="3"/>
      <c r="AN141" s="3"/>
      <c r="AO141" s="3"/>
    </row>
    <row r="142" spans="1:41" x14ac:dyDescent="0.2">
      <c r="A142" s="624"/>
      <c r="B142" s="3"/>
      <c r="C142" s="3"/>
      <c r="D142" s="3"/>
      <c r="E142" s="3"/>
      <c r="F142" s="3"/>
      <c r="G142" s="3"/>
      <c r="H142" s="3"/>
      <c r="I142" s="3"/>
      <c r="J142" s="3"/>
      <c r="K142" s="3"/>
      <c r="L142" s="3"/>
      <c r="M142" s="3"/>
      <c r="N142" s="3"/>
      <c r="O142" s="3"/>
      <c r="P142" s="3"/>
      <c r="Q142" s="3"/>
      <c r="R142" s="3"/>
      <c r="S142" s="3"/>
      <c r="T142" s="3"/>
      <c r="U142" s="3"/>
      <c r="W142" s="3"/>
      <c r="X142" s="3"/>
      <c r="Y142" s="3"/>
      <c r="Z142" s="3"/>
      <c r="AA142" s="3"/>
      <c r="AB142" s="3"/>
      <c r="AC142" s="3"/>
      <c r="AD142" s="3"/>
      <c r="AE142" s="3"/>
      <c r="AF142" s="3"/>
      <c r="AG142" s="3"/>
      <c r="AH142" s="3"/>
      <c r="AI142" s="3"/>
      <c r="AJ142" s="3"/>
      <c r="AK142" s="3"/>
      <c r="AL142" s="3"/>
      <c r="AM142" s="3"/>
      <c r="AN142" s="3"/>
      <c r="AO142" s="3"/>
    </row>
    <row r="143" spans="1:41" x14ac:dyDescent="0.2">
      <c r="A143" s="624"/>
      <c r="B143" s="3"/>
      <c r="C143" s="3"/>
      <c r="D143" s="3"/>
      <c r="E143" s="3"/>
      <c r="F143" s="3"/>
      <c r="G143" s="3"/>
      <c r="H143" s="3"/>
      <c r="I143" s="3"/>
      <c r="J143" s="3"/>
      <c r="K143" s="3"/>
      <c r="L143" s="3"/>
      <c r="M143" s="3"/>
      <c r="N143" s="3"/>
      <c r="O143" s="3"/>
      <c r="P143" s="3"/>
      <c r="Q143" s="3"/>
      <c r="R143" s="3"/>
      <c r="S143" s="3"/>
      <c r="T143" s="3"/>
      <c r="U143" s="3"/>
      <c r="W143" s="3"/>
      <c r="X143" s="3"/>
      <c r="Y143" s="3"/>
      <c r="Z143" s="3"/>
      <c r="AA143" s="3"/>
      <c r="AB143" s="3"/>
      <c r="AC143" s="3"/>
      <c r="AD143" s="3"/>
      <c r="AE143" s="3"/>
      <c r="AF143" s="3"/>
      <c r="AG143" s="3"/>
      <c r="AH143" s="3"/>
      <c r="AI143" s="3"/>
      <c r="AJ143" s="3"/>
      <c r="AK143" s="3"/>
      <c r="AL143" s="3"/>
      <c r="AM143" s="3"/>
      <c r="AN143" s="3"/>
      <c r="AO143" s="3"/>
    </row>
    <row r="144" spans="1:41" x14ac:dyDescent="0.2">
      <c r="A144" s="624"/>
      <c r="B144" s="3"/>
      <c r="C144" s="3"/>
      <c r="D144" s="3"/>
      <c r="E144" s="3"/>
      <c r="F144" s="3"/>
      <c r="G144" s="3"/>
      <c r="H144" s="3"/>
      <c r="I144" s="3"/>
      <c r="J144" s="3"/>
      <c r="K144" s="3"/>
      <c r="L144" s="3"/>
      <c r="M144" s="3"/>
      <c r="N144" s="3"/>
      <c r="O144" s="3"/>
      <c r="P144" s="3"/>
      <c r="Q144" s="3"/>
      <c r="R144" s="3"/>
      <c r="S144" s="3"/>
      <c r="T144" s="3"/>
      <c r="U144" s="3"/>
      <c r="W144" s="3"/>
      <c r="X144" s="3"/>
      <c r="Y144" s="3"/>
      <c r="Z144" s="3"/>
      <c r="AA144" s="3"/>
      <c r="AB144" s="3"/>
      <c r="AC144" s="3"/>
      <c r="AD144" s="3"/>
      <c r="AE144" s="3"/>
      <c r="AF144" s="3"/>
      <c r="AG144" s="3"/>
      <c r="AH144" s="3"/>
      <c r="AI144" s="3"/>
      <c r="AJ144" s="3"/>
      <c r="AK144" s="3"/>
      <c r="AL144" s="3"/>
      <c r="AM144" s="3"/>
      <c r="AN144" s="3"/>
      <c r="AO144" s="3"/>
    </row>
    <row r="145" spans="1:41" x14ac:dyDescent="0.2">
      <c r="A145" s="624"/>
      <c r="B145" s="3"/>
      <c r="C145" s="3"/>
      <c r="D145" s="3"/>
      <c r="E145" s="3"/>
      <c r="F145" s="3"/>
      <c r="G145" s="3"/>
      <c r="H145" s="3"/>
      <c r="I145" s="3"/>
      <c r="J145" s="3"/>
      <c r="K145" s="3"/>
      <c r="L145" s="3"/>
      <c r="M145" s="3"/>
      <c r="N145" s="3"/>
      <c r="O145" s="3"/>
      <c r="P145" s="3"/>
      <c r="Q145" s="3"/>
      <c r="R145" s="3"/>
      <c r="S145" s="3"/>
      <c r="T145" s="3"/>
      <c r="U145" s="3"/>
      <c r="W145" s="3"/>
      <c r="X145" s="3"/>
      <c r="Y145" s="3"/>
      <c r="Z145" s="3"/>
      <c r="AA145" s="3"/>
      <c r="AB145" s="3"/>
      <c r="AC145" s="3"/>
      <c r="AD145" s="3"/>
      <c r="AE145" s="3"/>
      <c r="AF145" s="3"/>
      <c r="AG145" s="3"/>
      <c r="AH145" s="3"/>
      <c r="AI145" s="3"/>
      <c r="AJ145" s="3"/>
      <c r="AK145" s="3"/>
      <c r="AL145" s="3"/>
      <c r="AM145" s="3"/>
      <c r="AN145" s="3"/>
      <c r="AO145" s="3"/>
    </row>
    <row r="146" spans="1:41" x14ac:dyDescent="0.2">
      <c r="A146" s="624"/>
      <c r="B146" s="3"/>
      <c r="C146" s="3"/>
      <c r="D146" s="3"/>
      <c r="E146" s="3"/>
      <c r="F146" s="3"/>
      <c r="G146" s="3"/>
      <c r="H146" s="3"/>
      <c r="I146" s="3"/>
      <c r="J146" s="3"/>
      <c r="K146" s="3"/>
      <c r="L146" s="3"/>
      <c r="M146" s="3"/>
      <c r="N146" s="3"/>
      <c r="O146" s="3"/>
      <c r="P146" s="3"/>
      <c r="Q146" s="3"/>
      <c r="R146" s="3"/>
      <c r="S146" s="3"/>
      <c r="T146" s="3"/>
      <c r="U146" s="3"/>
      <c r="W146" s="3"/>
      <c r="X146" s="3"/>
      <c r="Y146" s="3"/>
      <c r="Z146" s="3"/>
      <c r="AA146" s="3"/>
      <c r="AB146" s="3"/>
      <c r="AC146" s="3"/>
      <c r="AD146" s="3"/>
      <c r="AE146" s="3"/>
      <c r="AF146" s="3"/>
      <c r="AG146" s="3"/>
      <c r="AH146" s="3"/>
      <c r="AI146" s="3"/>
      <c r="AJ146" s="3"/>
      <c r="AK146" s="3"/>
      <c r="AL146" s="3"/>
      <c r="AM146" s="3"/>
      <c r="AN146" s="3"/>
      <c r="AO146" s="3"/>
    </row>
    <row r="147" spans="1:41" x14ac:dyDescent="0.2">
      <c r="A147" s="624"/>
      <c r="B147" s="3"/>
      <c r="C147" s="3"/>
      <c r="D147" s="3"/>
      <c r="E147" s="3"/>
      <c r="F147" s="3"/>
      <c r="G147" s="3"/>
      <c r="H147" s="3"/>
      <c r="I147" s="3"/>
      <c r="J147" s="3"/>
      <c r="K147" s="3"/>
      <c r="L147" s="3"/>
      <c r="M147" s="3"/>
      <c r="N147" s="3"/>
      <c r="O147" s="3"/>
      <c r="P147" s="3"/>
      <c r="Q147" s="3"/>
      <c r="R147" s="3"/>
      <c r="S147" s="3"/>
      <c r="T147" s="3"/>
      <c r="U147" s="3"/>
      <c r="W147" s="3"/>
      <c r="X147" s="3"/>
      <c r="Y147" s="3"/>
      <c r="Z147" s="3"/>
      <c r="AA147" s="3"/>
      <c r="AB147" s="3"/>
      <c r="AC147" s="3"/>
      <c r="AD147" s="3"/>
      <c r="AE147" s="3"/>
      <c r="AF147" s="3"/>
      <c r="AG147" s="3"/>
      <c r="AH147" s="3"/>
      <c r="AI147" s="3"/>
      <c r="AJ147" s="3"/>
      <c r="AK147" s="3"/>
      <c r="AL147" s="3"/>
      <c r="AM147" s="3"/>
      <c r="AN147" s="3"/>
      <c r="AO147" s="3"/>
    </row>
    <row r="148" spans="1:41" x14ac:dyDescent="0.2">
      <c r="A148" s="624"/>
      <c r="B148" s="3"/>
      <c r="C148" s="3"/>
      <c r="D148" s="3"/>
      <c r="E148" s="3"/>
      <c r="F148" s="3"/>
      <c r="G148" s="3"/>
      <c r="H148" s="3"/>
      <c r="I148" s="3"/>
      <c r="J148" s="3"/>
      <c r="K148" s="3"/>
      <c r="L148" s="3"/>
      <c r="M148" s="3"/>
      <c r="N148" s="3"/>
      <c r="O148" s="3"/>
      <c r="P148" s="3"/>
      <c r="Q148" s="3"/>
      <c r="R148" s="3"/>
      <c r="S148" s="3"/>
      <c r="T148" s="3"/>
      <c r="U148" s="3"/>
      <c r="W148" s="3"/>
      <c r="X148" s="3"/>
      <c r="Y148" s="3"/>
      <c r="Z148" s="3"/>
      <c r="AA148" s="3"/>
      <c r="AB148" s="3"/>
      <c r="AC148" s="3"/>
      <c r="AD148" s="3"/>
      <c r="AE148" s="3"/>
      <c r="AF148" s="3"/>
      <c r="AG148" s="3"/>
      <c r="AH148" s="3"/>
      <c r="AI148" s="3"/>
      <c r="AJ148" s="3"/>
      <c r="AK148" s="3"/>
      <c r="AL148" s="3"/>
      <c r="AM148" s="3"/>
      <c r="AN148" s="3"/>
      <c r="AO148" s="3"/>
    </row>
    <row r="149" spans="1:41" x14ac:dyDescent="0.2">
      <c r="A149" s="624"/>
      <c r="B149" s="3"/>
      <c r="C149" s="3"/>
      <c r="D149" s="3"/>
      <c r="E149" s="3"/>
      <c r="F149" s="3"/>
      <c r="G149" s="3"/>
      <c r="H149" s="3"/>
      <c r="I149" s="3"/>
      <c r="J149" s="3"/>
      <c r="K149" s="3"/>
      <c r="L149" s="3"/>
      <c r="M149" s="3"/>
      <c r="N149" s="3"/>
      <c r="O149" s="3"/>
      <c r="P149" s="3"/>
      <c r="Q149" s="3"/>
      <c r="R149" s="3"/>
      <c r="S149" s="3"/>
      <c r="T149" s="3"/>
      <c r="U149" s="3"/>
      <c r="W149" s="3"/>
      <c r="X149" s="3"/>
      <c r="Y149" s="3"/>
      <c r="Z149" s="3"/>
      <c r="AA149" s="3"/>
      <c r="AB149" s="3"/>
      <c r="AC149" s="3"/>
      <c r="AD149" s="3"/>
      <c r="AE149" s="3"/>
      <c r="AF149" s="3"/>
      <c r="AG149" s="3"/>
      <c r="AH149" s="3"/>
      <c r="AI149" s="3"/>
      <c r="AJ149" s="3"/>
      <c r="AK149" s="3"/>
      <c r="AL149" s="3"/>
      <c r="AM149" s="3"/>
      <c r="AN149" s="3"/>
      <c r="AO149" s="3"/>
    </row>
    <row r="150" spans="1:41" x14ac:dyDescent="0.2">
      <c r="A150" s="624"/>
      <c r="B150" s="3"/>
      <c r="C150" s="3"/>
      <c r="D150" s="3"/>
      <c r="E150" s="3"/>
      <c r="F150" s="3"/>
      <c r="G150" s="3"/>
      <c r="H150" s="3"/>
      <c r="I150" s="3"/>
      <c r="J150" s="3"/>
      <c r="K150" s="3"/>
      <c r="L150" s="3"/>
      <c r="M150" s="3"/>
      <c r="N150" s="3"/>
      <c r="O150" s="3"/>
      <c r="P150" s="3"/>
      <c r="Q150" s="3"/>
      <c r="R150" s="3"/>
      <c r="S150" s="3"/>
      <c r="T150" s="3"/>
      <c r="U150" s="3"/>
      <c r="W150" s="3"/>
      <c r="X150" s="3"/>
      <c r="Y150" s="3"/>
      <c r="Z150" s="3"/>
      <c r="AA150" s="3"/>
      <c r="AB150" s="3"/>
      <c r="AC150" s="3"/>
      <c r="AD150" s="3"/>
      <c r="AE150" s="3"/>
      <c r="AF150" s="3"/>
      <c r="AG150" s="3"/>
      <c r="AH150" s="3"/>
      <c r="AI150" s="3"/>
      <c r="AJ150" s="3"/>
      <c r="AK150" s="3"/>
      <c r="AL150" s="3"/>
      <c r="AM150" s="3"/>
      <c r="AN150" s="3"/>
      <c r="AO150" s="3"/>
    </row>
    <row r="151" spans="1:41" x14ac:dyDescent="0.2">
      <c r="A151" s="624"/>
      <c r="B151" s="3"/>
      <c r="C151" s="3"/>
      <c r="D151" s="3"/>
      <c r="E151" s="3"/>
      <c r="F151" s="3"/>
      <c r="G151" s="3"/>
      <c r="H151" s="3"/>
      <c r="I151" s="3"/>
      <c r="J151" s="3"/>
      <c r="K151" s="3"/>
      <c r="L151" s="3"/>
      <c r="M151" s="3"/>
      <c r="N151" s="3"/>
      <c r="O151" s="3"/>
      <c r="P151" s="3"/>
      <c r="Q151" s="3"/>
      <c r="R151" s="3"/>
      <c r="S151" s="3"/>
      <c r="T151" s="3"/>
      <c r="U151" s="3"/>
      <c r="W151" s="3"/>
      <c r="X151" s="3"/>
      <c r="Y151" s="3"/>
      <c r="Z151" s="3"/>
      <c r="AA151" s="3"/>
      <c r="AB151" s="3"/>
      <c r="AC151" s="3"/>
      <c r="AD151" s="3"/>
      <c r="AE151" s="3"/>
      <c r="AF151" s="3"/>
      <c r="AG151" s="3"/>
      <c r="AH151" s="3"/>
      <c r="AI151" s="3"/>
      <c r="AJ151" s="3"/>
      <c r="AK151" s="3"/>
      <c r="AL151" s="3"/>
      <c r="AM151" s="3"/>
      <c r="AN151" s="3"/>
      <c r="AO151" s="3"/>
    </row>
    <row r="152" spans="1:41" x14ac:dyDescent="0.2">
      <c r="A152" s="624"/>
      <c r="B152" s="3"/>
      <c r="C152" s="3"/>
      <c r="D152" s="3"/>
      <c r="E152" s="3"/>
      <c r="F152" s="3"/>
      <c r="G152" s="3"/>
      <c r="H152" s="3"/>
      <c r="I152" s="3"/>
      <c r="J152" s="3"/>
      <c r="K152" s="3"/>
      <c r="L152" s="3"/>
      <c r="M152" s="3"/>
      <c r="N152" s="3"/>
      <c r="O152" s="3"/>
      <c r="P152" s="3"/>
      <c r="Q152" s="3"/>
      <c r="R152" s="3"/>
      <c r="S152" s="3"/>
      <c r="T152" s="3"/>
      <c r="U152" s="3"/>
      <c r="W152" s="3"/>
      <c r="X152" s="3"/>
      <c r="Y152" s="3"/>
      <c r="Z152" s="3"/>
      <c r="AA152" s="3"/>
      <c r="AB152" s="3"/>
      <c r="AC152" s="3"/>
      <c r="AD152" s="3"/>
      <c r="AE152" s="3"/>
      <c r="AF152" s="3"/>
      <c r="AG152" s="3"/>
      <c r="AH152" s="3"/>
      <c r="AI152" s="3"/>
      <c r="AJ152" s="3"/>
      <c r="AK152" s="3"/>
      <c r="AL152" s="3"/>
      <c r="AM152" s="3"/>
      <c r="AN152" s="3"/>
      <c r="AO152" s="3"/>
    </row>
    <row r="153" spans="1:41" x14ac:dyDescent="0.2">
      <c r="A153" s="624"/>
      <c r="B153" s="3"/>
      <c r="C153" s="3"/>
      <c r="D153" s="3"/>
      <c r="E153" s="3"/>
      <c r="F153" s="3"/>
      <c r="G153" s="3"/>
      <c r="H153" s="3"/>
      <c r="I153" s="3"/>
      <c r="J153" s="3"/>
      <c r="K153" s="3"/>
      <c r="L153" s="3"/>
      <c r="M153" s="3"/>
      <c r="N153" s="3"/>
      <c r="O153" s="3"/>
      <c r="P153" s="3"/>
      <c r="Q153" s="3"/>
      <c r="R153" s="3"/>
      <c r="S153" s="3"/>
      <c r="T153" s="3"/>
      <c r="U153" s="3"/>
      <c r="W153" s="3"/>
      <c r="X153" s="3"/>
      <c r="Y153" s="3"/>
      <c r="Z153" s="3"/>
      <c r="AA153" s="3"/>
      <c r="AB153" s="3"/>
      <c r="AC153" s="3"/>
      <c r="AD153" s="3"/>
      <c r="AE153" s="3"/>
      <c r="AF153" s="3"/>
      <c r="AG153" s="3"/>
      <c r="AH153" s="3"/>
      <c r="AI153" s="3"/>
      <c r="AJ153" s="3"/>
      <c r="AK153" s="3"/>
      <c r="AL153" s="3"/>
      <c r="AM153" s="3"/>
      <c r="AN153" s="3"/>
      <c r="AO153" s="3"/>
    </row>
    <row r="154" spans="1:41" x14ac:dyDescent="0.2">
      <c r="A154" s="624"/>
      <c r="B154" s="3"/>
      <c r="C154" s="3"/>
      <c r="D154" s="3"/>
      <c r="E154" s="3"/>
      <c r="F154" s="3"/>
      <c r="G154" s="3"/>
      <c r="H154" s="3"/>
      <c r="I154" s="3"/>
      <c r="J154" s="3"/>
      <c r="K154" s="3"/>
      <c r="L154" s="3"/>
      <c r="M154" s="3"/>
      <c r="N154" s="3"/>
      <c r="O154" s="3"/>
      <c r="P154" s="3"/>
      <c r="Q154" s="3"/>
      <c r="R154" s="3"/>
      <c r="S154" s="3"/>
      <c r="T154" s="3"/>
      <c r="U154" s="3"/>
      <c r="W154" s="3"/>
      <c r="X154" s="3"/>
      <c r="Y154" s="3"/>
      <c r="Z154" s="3"/>
      <c r="AA154" s="3"/>
      <c r="AB154" s="3"/>
      <c r="AC154" s="3"/>
      <c r="AD154" s="3"/>
      <c r="AE154" s="3"/>
      <c r="AF154" s="3"/>
      <c r="AG154" s="3"/>
      <c r="AH154" s="3"/>
      <c r="AI154" s="3"/>
      <c r="AJ154" s="3"/>
      <c r="AK154" s="3"/>
      <c r="AL154" s="3"/>
      <c r="AM154" s="3"/>
      <c r="AN154" s="3"/>
      <c r="AO154" s="3"/>
    </row>
    <row r="155" spans="1:41" x14ac:dyDescent="0.2">
      <c r="A155" s="624"/>
      <c r="B155" s="3"/>
      <c r="C155" s="3"/>
      <c r="D155" s="3"/>
      <c r="E155" s="3"/>
      <c r="F155" s="3"/>
      <c r="G155" s="3"/>
      <c r="H155" s="3"/>
      <c r="I155" s="3"/>
      <c r="J155" s="3"/>
      <c r="K155" s="3"/>
      <c r="L155" s="3"/>
      <c r="M155" s="3"/>
      <c r="N155" s="3"/>
      <c r="O155" s="3"/>
      <c r="P155" s="3"/>
      <c r="Q155" s="3"/>
      <c r="R155" s="3"/>
      <c r="S155" s="3"/>
      <c r="T155" s="3"/>
      <c r="U155" s="3"/>
      <c r="W155" s="3"/>
      <c r="X155" s="3"/>
      <c r="Y155" s="3"/>
      <c r="Z155" s="3"/>
      <c r="AA155" s="3"/>
      <c r="AB155" s="3"/>
      <c r="AC155" s="3"/>
      <c r="AD155" s="3"/>
      <c r="AE155" s="3"/>
      <c r="AF155" s="3"/>
      <c r="AG155" s="3"/>
      <c r="AH155" s="3"/>
      <c r="AI155" s="3"/>
      <c r="AJ155" s="3"/>
      <c r="AK155" s="3"/>
      <c r="AL155" s="3"/>
      <c r="AM155" s="3"/>
      <c r="AN155" s="3"/>
      <c r="AO155" s="3"/>
    </row>
    <row r="156" spans="1:41" x14ac:dyDescent="0.2">
      <c r="A156" s="624"/>
      <c r="B156" s="3"/>
      <c r="C156" s="3"/>
      <c r="D156" s="3"/>
      <c r="E156" s="3"/>
      <c r="F156" s="3"/>
      <c r="G156" s="3"/>
      <c r="H156" s="3"/>
      <c r="I156" s="3"/>
      <c r="J156" s="3"/>
      <c r="K156" s="3"/>
      <c r="L156" s="3"/>
      <c r="M156" s="3"/>
      <c r="N156" s="3"/>
      <c r="O156" s="3"/>
      <c r="P156" s="3"/>
      <c r="Q156" s="3"/>
      <c r="R156" s="3"/>
      <c r="S156" s="3"/>
      <c r="T156" s="3"/>
      <c r="U156" s="3"/>
      <c r="W156" s="3"/>
      <c r="X156" s="3"/>
      <c r="Y156" s="3"/>
      <c r="Z156" s="3"/>
      <c r="AA156" s="3"/>
      <c r="AB156" s="3"/>
      <c r="AC156" s="3"/>
      <c r="AD156" s="3"/>
      <c r="AE156" s="3"/>
      <c r="AF156" s="3"/>
      <c r="AG156" s="3"/>
      <c r="AH156" s="3"/>
      <c r="AI156" s="3"/>
      <c r="AJ156" s="3"/>
      <c r="AK156" s="3"/>
      <c r="AL156" s="3"/>
      <c r="AM156" s="3"/>
      <c r="AN156" s="3"/>
      <c r="AO156" s="3"/>
    </row>
    <row r="157" spans="1:41" x14ac:dyDescent="0.2">
      <c r="A157" s="624"/>
      <c r="B157" s="3"/>
      <c r="C157" s="3"/>
      <c r="D157" s="3"/>
      <c r="E157" s="3"/>
      <c r="F157" s="3"/>
      <c r="G157" s="3"/>
      <c r="H157" s="3"/>
      <c r="I157" s="3"/>
      <c r="J157" s="3"/>
      <c r="K157" s="3"/>
      <c r="L157" s="3"/>
      <c r="M157" s="3"/>
      <c r="N157" s="3"/>
      <c r="O157" s="3"/>
      <c r="P157" s="3"/>
      <c r="Q157" s="3"/>
      <c r="R157" s="3"/>
      <c r="S157" s="3"/>
      <c r="T157" s="3"/>
      <c r="U157" s="3"/>
      <c r="W157" s="3"/>
      <c r="X157" s="3"/>
      <c r="Y157" s="3"/>
      <c r="Z157" s="3"/>
      <c r="AA157" s="3"/>
      <c r="AB157" s="3"/>
      <c r="AC157" s="3"/>
      <c r="AD157" s="3"/>
      <c r="AE157" s="3"/>
      <c r="AF157" s="3"/>
      <c r="AG157" s="3"/>
      <c r="AH157" s="3"/>
      <c r="AI157" s="3"/>
      <c r="AJ157" s="3"/>
      <c r="AK157" s="3"/>
      <c r="AL157" s="3"/>
      <c r="AM157" s="3"/>
      <c r="AN157" s="3"/>
      <c r="AO157" s="3"/>
    </row>
    <row r="158" spans="1:41" x14ac:dyDescent="0.2">
      <c r="A158" s="624"/>
      <c r="B158" s="3"/>
      <c r="C158" s="3"/>
      <c r="D158" s="3"/>
      <c r="E158" s="3"/>
      <c r="F158" s="3"/>
      <c r="G158" s="3"/>
      <c r="H158" s="3"/>
      <c r="I158" s="3"/>
      <c r="J158" s="3"/>
      <c r="K158" s="3"/>
      <c r="L158" s="3"/>
      <c r="M158" s="3"/>
      <c r="N158" s="3"/>
      <c r="O158" s="3"/>
      <c r="P158" s="3"/>
      <c r="Q158" s="3"/>
      <c r="R158" s="3"/>
      <c r="S158" s="3"/>
      <c r="T158" s="3"/>
      <c r="U158" s="3"/>
      <c r="W158" s="3"/>
      <c r="X158" s="3"/>
      <c r="Y158" s="3"/>
      <c r="Z158" s="3"/>
      <c r="AA158" s="3"/>
      <c r="AB158" s="3"/>
      <c r="AC158" s="3"/>
      <c r="AD158" s="3"/>
      <c r="AE158" s="3"/>
      <c r="AF158" s="3"/>
      <c r="AG158" s="3"/>
      <c r="AH158" s="3"/>
      <c r="AI158" s="3"/>
      <c r="AJ158" s="3"/>
      <c r="AK158" s="3"/>
      <c r="AL158" s="3"/>
      <c r="AM158" s="3"/>
      <c r="AN158" s="3"/>
      <c r="AO158" s="3"/>
    </row>
    <row r="159" spans="1:41" x14ac:dyDescent="0.2">
      <c r="A159" s="624"/>
      <c r="B159" s="3"/>
      <c r="C159" s="3"/>
      <c r="D159" s="3"/>
      <c r="E159" s="3"/>
      <c r="F159" s="3"/>
      <c r="G159" s="3"/>
      <c r="H159" s="3"/>
      <c r="I159" s="3"/>
      <c r="J159" s="3"/>
      <c r="K159" s="3"/>
      <c r="L159" s="3"/>
      <c r="M159" s="3"/>
      <c r="N159" s="3"/>
      <c r="O159" s="3"/>
      <c r="P159" s="3"/>
      <c r="Q159" s="3"/>
      <c r="R159" s="3"/>
      <c r="S159" s="3"/>
      <c r="T159" s="3"/>
      <c r="U159" s="3"/>
      <c r="W159" s="3"/>
      <c r="X159" s="3"/>
      <c r="Y159" s="3"/>
      <c r="Z159" s="3"/>
      <c r="AA159" s="3"/>
      <c r="AB159" s="3"/>
      <c r="AC159" s="3"/>
      <c r="AD159" s="3"/>
      <c r="AE159" s="3"/>
      <c r="AF159" s="3"/>
      <c r="AG159" s="3"/>
      <c r="AH159" s="3"/>
      <c r="AI159" s="3"/>
      <c r="AJ159" s="3"/>
      <c r="AK159" s="3"/>
      <c r="AL159" s="3"/>
      <c r="AM159" s="3"/>
      <c r="AN159" s="3"/>
      <c r="AO159" s="3"/>
    </row>
    <row r="160" spans="1:41" x14ac:dyDescent="0.2">
      <c r="A160" s="624"/>
      <c r="B160" s="3"/>
      <c r="C160" s="3"/>
      <c r="D160" s="3"/>
      <c r="E160" s="3"/>
      <c r="F160" s="3"/>
      <c r="G160" s="3"/>
      <c r="H160" s="3"/>
      <c r="I160" s="3"/>
      <c r="J160" s="3"/>
      <c r="K160" s="3"/>
      <c r="L160" s="3"/>
      <c r="M160" s="3"/>
      <c r="N160" s="3"/>
      <c r="O160" s="3"/>
      <c r="P160" s="3"/>
      <c r="Q160" s="3"/>
      <c r="R160" s="3"/>
      <c r="S160" s="3"/>
      <c r="T160" s="3"/>
      <c r="U160" s="3"/>
      <c r="W160" s="3"/>
      <c r="X160" s="3"/>
      <c r="Y160" s="3"/>
      <c r="Z160" s="3"/>
      <c r="AA160" s="3"/>
      <c r="AB160" s="3"/>
      <c r="AC160" s="3"/>
      <c r="AD160" s="3"/>
      <c r="AE160" s="3"/>
      <c r="AF160" s="3"/>
      <c r="AG160" s="3"/>
      <c r="AH160" s="3"/>
      <c r="AI160" s="3"/>
      <c r="AJ160" s="3"/>
      <c r="AK160" s="3"/>
      <c r="AL160" s="3"/>
      <c r="AM160" s="3"/>
      <c r="AN160" s="3"/>
      <c r="AO160" s="3"/>
    </row>
    <row r="161" spans="1:41" x14ac:dyDescent="0.2">
      <c r="A161" s="624"/>
      <c r="B161" s="3"/>
      <c r="C161" s="3"/>
      <c r="D161" s="3"/>
      <c r="E161" s="3"/>
      <c r="F161" s="3"/>
      <c r="G161" s="3"/>
      <c r="H161" s="3"/>
      <c r="I161" s="3"/>
      <c r="J161" s="3"/>
      <c r="K161" s="3"/>
      <c r="L161" s="3"/>
      <c r="M161" s="3"/>
      <c r="N161" s="3"/>
      <c r="O161" s="3"/>
      <c r="P161" s="3"/>
      <c r="Q161" s="3"/>
      <c r="R161" s="3"/>
      <c r="S161" s="3"/>
      <c r="T161" s="3"/>
      <c r="U161" s="3"/>
      <c r="W161" s="3"/>
      <c r="X161" s="3"/>
      <c r="Y161" s="3"/>
      <c r="Z161" s="3"/>
      <c r="AA161" s="3"/>
      <c r="AB161" s="3"/>
      <c r="AC161" s="3"/>
      <c r="AD161" s="3"/>
      <c r="AE161" s="3"/>
      <c r="AF161" s="3"/>
      <c r="AG161" s="3"/>
      <c r="AH161" s="3"/>
      <c r="AI161" s="3"/>
      <c r="AJ161" s="3"/>
      <c r="AK161" s="3"/>
      <c r="AL161" s="3"/>
      <c r="AM161" s="3"/>
      <c r="AN161" s="3"/>
      <c r="AO161" s="3"/>
    </row>
    <row r="162" spans="1:41" x14ac:dyDescent="0.2">
      <c r="A162" s="624"/>
      <c r="B162" s="3"/>
      <c r="C162" s="3"/>
      <c r="D162" s="3"/>
      <c r="E162" s="3"/>
      <c r="F162" s="3"/>
      <c r="G162" s="3"/>
      <c r="H162" s="3"/>
      <c r="I162" s="3"/>
      <c r="J162" s="3"/>
      <c r="K162" s="3"/>
      <c r="L162" s="3"/>
      <c r="M162" s="3"/>
      <c r="N162" s="3"/>
      <c r="O162" s="3"/>
      <c r="P162" s="3"/>
      <c r="Q162" s="3"/>
      <c r="R162" s="3"/>
      <c r="S162" s="3"/>
      <c r="T162" s="3"/>
      <c r="U162" s="3"/>
      <c r="W162" s="3"/>
      <c r="X162" s="3"/>
      <c r="Y162" s="3"/>
      <c r="Z162" s="3"/>
      <c r="AA162" s="3"/>
      <c r="AB162" s="3"/>
      <c r="AC162" s="3"/>
      <c r="AD162" s="3"/>
      <c r="AE162" s="3"/>
      <c r="AF162" s="3"/>
      <c r="AG162" s="3"/>
      <c r="AH162" s="3"/>
      <c r="AI162" s="3"/>
      <c r="AJ162" s="3"/>
      <c r="AK162" s="3"/>
      <c r="AL162" s="3"/>
      <c r="AM162" s="3"/>
      <c r="AN162" s="3"/>
      <c r="AO162" s="3"/>
    </row>
    <row r="163" spans="1:41" x14ac:dyDescent="0.2">
      <c r="A163" s="624"/>
      <c r="B163" s="3"/>
      <c r="C163" s="3"/>
      <c r="D163" s="3"/>
      <c r="E163" s="3"/>
      <c r="F163" s="3"/>
      <c r="G163" s="3"/>
      <c r="H163" s="3"/>
      <c r="I163" s="3"/>
      <c r="J163" s="3"/>
      <c r="K163" s="3"/>
      <c r="L163" s="3"/>
      <c r="M163" s="3"/>
      <c r="N163" s="3"/>
      <c r="O163" s="3"/>
      <c r="P163" s="3"/>
      <c r="Q163" s="3"/>
      <c r="R163" s="3"/>
      <c r="S163" s="3"/>
      <c r="T163" s="3"/>
      <c r="U163" s="3"/>
      <c r="W163" s="3"/>
      <c r="X163" s="3"/>
      <c r="Y163" s="3"/>
      <c r="Z163" s="3"/>
      <c r="AA163" s="3"/>
      <c r="AB163" s="3"/>
      <c r="AC163" s="3"/>
      <c r="AD163" s="3"/>
      <c r="AE163" s="3"/>
      <c r="AF163" s="3"/>
      <c r="AG163" s="3"/>
      <c r="AH163" s="3"/>
      <c r="AI163" s="3"/>
      <c r="AJ163" s="3"/>
      <c r="AK163" s="3"/>
      <c r="AL163" s="3"/>
      <c r="AM163" s="3"/>
      <c r="AN163" s="3"/>
      <c r="AO163" s="3"/>
    </row>
    <row r="164" spans="1:41" x14ac:dyDescent="0.2">
      <c r="A164" s="624"/>
      <c r="B164" s="3"/>
      <c r="C164" s="3"/>
      <c r="D164" s="3"/>
      <c r="E164" s="3"/>
      <c r="F164" s="3"/>
      <c r="G164" s="3"/>
      <c r="H164" s="3"/>
      <c r="I164" s="3"/>
      <c r="J164" s="3"/>
      <c r="K164" s="3"/>
      <c r="L164" s="3"/>
      <c r="M164" s="3"/>
      <c r="N164" s="3"/>
      <c r="O164" s="3"/>
      <c r="P164" s="3"/>
      <c r="Q164" s="3"/>
      <c r="R164" s="3"/>
      <c r="S164" s="3"/>
      <c r="T164" s="3"/>
      <c r="U164" s="3"/>
      <c r="W164" s="3"/>
      <c r="X164" s="3"/>
      <c r="Y164" s="3"/>
      <c r="Z164" s="3"/>
      <c r="AA164" s="3"/>
      <c r="AB164" s="3"/>
      <c r="AC164" s="3"/>
      <c r="AD164" s="3"/>
      <c r="AE164" s="3"/>
      <c r="AF164" s="3"/>
      <c r="AG164" s="3"/>
      <c r="AH164" s="3"/>
      <c r="AI164" s="3"/>
      <c r="AJ164" s="3"/>
      <c r="AK164" s="3"/>
      <c r="AL164" s="3"/>
      <c r="AM164" s="3"/>
      <c r="AN164" s="3"/>
      <c r="AO164" s="3"/>
    </row>
    <row r="165" spans="1:41" x14ac:dyDescent="0.2">
      <c r="A165" s="624"/>
      <c r="B165" s="3"/>
      <c r="C165" s="3"/>
      <c r="D165" s="3"/>
      <c r="E165" s="3"/>
      <c r="F165" s="3"/>
      <c r="G165" s="3"/>
      <c r="H165" s="3"/>
      <c r="I165" s="3"/>
      <c r="J165" s="3"/>
      <c r="K165" s="3"/>
      <c r="L165" s="3"/>
      <c r="M165" s="3"/>
      <c r="N165" s="3"/>
      <c r="O165" s="3"/>
      <c r="P165" s="3"/>
      <c r="Q165" s="3"/>
      <c r="R165" s="3"/>
      <c r="S165" s="3"/>
      <c r="T165" s="3"/>
      <c r="U165" s="3"/>
      <c r="W165" s="3"/>
      <c r="X165" s="3"/>
      <c r="Y165" s="3"/>
      <c r="Z165" s="3"/>
      <c r="AA165" s="3"/>
      <c r="AB165" s="3"/>
      <c r="AC165" s="3"/>
      <c r="AD165" s="3"/>
      <c r="AE165" s="3"/>
      <c r="AF165" s="3"/>
      <c r="AG165" s="3"/>
      <c r="AH165" s="3"/>
      <c r="AI165" s="3"/>
      <c r="AJ165" s="3"/>
      <c r="AK165" s="3"/>
      <c r="AL165" s="3"/>
      <c r="AM165" s="3"/>
      <c r="AN165" s="3"/>
      <c r="AO165" s="3"/>
    </row>
    <row r="166" spans="1:41" x14ac:dyDescent="0.2">
      <c r="A166" s="624"/>
      <c r="B166" s="3"/>
      <c r="C166" s="3"/>
      <c r="D166" s="3"/>
      <c r="E166" s="3"/>
      <c r="F166" s="3"/>
      <c r="G166" s="3"/>
      <c r="H166" s="3"/>
      <c r="I166" s="3"/>
      <c r="J166" s="3"/>
      <c r="K166" s="3"/>
      <c r="L166" s="3"/>
      <c r="M166" s="3"/>
      <c r="N166" s="3"/>
      <c r="O166" s="3"/>
      <c r="P166" s="3"/>
      <c r="Q166" s="3"/>
      <c r="R166" s="3"/>
      <c r="S166" s="3"/>
      <c r="T166" s="3"/>
      <c r="U166" s="3"/>
      <c r="W166" s="3"/>
      <c r="X166" s="3"/>
      <c r="Y166" s="3"/>
      <c r="Z166" s="3"/>
      <c r="AA166" s="3"/>
      <c r="AB166" s="3"/>
      <c r="AC166" s="3"/>
      <c r="AD166" s="3"/>
      <c r="AE166" s="3"/>
      <c r="AF166" s="3"/>
      <c r="AG166" s="3"/>
      <c r="AH166" s="3"/>
      <c r="AI166" s="3"/>
      <c r="AJ166" s="3"/>
      <c r="AK166" s="3"/>
      <c r="AL166" s="3"/>
      <c r="AM166" s="3"/>
      <c r="AN166" s="3"/>
      <c r="AO166" s="3"/>
    </row>
    <row r="167" spans="1:41" x14ac:dyDescent="0.2">
      <c r="A167" s="624"/>
      <c r="B167" s="3"/>
      <c r="C167" s="3"/>
      <c r="D167" s="3"/>
      <c r="E167" s="3"/>
      <c r="F167" s="3"/>
      <c r="G167" s="3"/>
      <c r="H167" s="3"/>
      <c r="I167" s="3"/>
      <c r="J167" s="3"/>
      <c r="K167" s="3"/>
      <c r="L167" s="3"/>
      <c r="M167" s="3"/>
      <c r="N167" s="3"/>
      <c r="O167" s="3"/>
      <c r="P167" s="3"/>
      <c r="Q167" s="3"/>
      <c r="R167" s="3"/>
      <c r="S167" s="3"/>
      <c r="T167" s="3"/>
      <c r="U167" s="3"/>
      <c r="W167" s="3"/>
      <c r="X167" s="3"/>
      <c r="Y167" s="3"/>
      <c r="Z167" s="3"/>
      <c r="AA167" s="3"/>
      <c r="AB167" s="3"/>
      <c r="AC167" s="3"/>
      <c r="AD167" s="3"/>
      <c r="AE167" s="3"/>
      <c r="AF167" s="3"/>
      <c r="AG167" s="3"/>
      <c r="AH167" s="3"/>
      <c r="AI167" s="3"/>
      <c r="AJ167" s="3"/>
      <c r="AK167" s="3"/>
      <c r="AL167" s="3"/>
      <c r="AM167" s="3"/>
      <c r="AN167" s="3"/>
      <c r="AO167" s="3"/>
    </row>
    <row r="168" spans="1:41" x14ac:dyDescent="0.2">
      <c r="A168" s="624"/>
      <c r="B168" s="3"/>
      <c r="C168" s="3"/>
      <c r="D168" s="3"/>
      <c r="E168" s="3"/>
      <c r="F168" s="3"/>
      <c r="G168" s="3"/>
      <c r="H168" s="3"/>
      <c r="I168" s="3"/>
      <c r="J168" s="3"/>
      <c r="K168" s="3"/>
      <c r="L168" s="3"/>
      <c r="M168" s="3"/>
      <c r="N168" s="3"/>
      <c r="O168" s="3"/>
      <c r="P168" s="3"/>
      <c r="Q168" s="3"/>
      <c r="R168" s="3"/>
      <c r="S168" s="3"/>
      <c r="T168" s="3"/>
      <c r="U168" s="3"/>
      <c r="W168" s="3"/>
      <c r="X168" s="3"/>
      <c r="Y168" s="3"/>
      <c r="Z168" s="3"/>
      <c r="AA168" s="3"/>
      <c r="AB168" s="3"/>
      <c r="AC168" s="3"/>
      <c r="AD168" s="3"/>
      <c r="AE168" s="3"/>
      <c r="AF168" s="3"/>
      <c r="AG168" s="3"/>
      <c r="AH168" s="3"/>
      <c r="AI168" s="3"/>
      <c r="AJ168" s="3"/>
      <c r="AK168" s="3"/>
      <c r="AL168" s="3"/>
      <c r="AM168" s="3"/>
      <c r="AN168" s="3"/>
      <c r="AO168" s="3"/>
    </row>
    <row r="169" spans="1:41" x14ac:dyDescent="0.2">
      <c r="A169" s="624"/>
      <c r="B169" s="3"/>
      <c r="C169" s="3"/>
      <c r="D169" s="3"/>
      <c r="E169" s="3"/>
      <c r="F169" s="3"/>
      <c r="G169" s="3"/>
      <c r="H169" s="3"/>
      <c r="I169" s="3"/>
      <c r="J169" s="3"/>
      <c r="K169" s="3"/>
      <c r="L169" s="3"/>
      <c r="M169" s="3"/>
      <c r="N169" s="3"/>
      <c r="O169" s="3"/>
      <c r="P169" s="3"/>
      <c r="Q169" s="3"/>
      <c r="R169" s="3"/>
      <c r="S169" s="3"/>
      <c r="T169" s="3"/>
      <c r="U169" s="3"/>
      <c r="W169" s="3"/>
      <c r="X169" s="3"/>
      <c r="Y169" s="3"/>
      <c r="Z169" s="3"/>
      <c r="AA169" s="3"/>
      <c r="AB169" s="3"/>
      <c r="AC169" s="3"/>
      <c r="AD169" s="3"/>
      <c r="AE169" s="3"/>
      <c r="AF169" s="3"/>
      <c r="AG169" s="3"/>
      <c r="AH169" s="3"/>
      <c r="AI169" s="3"/>
      <c r="AJ169" s="3"/>
      <c r="AK169" s="3"/>
      <c r="AL169" s="3"/>
      <c r="AM169" s="3"/>
      <c r="AN169" s="3"/>
      <c r="AO169" s="3"/>
    </row>
    <row r="170" spans="1:41" x14ac:dyDescent="0.2">
      <c r="A170" s="624"/>
      <c r="B170" s="3"/>
      <c r="C170" s="3"/>
      <c r="D170" s="3"/>
      <c r="E170" s="3"/>
      <c r="F170" s="3"/>
      <c r="G170" s="3"/>
      <c r="H170" s="3"/>
      <c r="I170" s="3"/>
      <c r="J170" s="3"/>
      <c r="K170" s="3"/>
      <c r="L170" s="3"/>
      <c r="M170" s="3"/>
      <c r="N170" s="3"/>
      <c r="O170" s="3"/>
      <c r="P170" s="3"/>
      <c r="Q170" s="3"/>
      <c r="R170" s="3"/>
      <c r="S170" s="3"/>
      <c r="T170" s="3"/>
      <c r="U170" s="3"/>
      <c r="W170" s="3"/>
      <c r="X170" s="3"/>
      <c r="Y170" s="3"/>
      <c r="Z170" s="3"/>
      <c r="AA170" s="3"/>
      <c r="AB170" s="3"/>
      <c r="AC170" s="3"/>
      <c r="AD170" s="3"/>
      <c r="AE170" s="3"/>
      <c r="AF170" s="3"/>
      <c r="AG170" s="3"/>
      <c r="AH170" s="3"/>
      <c r="AI170" s="3"/>
      <c r="AJ170" s="3"/>
      <c r="AK170" s="3"/>
      <c r="AL170" s="3"/>
      <c r="AM170" s="3"/>
      <c r="AN170" s="3"/>
      <c r="AO170" s="3"/>
    </row>
    <row r="171" spans="1:41" x14ac:dyDescent="0.2">
      <c r="A171" s="624"/>
      <c r="B171" s="3"/>
      <c r="C171" s="3"/>
      <c r="D171" s="3"/>
      <c r="E171" s="3"/>
      <c r="F171" s="3"/>
      <c r="G171" s="3"/>
      <c r="H171" s="3"/>
      <c r="I171" s="3"/>
      <c r="J171" s="3"/>
      <c r="K171" s="3"/>
      <c r="L171" s="3"/>
      <c r="M171" s="3"/>
      <c r="N171" s="3"/>
      <c r="O171" s="3"/>
      <c r="P171" s="3"/>
      <c r="Q171" s="3"/>
      <c r="R171" s="3"/>
      <c r="S171" s="3"/>
      <c r="T171" s="3"/>
      <c r="U171" s="3"/>
      <c r="W171" s="3"/>
      <c r="X171" s="3"/>
      <c r="Y171" s="3"/>
      <c r="Z171" s="3"/>
      <c r="AA171" s="3"/>
      <c r="AB171" s="3"/>
      <c r="AC171" s="3"/>
      <c r="AD171" s="3"/>
      <c r="AE171" s="3"/>
      <c r="AF171" s="3"/>
      <c r="AG171" s="3"/>
      <c r="AH171" s="3"/>
      <c r="AI171" s="3"/>
      <c r="AJ171" s="3"/>
      <c r="AK171" s="3"/>
      <c r="AL171" s="3"/>
      <c r="AM171" s="3"/>
      <c r="AN171" s="3"/>
      <c r="AO171" s="3"/>
    </row>
    <row r="172" spans="1:41" x14ac:dyDescent="0.2">
      <c r="A172" s="624"/>
      <c r="B172" s="3"/>
      <c r="C172" s="3"/>
      <c r="D172" s="3"/>
      <c r="E172" s="3"/>
      <c r="F172" s="3"/>
      <c r="G172" s="3"/>
      <c r="H172" s="3"/>
      <c r="I172" s="3"/>
      <c r="J172" s="3"/>
      <c r="K172" s="3"/>
      <c r="L172" s="3"/>
      <c r="M172" s="3"/>
      <c r="N172" s="3"/>
      <c r="O172" s="3"/>
      <c r="P172" s="3"/>
      <c r="Q172" s="3"/>
      <c r="R172" s="3"/>
      <c r="S172" s="3"/>
      <c r="T172" s="3"/>
      <c r="U172" s="3"/>
      <c r="W172" s="3"/>
      <c r="X172" s="3"/>
      <c r="Y172" s="3"/>
      <c r="Z172" s="3"/>
      <c r="AA172" s="3"/>
      <c r="AB172" s="3"/>
      <c r="AC172" s="3"/>
      <c r="AD172" s="3"/>
      <c r="AE172" s="3"/>
      <c r="AF172" s="3"/>
      <c r="AG172" s="3"/>
      <c r="AH172" s="3"/>
      <c r="AI172" s="3"/>
      <c r="AJ172" s="3"/>
      <c r="AK172" s="3"/>
      <c r="AL172" s="3"/>
      <c r="AM172" s="3"/>
      <c r="AN172" s="3"/>
      <c r="AO172" s="3"/>
    </row>
    <row r="173" spans="1:41" x14ac:dyDescent="0.2">
      <c r="A173" s="624"/>
      <c r="B173" s="3"/>
      <c r="C173" s="3"/>
      <c r="D173" s="3"/>
      <c r="E173" s="3"/>
      <c r="F173" s="3"/>
      <c r="G173" s="3"/>
      <c r="H173" s="3"/>
      <c r="I173" s="3"/>
      <c r="J173" s="3"/>
      <c r="K173" s="3"/>
      <c r="L173" s="3"/>
      <c r="M173" s="3"/>
      <c r="N173" s="3"/>
      <c r="O173" s="3"/>
      <c r="P173" s="3"/>
      <c r="Q173" s="3"/>
      <c r="R173" s="3"/>
      <c r="S173" s="3"/>
      <c r="T173" s="3"/>
      <c r="U173" s="3"/>
      <c r="W173" s="3"/>
      <c r="X173" s="3"/>
      <c r="Y173" s="3"/>
      <c r="Z173" s="3"/>
      <c r="AA173" s="3"/>
      <c r="AB173" s="3"/>
      <c r="AC173" s="3"/>
      <c r="AD173" s="3"/>
      <c r="AE173" s="3"/>
      <c r="AF173" s="3"/>
      <c r="AG173" s="3"/>
      <c r="AH173" s="3"/>
      <c r="AI173" s="3"/>
      <c r="AJ173" s="3"/>
      <c r="AK173" s="3"/>
      <c r="AL173" s="3"/>
      <c r="AM173" s="3"/>
      <c r="AN173" s="3"/>
      <c r="AO173" s="3"/>
    </row>
    <row r="174" spans="1:41" x14ac:dyDescent="0.2">
      <c r="A174" s="624"/>
      <c r="B174" s="3"/>
      <c r="C174" s="3"/>
      <c r="D174" s="3"/>
      <c r="E174" s="3"/>
      <c r="F174" s="3"/>
      <c r="G174" s="3"/>
      <c r="H174" s="3"/>
      <c r="I174" s="3"/>
      <c r="J174" s="3"/>
      <c r="K174" s="3"/>
      <c r="L174" s="3"/>
      <c r="M174" s="3"/>
      <c r="N174" s="3"/>
      <c r="O174" s="3"/>
      <c r="P174" s="3"/>
      <c r="Q174" s="3"/>
      <c r="R174" s="3"/>
      <c r="S174" s="3"/>
      <c r="T174" s="3"/>
      <c r="U174" s="3"/>
      <c r="W174" s="3"/>
      <c r="X174" s="3"/>
      <c r="Y174" s="3"/>
      <c r="Z174" s="3"/>
      <c r="AA174" s="3"/>
      <c r="AB174" s="3"/>
      <c r="AC174" s="3"/>
      <c r="AD174" s="3"/>
      <c r="AE174" s="3"/>
      <c r="AF174" s="3"/>
      <c r="AG174" s="3"/>
      <c r="AH174" s="3"/>
      <c r="AI174" s="3"/>
      <c r="AJ174" s="3"/>
      <c r="AK174" s="3"/>
      <c r="AL174" s="3"/>
      <c r="AM174" s="3"/>
      <c r="AN174" s="3"/>
      <c r="AO174" s="3"/>
    </row>
    <row r="175" spans="1:41" x14ac:dyDescent="0.2">
      <c r="A175" s="624"/>
      <c r="B175" s="3"/>
      <c r="C175" s="3"/>
      <c r="D175" s="3"/>
      <c r="E175" s="3"/>
      <c r="F175" s="3"/>
      <c r="G175" s="3"/>
      <c r="H175" s="3"/>
      <c r="I175" s="3"/>
      <c r="J175" s="3"/>
      <c r="K175" s="3"/>
      <c r="L175" s="3"/>
      <c r="M175" s="3"/>
      <c r="N175" s="3"/>
      <c r="O175" s="3"/>
      <c r="P175" s="3"/>
      <c r="Q175" s="3"/>
      <c r="R175" s="3"/>
      <c r="S175" s="3"/>
      <c r="T175" s="3"/>
      <c r="U175" s="3"/>
      <c r="W175" s="3"/>
      <c r="X175" s="3"/>
      <c r="Y175" s="3"/>
      <c r="Z175" s="3"/>
      <c r="AA175" s="3"/>
      <c r="AB175" s="3"/>
      <c r="AC175" s="3"/>
      <c r="AD175" s="3"/>
      <c r="AE175" s="3"/>
      <c r="AF175" s="3"/>
      <c r="AG175" s="3"/>
      <c r="AH175" s="3"/>
      <c r="AI175" s="3"/>
      <c r="AJ175" s="3"/>
      <c r="AK175" s="3"/>
      <c r="AL175" s="3"/>
      <c r="AM175" s="3"/>
      <c r="AN175" s="3"/>
      <c r="AO175" s="3"/>
    </row>
    <row r="176" spans="1:41" x14ac:dyDescent="0.2">
      <c r="A176" s="624"/>
      <c r="B176" s="3"/>
      <c r="C176" s="3"/>
      <c r="D176" s="3"/>
      <c r="E176" s="3"/>
      <c r="F176" s="3"/>
      <c r="G176" s="3"/>
      <c r="H176" s="3"/>
      <c r="I176" s="3"/>
      <c r="J176" s="3"/>
      <c r="K176" s="3"/>
      <c r="L176" s="3"/>
      <c r="M176" s="3"/>
      <c r="N176" s="3"/>
      <c r="O176" s="3"/>
      <c r="P176" s="3"/>
      <c r="Q176" s="3"/>
      <c r="R176" s="3"/>
      <c r="S176" s="3"/>
      <c r="T176" s="3"/>
      <c r="U176" s="3"/>
      <c r="W176" s="3"/>
      <c r="X176" s="3"/>
      <c r="Y176" s="3"/>
      <c r="Z176" s="3"/>
      <c r="AA176" s="3"/>
      <c r="AB176" s="3"/>
      <c r="AC176" s="3"/>
      <c r="AD176" s="3"/>
      <c r="AE176" s="3"/>
      <c r="AF176" s="3"/>
      <c r="AG176" s="3"/>
      <c r="AH176" s="3"/>
      <c r="AI176" s="3"/>
      <c r="AJ176" s="3"/>
      <c r="AK176" s="3"/>
      <c r="AL176" s="3"/>
      <c r="AM176" s="3"/>
      <c r="AN176" s="3"/>
      <c r="AO176" s="3"/>
    </row>
    <row r="177" spans="1:41" x14ac:dyDescent="0.2">
      <c r="A177" s="624"/>
      <c r="B177" s="3"/>
      <c r="C177" s="3"/>
      <c r="D177" s="3"/>
      <c r="E177" s="3"/>
      <c r="F177" s="3"/>
      <c r="G177" s="3"/>
      <c r="H177" s="3"/>
      <c r="I177" s="3"/>
      <c r="J177" s="3"/>
      <c r="K177" s="3"/>
      <c r="L177" s="3"/>
      <c r="M177" s="3"/>
      <c r="N177" s="3"/>
      <c r="O177" s="3"/>
      <c r="P177" s="3"/>
      <c r="Q177" s="3"/>
      <c r="R177" s="3"/>
      <c r="S177" s="3"/>
      <c r="T177" s="3"/>
      <c r="U177" s="3"/>
      <c r="W177" s="3"/>
      <c r="X177" s="3"/>
      <c r="Y177" s="3"/>
      <c r="Z177" s="3"/>
      <c r="AA177" s="3"/>
      <c r="AB177" s="3"/>
      <c r="AC177" s="3"/>
      <c r="AD177" s="3"/>
      <c r="AE177" s="3"/>
      <c r="AF177" s="3"/>
      <c r="AG177" s="3"/>
      <c r="AH177" s="3"/>
      <c r="AI177" s="3"/>
      <c r="AJ177" s="3"/>
      <c r="AK177" s="3"/>
      <c r="AL177" s="3"/>
      <c r="AM177" s="3"/>
      <c r="AN177" s="3"/>
      <c r="AO177" s="3"/>
    </row>
    <row r="178" spans="1:41" x14ac:dyDescent="0.2">
      <c r="A178" s="624"/>
      <c r="B178" s="3"/>
      <c r="C178" s="3"/>
      <c r="D178" s="3"/>
      <c r="E178" s="3"/>
      <c r="F178" s="3"/>
      <c r="G178" s="3"/>
      <c r="H178" s="3"/>
      <c r="I178" s="3"/>
      <c r="J178" s="3"/>
      <c r="K178" s="3"/>
      <c r="L178" s="3"/>
      <c r="M178" s="3"/>
      <c r="N178" s="3"/>
      <c r="O178" s="3"/>
      <c r="P178" s="3"/>
      <c r="Q178" s="3"/>
      <c r="R178" s="3"/>
      <c r="S178" s="3"/>
      <c r="T178" s="3"/>
      <c r="U178" s="3"/>
      <c r="W178" s="3"/>
      <c r="X178" s="3"/>
      <c r="Y178" s="3"/>
      <c r="Z178" s="3"/>
      <c r="AA178" s="3"/>
      <c r="AB178" s="3"/>
      <c r="AC178" s="3"/>
      <c r="AD178" s="3"/>
      <c r="AE178" s="3"/>
      <c r="AF178" s="3"/>
      <c r="AG178" s="3"/>
      <c r="AH178" s="3"/>
      <c r="AI178" s="3"/>
      <c r="AJ178" s="3"/>
      <c r="AK178" s="3"/>
      <c r="AL178" s="3"/>
      <c r="AM178" s="3"/>
      <c r="AN178" s="3"/>
      <c r="AO178" s="3"/>
    </row>
    <row r="179" spans="1:41" x14ac:dyDescent="0.2">
      <c r="A179" s="624"/>
      <c r="B179" s="3"/>
      <c r="C179" s="3"/>
      <c r="D179" s="3"/>
      <c r="E179" s="3"/>
      <c r="F179" s="3"/>
      <c r="G179" s="3"/>
      <c r="H179" s="3"/>
      <c r="I179" s="3"/>
      <c r="J179" s="3"/>
      <c r="K179" s="3"/>
      <c r="L179" s="3"/>
      <c r="M179" s="3"/>
      <c r="N179" s="3"/>
      <c r="O179" s="3"/>
      <c r="P179" s="3"/>
      <c r="Q179" s="3"/>
      <c r="R179" s="3"/>
      <c r="S179" s="3"/>
      <c r="T179" s="3"/>
      <c r="U179" s="3"/>
      <c r="W179" s="3"/>
      <c r="X179" s="3"/>
      <c r="Y179" s="3"/>
      <c r="Z179" s="3"/>
      <c r="AA179" s="3"/>
      <c r="AB179" s="3"/>
      <c r="AC179" s="3"/>
      <c r="AD179" s="3"/>
      <c r="AE179" s="3"/>
      <c r="AF179" s="3"/>
      <c r="AG179" s="3"/>
      <c r="AH179" s="3"/>
      <c r="AI179" s="3"/>
      <c r="AJ179" s="3"/>
      <c r="AK179" s="3"/>
      <c r="AL179" s="3"/>
      <c r="AM179" s="3"/>
      <c r="AN179" s="3"/>
      <c r="AO179" s="3"/>
    </row>
    <row r="180" spans="1:41" x14ac:dyDescent="0.2">
      <c r="A180" s="624"/>
      <c r="B180" s="3"/>
      <c r="C180" s="3"/>
      <c r="D180" s="3"/>
      <c r="E180" s="3"/>
      <c r="F180" s="3"/>
      <c r="G180" s="3"/>
      <c r="H180" s="3"/>
      <c r="I180" s="3"/>
      <c r="J180" s="3"/>
      <c r="K180" s="3"/>
      <c r="L180" s="3"/>
      <c r="M180" s="3"/>
      <c r="N180" s="3"/>
      <c r="O180" s="3"/>
      <c r="P180" s="3"/>
      <c r="Q180" s="3"/>
      <c r="R180" s="3"/>
      <c r="S180" s="3"/>
      <c r="T180" s="3"/>
      <c r="U180" s="3"/>
      <c r="W180" s="3"/>
      <c r="X180" s="3"/>
      <c r="Y180" s="3"/>
      <c r="Z180" s="3"/>
      <c r="AA180" s="3"/>
      <c r="AB180" s="3"/>
      <c r="AC180" s="3"/>
      <c r="AD180" s="3"/>
      <c r="AE180" s="3"/>
      <c r="AF180" s="3"/>
      <c r="AG180" s="3"/>
      <c r="AH180" s="3"/>
      <c r="AI180" s="3"/>
      <c r="AJ180" s="3"/>
      <c r="AK180" s="3"/>
      <c r="AL180" s="3"/>
      <c r="AM180" s="3"/>
      <c r="AN180" s="3"/>
      <c r="AO180" s="3"/>
    </row>
    <row r="181" spans="1:41" x14ac:dyDescent="0.2">
      <c r="A181" s="624"/>
      <c r="B181" s="3"/>
      <c r="C181" s="3"/>
      <c r="D181" s="3"/>
      <c r="E181" s="3"/>
      <c r="F181" s="3"/>
      <c r="G181" s="3"/>
      <c r="H181" s="3"/>
      <c r="I181" s="3"/>
      <c r="J181" s="3"/>
      <c r="K181" s="3"/>
      <c r="L181" s="3"/>
      <c r="M181" s="3"/>
      <c r="N181" s="3"/>
      <c r="O181" s="3"/>
      <c r="P181" s="3"/>
      <c r="Q181" s="3"/>
      <c r="R181" s="3"/>
      <c r="S181" s="3"/>
      <c r="T181" s="3"/>
      <c r="U181" s="3"/>
      <c r="W181" s="3"/>
      <c r="X181" s="3"/>
      <c r="Y181" s="3"/>
      <c r="Z181" s="3"/>
      <c r="AA181" s="3"/>
      <c r="AB181" s="3"/>
      <c r="AC181" s="3"/>
      <c r="AD181" s="3"/>
      <c r="AE181" s="3"/>
      <c r="AF181" s="3"/>
      <c r="AG181" s="3"/>
      <c r="AH181" s="3"/>
      <c r="AI181" s="3"/>
      <c r="AJ181" s="3"/>
      <c r="AK181" s="3"/>
      <c r="AL181" s="3"/>
      <c r="AM181" s="3"/>
      <c r="AN181" s="3"/>
      <c r="AO181" s="3"/>
    </row>
    <row r="182" spans="1:41" x14ac:dyDescent="0.2">
      <c r="A182" s="624"/>
      <c r="B182" s="3"/>
      <c r="C182" s="3"/>
      <c r="D182" s="3"/>
      <c r="E182" s="3"/>
      <c r="F182" s="3"/>
      <c r="G182" s="3"/>
      <c r="H182" s="3"/>
      <c r="I182" s="3"/>
      <c r="J182" s="3"/>
      <c r="K182" s="3"/>
      <c r="L182" s="3"/>
      <c r="M182" s="3"/>
      <c r="N182" s="3"/>
      <c r="O182" s="3"/>
      <c r="P182" s="3"/>
      <c r="Q182" s="3"/>
      <c r="R182" s="3"/>
      <c r="S182" s="3"/>
      <c r="T182" s="3"/>
      <c r="U182" s="3"/>
      <c r="W182" s="3"/>
      <c r="X182" s="3"/>
      <c r="Y182" s="3"/>
      <c r="Z182" s="3"/>
      <c r="AA182" s="3"/>
      <c r="AB182" s="3"/>
      <c r="AC182" s="3"/>
      <c r="AD182" s="3"/>
      <c r="AE182" s="3"/>
      <c r="AF182" s="3"/>
      <c r="AG182" s="3"/>
      <c r="AH182" s="3"/>
      <c r="AI182" s="3"/>
      <c r="AJ182" s="3"/>
      <c r="AK182" s="3"/>
      <c r="AL182" s="3"/>
      <c r="AM182" s="3"/>
      <c r="AN182" s="3"/>
      <c r="AO182" s="3"/>
    </row>
    <row r="183" spans="1:41" x14ac:dyDescent="0.2">
      <c r="A183" s="624"/>
      <c r="B183" s="3"/>
      <c r="C183" s="3"/>
      <c r="D183" s="3"/>
      <c r="E183" s="3"/>
      <c r="F183" s="3"/>
      <c r="G183" s="3"/>
      <c r="H183" s="3"/>
      <c r="I183" s="3"/>
      <c r="J183" s="3"/>
      <c r="K183" s="3"/>
      <c r="L183" s="3"/>
      <c r="M183" s="3"/>
      <c r="N183" s="3"/>
      <c r="O183" s="3"/>
      <c r="P183" s="3"/>
      <c r="Q183" s="3"/>
      <c r="R183" s="3"/>
      <c r="S183" s="3"/>
      <c r="T183" s="3"/>
      <c r="U183" s="3"/>
      <c r="W183" s="3"/>
      <c r="X183" s="3"/>
      <c r="Y183" s="3"/>
      <c r="Z183" s="3"/>
      <c r="AA183" s="3"/>
      <c r="AB183" s="3"/>
      <c r="AC183" s="3"/>
      <c r="AD183" s="3"/>
      <c r="AE183" s="3"/>
      <c r="AF183" s="3"/>
      <c r="AG183" s="3"/>
      <c r="AH183" s="3"/>
      <c r="AI183" s="3"/>
      <c r="AJ183" s="3"/>
      <c r="AK183" s="3"/>
      <c r="AL183" s="3"/>
      <c r="AM183" s="3"/>
      <c r="AN183" s="3"/>
      <c r="AO183" s="3"/>
    </row>
    <row r="184" spans="1:41" x14ac:dyDescent="0.2">
      <c r="A184" s="624"/>
      <c r="B184" s="3"/>
      <c r="C184" s="3"/>
      <c r="D184" s="3"/>
      <c r="E184" s="3"/>
      <c r="F184" s="3"/>
      <c r="G184" s="3"/>
      <c r="H184" s="3"/>
      <c r="I184" s="3"/>
      <c r="J184" s="3"/>
      <c r="K184" s="3"/>
      <c r="L184" s="3"/>
      <c r="M184" s="3"/>
      <c r="N184" s="3"/>
      <c r="O184" s="3"/>
      <c r="P184" s="3"/>
      <c r="Q184" s="3"/>
      <c r="R184" s="3"/>
      <c r="S184" s="3"/>
      <c r="T184" s="3"/>
      <c r="U184" s="3"/>
      <c r="W184" s="3"/>
      <c r="X184" s="3"/>
      <c r="Y184" s="3"/>
      <c r="Z184" s="3"/>
      <c r="AA184" s="3"/>
      <c r="AB184" s="3"/>
      <c r="AC184" s="3"/>
      <c r="AD184" s="3"/>
      <c r="AE184" s="3"/>
      <c r="AF184" s="3"/>
      <c r="AG184" s="3"/>
      <c r="AH184" s="3"/>
      <c r="AI184" s="3"/>
      <c r="AJ184" s="3"/>
      <c r="AK184" s="3"/>
      <c r="AL184" s="3"/>
      <c r="AM184" s="3"/>
      <c r="AN184" s="3"/>
      <c r="AO184" s="3"/>
    </row>
    <row r="185" spans="1:41" x14ac:dyDescent="0.2">
      <c r="A185" s="624"/>
      <c r="B185" s="3"/>
      <c r="C185" s="3"/>
      <c r="D185" s="3"/>
      <c r="E185" s="3"/>
      <c r="F185" s="3"/>
      <c r="G185" s="3"/>
      <c r="H185" s="3"/>
      <c r="I185" s="3"/>
      <c r="J185" s="3"/>
      <c r="K185" s="3"/>
      <c r="L185" s="3"/>
      <c r="M185" s="3"/>
      <c r="N185" s="3"/>
      <c r="O185" s="3"/>
      <c r="P185" s="3"/>
      <c r="Q185" s="3"/>
      <c r="R185" s="3"/>
      <c r="S185" s="3"/>
      <c r="T185" s="3"/>
      <c r="U185" s="3"/>
      <c r="W185" s="3"/>
      <c r="X185" s="3"/>
      <c r="Y185" s="3"/>
      <c r="Z185" s="3"/>
      <c r="AA185" s="3"/>
      <c r="AB185" s="3"/>
      <c r="AC185" s="3"/>
      <c r="AD185" s="3"/>
      <c r="AE185" s="3"/>
      <c r="AF185" s="3"/>
      <c r="AG185" s="3"/>
      <c r="AH185" s="3"/>
      <c r="AI185" s="3"/>
      <c r="AJ185" s="3"/>
      <c r="AK185" s="3"/>
      <c r="AL185" s="3"/>
      <c r="AM185" s="3"/>
      <c r="AN185" s="3"/>
      <c r="AO185" s="3"/>
    </row>
    <row r="186" spans="1:41" x14ac:dyDescent="0.2">
      <c r="A186" s="624"/>
      <c r="B186" s="3"/>
      <c r="C186" s="3"/>
      <c r="D186" s="3"/>
      <c r="E186" s="3"/>
      <c r="F186" s="3"/>
      <c r="G186" s="3"/>
      <c r="H186" s="3"/>
      <c r="I186" s="3"/>
      <c r="J186" s="3"/>
      <c r="K186" s="3"/>
      <c r="L186" s="3"/>
      <c r="M186" s="3"/>
      <c r="N186" s="3"/>
      <c r="O186" s="3"/>
      <c r="P186" s="3"/>
      <c r="Q186" s="3"/>
      <c r="R186" s="3"/>
      <c r="S186" s="3"/>
      <c r="T186" s="3"/>
      <c r="U186" s="3"/>
      <c r="W186" s="3"/>
      <c r="X186" s="3"/>
      <c r="Y186" s="3"/>
      <c r="Z186" s="3"/>
      <c r="AA186" s="3"/>
      <c r="AB186" s="3"/>
      <c r="AC186" s="3"/>
      <c r="AD186" s="3"/>
      <c r="AE186" s="3"/>
      <c r="AF186" s="3"/>
      <c r="AG186" s="3"/>
      <c r="AH186" s="3"/>
      <c r="AI186" s="3"/>
      <c r="AJ186" s="3"/>
      <c r="AK186" s="3"/>
      <c r="AL186" s="3"/>
      <c r="AM186" s="3"/>
      <c r="AN186" s="3"/>
      <c r="AO186" s="3"/>
    </row>
    <row r="187" spans="1:41" x14ac:dyDescent="0.2">
      <c r="A187" s="624"/>
      <c r="B187" s="3"/>
      <c r="C187" s="3"/>
      <c r="D187" s="3"/>
      <c r="E187" s="3"/>
      <c r="F187" s="3"/>
      <c r="G187" s="3"/>
      <c r="H187" s="3"/>
      <c r="I187" s="3"/>
      <c r="J187" s="3"/>
      <c r="K187" s="3"/>
      <c r="L187" s="3"/>
      <c r="M187" s="3"/>
      <c r="N187" s="3"/>
      <c r="O187" s="3"/>
      <c r="P187" s="3"/>
      <c r="Q187" s="3"/>
      <c r="R187" s="3"/>
      <c r="S187" s="3"/>
      <c r="T187" s="3"/>
      <c r="U187" s="3"/>
      <c r="W187" s="3"/>
      <c r="X187" s="3"/>
      <c r="Y187" s="3"/>
      <c r="Z187" s="3"/>
      <c r="AA187" s="3"/>
      <c r="AB187" s="3"/>
      <c r="AC187" s="3"/>
      <c r="AD187" s="3"/>
      <c r="AE187" s="3"/>
      <c r="AF187" s="3"/>
      <c r="AG187" s="3"/>
      <c r="AH187" s="3"/>
      <c r="AI187" s="3"/>
      <c r="AJ187" s="3"/>
      <c r="AK187" s="3"/>
      <c r="AL187" s="3"/>
      <c r="AM187" s="3"/>
      <c r="AN187" s="3"/>
      <c r="AO187" s="3"/>
    </row>
    <row r="188" spans="1:41" x14ac:dyDescent="0.2">
      <c r="A188" s="624"/>
      <c r="B188" s="3"/>
      <c r="C188" s="3"/>
      <c r="D188" s="3"/>
      <c r="E188" s="3"/>
      <c r="F188" s="3"/>
      <c r="G188" s="3"/>
      <c r="H188" s="3"/>
      <c r="I188" s="3"/>
      <c r="J188" s="3"/>
      <c r="K188" s="3"/>
      <c r="L188" s="3"/>
      <c r="M188" s="3"/>
      <c r="N188" s="3"/>
      <c r="O188" s="3"/>
      <c r="P188" s="3"/>
      <c r="Q188" s="3"/>
      <c r="R188" s="3"/>
      <c r="S188" s="3"/>
      <c r="T188" s="3"/>
      <c r="U188" s="3"/>
      <c r="W188" s="3"/>
      <c r="X188" s="3"/>
      <c r="Y188" s="3"/>
      <c r="Z188" s="3"/>
      <c r="AA188" s="3"/>
      <c r="AB188" s="3"/>
      <c r="AC188" s="3"/>
      <c r="AD188" s="3"/>
      <c r="AE188" s="3"/>
      <c r="AF188" s="3"/>
      <c r="AG188" s="3"/>
      <c r="AH188" s="3"/>
      <c r="AI188" s="3"/>
      <c r="AJ188" s="3"/>
      <c r="AK188" s="3"/>
      <c r="AL188" s="3"/>
      <c r="AM188" s="3"/>
      <c r="AN188" s="3"/>
      <c r="AO188" s="3"/>
    </row>
    <row r="189" spans="1:41" x14ac:dyDescent="0.2">
      <c r="A189" s="624"/>
      <c r="B189" s="3"/>
      <c r="C189" s="3"/>
      <c r="D189" s="3"/>
      <c r="E189" s="3"/>
      <c r="F189" s="3"/>
      <c r="G189" s="3"/>
      <c r="H189" s="3"/>
      <c r="I189" s="3"/>
      <c r="J189" s="3"/>
      <c r="K189" s="3"/>
      <c r="L189" s="3"/>
      <c r="M189" s="3"/>
      <c r="N189" s="3"/>
      <c r="O189" s="3"/>
      <c r="P189" s="3"/>
      <c r="Q189" s="3"/>
      <c r="R189" s="3"/>
      <c r="S189" s="3"/>
      <c r="T189" s="3"/>
      <c r="U189" s="3"/>
      <c r="W189" s="3"/>
      <c r="X189" s="3"/>
      <c r="Y189" s="3"/>
      <c r="Z189" s="3"/>
      <c r="AA189" s="3"/>
      <c r="AB189" s="3"/>
      <c r="AC189" s="3"/>
      <c r="AD189" s="3"/>
      <c r="AE189" s="3"/>
      <c r="AF189" s="3"/>
      <c r="AG189" s="3"/>
      <c r="AH189" s="3"/>
      <c r="AI189" s="3"/>
      <c r="AJ189" s="3"/>
      <c r="AK189" s="3"/>
      <c r="AL189" s="3"/>
      <c r="AM189" s="3"/>
      <c r="AN189" s="3"/>
      <c r="AO189" s="3"/>
    </row>
    <row r="190" spans="1:41" x14ac:dyDescent="0.2">
      <c r="A190" s="624"/>
      <c r="B190" s="3"/>
      <c r="C190" s="3"/>
      <c r="D190" s="3"/>
      <c r="E190" s="3"/>
      <c r="F190" s="3"/>
      <c r="G190" s="3"/>
      <c r="H190" s="3"/>
      <c r="I190" s="3"/>
      <c r="J190" s="3"/>
      <c r="K190" s="3"/>
      <c r="L190" s="3"/>
      <c r="M190" s="3"/>
      <c r="N190" s="3"/>
      <c r="O190" s="3"/>
      <c r="P190" s="3"/>
      <c r="Q190" s="3"/>
      <c r="R190" s="3"/>
      <c r="S190" s="3"/>
      <c r="T190" s="3"/>
      <c r="U190" s="3"/>
      <c r="W190" s="3"/>
      <c r="X190" s="3"/>
      <c r="Y190" s="3"/>
      <c r="Z190" s="3"/>
      <c r="AA190" s="3"/>
      <c r="AB190" s="3"/>
      <c r="AC190" s="3"/>
      <c r="AD190" s="3"/>
      <c r="AE190" s="3"/>
      <c r="AF190" s="3"/>
      <c r="AG190" s="3"/>
      <c r="AH190" s="3"/>
      <c r="AI190" s="3"/>
      <c r="AJ190" s="3"/>
      <c r="AK190" s="3"/>
      <c r="AL190" s="3"/>
      <c r="AM190" s="3"/>
      <c r="AN190" s="3"/>
      <c r="AO190" s="3"/>
    </row>
    <row r="191" spans="1:41" x14ac:dyDescent="0.2">
      <c r="A191" s="624"/>
      <c r="B191" s="3"/>
      <c r="C191" s="3"/>
      <c r="D191" s="3"/>
      <c r="E191" s="3"/>
      <c r="F191" s="3"/>
      <c r="G191" s="3"/>
      <c r="H191" s="3"/>
      <c r="I191" s="3"/>
      <c r="J191" s="3"/>
      <c r="K191" s="3"/>
      <c r="L191" s="3"/>
      <c r="M191" s="3"/>
      <c r="N191" s="3"/>
      <c r="O191" s="3"/>
      <c r="P191" s="3"/>
      <c r="Q191" s="3"/>
      <c r="R191" s="3"/>
      <c r="S191" s="3"/>
      <c r="T191" s="3"/>
      <c r="U191" s="3"/>
      <c r="W191" s="3"/>
      <c r="X191" s="3"/>
      <c r="Y191" s="3"/>
      <c r="Z191" s="3"/>
      <c r="AA191" s="3"/>
      <c r="AB191" s="3"/>
      <c r="AC191" s="3"/>
      <c r="AD191" s="3"/>
      <c r="AE191" s="3"/>
      <c r="AF191" s="3"/>
      <c r="AG191" s="3"/>
      <c r="AH191" s="3"/>
      <c r="AI191" s="3"/>
      <c r="AJ191" s="3"/>
      <c r="AK191" s="3"/>
      <c r="AL191" s="3"/>
      <c r="AM191" s="3"/>
      <c r="AN191" s="3"/>
      <c r="AO191" s="3"/>
    </row>
    <row r="192" spans="1:41" x14ac:dyDescent="0.2">
      <c r="A192" s="624"/>
      <c r="B192" s="3"/>
      <c r="C192" s="3"/>
      <c r="D192" s="3"/>
      <c r="E192" s="3"/>
      <c r="F192" s="3"/>
      <c r="G192" s="3"/>
      <c r="H192" s="3"/>
      <c r="I192" s="3"/>
      <c r="J192" s="3"/>
      <c r="K192" s="3"/>
      <c r="L192" s="3"/>
      <c r="M192" s="3"/>
      <c r="N192" s="3"/>
      <c r="O192" s="3"/>
      <c r="P192" s="3"/>
      <c r="Q192" s="3"/>
      <c r="R192" s="3"/>
      <c r="S192" s="3"/>
      <c r="T192" s="3"/>
      <c r="U192" s="3"/>
      <c r="W192" s="3"/>
      <c r="X192" s="3"/>
      <c r="Y192" s="3"/>
      <c r="Z192" s="3"/>
      <c r="AA192" s="3"/>
      <c r="AB192" s="3"/>
      <c r="AC192" s="3"/>
      <c r="AD192" s="3"/>
      <c r="AE192" s="3"/>
      <c r="AF192" s="3"/>
      <c r="AG192" s="3"/>
      <c r="AH192" s="3"/>
      <c r="AI192" s="3"/>
      <c r="AJ192" s="3"/>
      <c r="AK192" s="3"/>
      <c r="AL192" s="3"/>
      <c r="AM192" s="3"/>
      <c r="AN192" s="3"/>
      <c r="AO192" s="3"/>
    </row>
    <row r="193" spans="1:41" x14ac:dyDescent="0.2">
      <c r="A193" s="624"/>
      <c r="B193" s="3"/>
      <c r="C193" s="3"/>
      <c r="D193" s="3"/>
      <c r="E193" s="3"/>
      <c r="F193" s="3"/>
      <c r="G193" s="3"/>
      <c r="H193" s="3"/>
      <c r="I193" s="3"/>
      <c r="J193" s="3"/>
      <c r="K193" s="3"/>
      <c r="L193" s="3"/>
      <c r="M193" s="3"/>
      <c r="N193" s="3"/>
      <c r="O193" s="3"/>
      <c r="P193" s="3"/>
      <c r="Q193" s="3"/>
      <c r="R193" s="3"/>
      <c r="S193" s="3"/>
      <c r="T193" s="3"/>
      <c r="U193" s="3"/>
      <c r="W193" s="3"/>
      <c r="X193" s="3"/>
      <c r="Y193" s="3"/>
      <c r="Z193" s="3"/>
      <c r="AA193" s="3"/>
      <c r="AB193" s="3"/>
      <c r="AC193" s="3"/>
      <c r="AD193" s="3"/>
      <c r="AE193" s="3"/>
      <c r="AF193" s="3"/>
      <c r="AG193" s="3"/>
      <c r="AH193" s="3"/>
      <c r="AI193" s="3"/>
      <c r="AJ193" s="3"/>
      <c r="AK193" s="3"/>
      <c r="AL193" s="3"/>
      <c r="AM193" s="3"/>
      <c r="AN193" s="3"/>
      <c r="AO193" s="3"/>
    </row>
    <row r="194" spans="1:41" x14ac:dyDescent="0.2">
      <c r="A194" s="624"/>
      <c r="B194" s="3"/>
      <c r="C194" s="3"/>
      <c r="D194" s="3"/>
      <c r="E194" s="3"/>
      <c r="F194" s="3"/>
      <c r="G194" s="3"/>
      <c r="H194" s="3"/>
      <c r="I194" s="3"/>
      <c r="J194" s="3"/>
      <c r="K194" s="3"/>
      <c r="L194" s="3"/>
      <c r="M194" s="3"/>
      <c r="N194" s="3"/>
      <c r="O194" s="3"/>
      <c r="P194" s="3"/>
      <c r="Q194" s="3"/>
      <c r="R194" s="3"/>
      <c r="S194" s="3"/>
      <c r="T194" s="3"/>
      <c r="U194" s="3"/>
      <c r="W194" s="3"/>
      <c r="X194" s="3"/>
      <c r="Y194" s="3"/>
      <c r="Z194" s="3"/>
      <c r="AA194" s="3"/>
      <c r="AB194" s="3"/>
      <c r="AC194" s="3"/>
      <c r="AD194" s="3"/>
      <c r="AE194" s="3"/>
      <c r="AF194" s="3"/>
      <c r="AG194" s="3"/>
      <c r="AH194" s="3"/>
      <c r="AI194" s="3"/>
      <c r="AJ194" s="3"/>
      <c r="AK194" s="3"/>
      <c r="AL194" s="3"/>
      <c r="AM194" s="3"/>
      <c r="AN194" s="3"/>
      <c r="AO194" s="3"/>
    </row>
    <row r="195" spans="1:41" x14ac:dyDescent="0.2">
      <c r="A195" s="624"/>
      <c r="B195" s="3"/>
      <c r="C195" s="3"/>
      <c r="D195" s="3"/>
      <c r="E195" s="3"/>
      <c r="F195" s="3"/>
      <c r="G195" s="3"/>
      <c r="H195" s="3"/>
      <c r="I195" s="3"/>
      <c r="J195" s="3"/>
      <c r="K195" s="3"/>
      <c r="L195" s="3"/>
      <c r="M195" s="3"/>
      <c r="N195" s="3"/>
      <c r="O195" s="3"/>
      <c r="P195" s="3"/>
      <c r="Q195" s="3"/>
      <c r="R195" s="3"/>
      <c r="S195" s="3"/>
      <c r="T195" s="3"/>
      <c r="U195" s="3"/>
      <c r="W195" s="3"/>
      <c r="X195" s="3"/>
      <c r="Y195" s="3"/>
      <c r="Z195" s="3"/>
      <c r="AA195" s="3"/>
      <c r="AB195" s="3"/>
      <c r="AC195" s="3"/>
      <c r="AD195" s="3"/>
      <c r="AE195" s="3"/>
      <c r="AF195" s="3"/>
      <c r="AG195" s="3"/>
      <c r="AH195" s="3"/>
      <c r="AI195" s="3"/>
      <c r="AJ195" s="3"/>
      <c r="AK195" s="3"/>
      <c r="AL195" s="3"/>
      <c r="AM195" s="3"/>
      <c r="AN195" s="3"/>
      <c r="AO195" s="3"/>
    </row>
    <row r="196" spans="1:41" x14ac:dyDescent="0.2">
      <c r="A196" s="624"/>
      <c r="B196" s="3"/>
      <c r="C196" s="3"/>
      <c r="D196" s="3"/>
      <c r="E196" s="3"/>
      <c r="F196" s="3"/>
      <c r="G196" s="3"/>
      <c r="H196" s="3"/>
      <c r="I196" s="3"/>
      <c r="J196" s="3"/>
      <c r="K196" s="3"/>
      <c r="L196" s="3"/>
      <c r="M196" s="3"/>
      <c r="N196" s="3"/>
      <c r="O196" s="3"/>
      <c r="P196" s="3"/>
      <c r="Q196" s="3"/>
      <c r="R196" s="3"/>
      <c r="S196" s="3"/>
      <c r="T196" s="3"/>
      <c r="U196" s="3"/>
      <c r="W196" s="3"/>
      <c r="X196" s="3"/>
      <c r="Y196" s="3"/>
      <c r="Z196" s="3"/>
      <c r="AA196" s="3"/>
      <c r="AB196" s="3"/>
      <c r="AC196" s="3"/>
      <c r="AD196" s="3"/>
      <c r="AE196" s="3"/>
      <c r="AF196" s="3"/>
      <c r="AG196" s="3"/>
      <c r="AH196" s="3"/>
      <c r="AI196" s="3"/>
      <c r="AJ196" s="3"/>
      <c r="AK196" s="3"/>
      <c r="AL196" s="3"/>
      <c r="AM196" s="3"/>
      <c r="AN196" s="3"/>
      <c r="AO196" s="3"/>
    </row>
    <row r="197" spans="1:41" x14ac:dyDescent="0.2">
      <c r="A197" s="624"/>
      <c r="B197" s="3"/>
      <c r="C197" s="3"/>
      <c r="D197" s="3"/>
      <c r="E197" s="3"/>
      <c r="F197" s="3"/>
      <c r="G197" s="3"/>
      <c r="H197" s="3"/>
      <c r="I197" s="3"/>
      <c r="J197" s="3"/>
      <c r="K197" s="3"/>
      <c r="L197" s="3"/>
      <c r="M197" s="3"/>
      <c r="N197" s="3"/>
      <c r="O197" s="3"/>
      <c r="P197" s="3"/>
      <c r="Q197" s="3"/>
      <c r="R197" s="3"/>
      <c r="S197" s="3"/>
      <c r="T197" s="3"/>
      <c r="U197" s="3"/>
      <c r="W197" s="3"/>
      <c r="X197" s="3"/>
      <c r="Y197" s="3"/>
      <c r="Z197" s="3"/>
      <c r="AA197" s="3"/>
      <c r="AB197" s="3"/>
      <c r="AC197" s="3"/>
      <c r="AD197" s="3"/>
      <c r="AE197" s="3"/>
      <c r="AF197" s="3"/>
      <c r="AG197" s="3"/>
      <c r="AH197" s="3"/>
      <c r="AI197" s="3"/>
      <c r="AJ197" s="3"/>
      <c r="AK197" s="3"/>
      <c r="AL197" s="3"/>
      <c r="AM197" s="3"/>
      <c r="AN197" s="3"/>
      <c r="AO197" s="3"/>
    </row>
    <row r="198" spans="1:41" x14ac:dyDescent="0.2">
      <c r="A198" s="624"/>
      <c r="B198" s="3"/>
      <c r="C198" s="3"/>
      <c r="D198" s="3"/>
      <c r="E198" s="3"/>
      <c r="F198" s="3"/>
      <c r="G198" s="3"/>
      <c r="H198" s="3"/>
      <c r="I198" s="3"/>
      <c r="J198" s="3"/>
      <c r="K198" s="3"/>
      <c r="L198" s="3"/>
      <c r="M198" s="3"/>
      <c r="N198" s="3"/>
      <c r="O198" s="3"/>
      <c r="P198" s="3"/>
      <c r="Q198" s="3"/>
      <c r="R198" s="3"/>
      <c r="S198" s="3"/>
      <c r="T198" s="3"/>
      <c r="U198" s="3"/>
      <c r="W198" s="3"/>
      <c r="X198" s="3"/>
      <c r="Y198" s="3"/>
      <c r="Z198" s="3"/>
      <c r="AA198" s="3"/>
      <c r="AB198" s="3"/>
      <c r="AC198" s="3"/>
      <c r="AD198" s="3"/>
      <c r="AE198" s="3"/>
      <c r="AF198" s="3"/>
      <c r="AG198" s="3"/>
      <c r="AH198" s="3"/>
      <c r="AI198" s="3"/>
      <c r="AJ198" s="3"/>
      <c r="AK198" s="3"/>
      <c r="AL198" s="3"/>
      <c r="AM198" s="3"/>
      <c r="AN198" s="3"/>
      <c r="AO198" s="3"/>
    </row>
    <row r="199" spans="1:41" x14ac:dyDescent="0.2">
      <c r="A199" s="624"/>
      <c r="B199" s="3"/>
      <c r="C199" s="3"/>
      <c r="D199" s="3"/>
      <c r="E199" s="3"/>
      <c r="F199" s="3"/>
      <c r="G199" s="3"/>
      <c r="H199" s="3"/>
      <c r="I199" s="3"/>
      <c r="J199" s="3"/>
      <c r="K199" s="3"/>
      <c r="L199" s="3"/>
      <c r="M199" s="3"/>
      <c r="N199" s="3"/>
      <c r="O199" s="3"/>
      <c r="P199" s="3"/>
      <c r="Q199" s="3"/>
      <c r="R199" s="3"/>
      <c r="S199" s="3"/>
      <c r="T199" s="3"/>
      <c r="U199" s="3"/>
      <c r="W199" s="3"/>
      <c r="X199" s="3"/>
      <c r="Y199" s="3"/>
      <c r="Z199" s="3"/>
      <c r="AA199" s="3"/>
      <c r="AB199" s="3"/>
      <c r="AC199" s="3"/>
      <c r="AD199" s="3"/>
      <c r="AE199" s="3"/>
      <c r="AF199" s="3"/>
      <c r="AG199" s="3"/>
      <c r="AH199" s="3"/>
      <c r="AI199" s="3"/>
      <c r="AJ199" s="3"/>
      <c r="AK199" s="3"/>
      <c r="AL199" s="3"/>
      <c r="AM199" s="3"/>
      <c r="AN199" s="3"/>
      <c r="AO199" s="3"/>
    </row>
    <row r="200" spans="1:41" x14ac:dyDescent="0.2">
      <c r="A200" s="624"/>
      <c r="B200" s="3"/>
      <c r="C200" s="3"/>
      <c r="D200" s="3"/>
      <c r="E200" s="3"/>
      <c r="F200" s="3"/>
      <c r="G200" s="3"/>
      <c r="H200" s="3"/>
      <c r="I200" s="3"/>
      <c r="J200" s="3"/>
      <c r="K200" s="3"/>
      <c r="L200" s="3"/>
      <c r="M200" s="3"/>
      <c r="N200" s="3"/>
      <c r="O200" s="3"/>
      <c r="P200" s="3"/>
      <c r="Q200" s="3"/>
      <c r="R200" s="3"/>
      <c r="S200" s="3"/>
      <c r="T200" s="3"/>
      <c r="U200" s="3"/>
      <c r="W200" s="3"/>
      <c r="X200" s="3"/>
      <c r="Y200" s="3"/>
      <c r="Z200" s="3"/>
      <c r="AA200" s="3"/>
      <c r="AB200" s="3"/>
      <c r="AC200" s="3"/>
      <c r="AD200" s="3"/>
      <c r="AE200" s="3"/>
      <c r="AF200" s="3"/>
      <c r="AG200" s="3"/>
      <c r="AH200" s="3"/>
      <c r="AI200" s="3"/>
      <c r="AJ200" s="3"/>
      <c r="AK200" s="3"/>
      <c r="AL200" s="3"/>
      <c r="AM200" s="3"/>
      <c r="AN200" s="3"/>
      <c r="AO200" s="3"/>
    </row>
    <row r="201" spans="1:41" x14ac:dyDescent="0.2">
      <c r="A201" s="624"/>
      <c r="B201" s="3"/>
      <c r="C201" s="3"/>
      <c r="D201" s="3"/>
      <c r="E201" s="3"/>
      <c r="F201" s="3"/>
      <c r="G201" s="3"/>
      <c r="H201" s="3"/>
      <c r="I201" s="3"/>
      <c r="J201" s="3"/>
      <c r="K201" s="3"/>
      <c r="L201" s="3"/>
      <c r="M201" s="3"/>
      <c r="N201" s="3"/>
      <c r="O201" s="3"/>
      <c r="P201" s="3"/>
      <c r="Q201" s="3"/>
      <c r="R201" s="3"/>
      <c r="S201" s="3"/>
      <c r="T201" s="3"/>
      <c r="U201" s="3"/>
      <c r="W201" s="3"/>
      <c r="X201" s="3"/>
      <c r="Y201" s="3"/>
      <c r="Z201" s="3"/>
      <c r="AA201" s="3"/>
      <c r="AB201" s="3"/>
      <c r="AC201" s="3"/>
      <c r="AD201" s="3"/>
      <c r="AE201" s="3"/>
      <c r="AF201" s="3"/>
      <c r="AG201" s="3"/>
      <c r="AH201" s="3"/>
      <c r="AI201" s="3"/>
      <c r="AJ201" s="3"/>
      <c r="AK201" s="3"/>
      <c r="AL201" s="3"/>
      <c r="AM201" s="3"/>
      <c r="AN201" s="3"/>
      <c r="AO201" s="3"/>
    </row>
    <row r="202" spans="1:41" x14ac:dyDescent="0.2">
      <c r="A202" s="624"/>
      <c r="B202" s="3"/>
      <c r="C202" s="3"/>
      <c r="D202" s="3"/>
      <c r="E202" s="3"/>
      <c r="F202" s="3"/>
      <c r="G202" s="3"/>
      <c r="H202" s="3"/>
      <c r="I202" s="3"/>
      <c r="J202" s="3"/>
      <c r="K202" s="3"/>
      <c r="L202" s="3"/>
      <c r="M202" s="3"/>
      <c r="N202" s="3"/>
      <c r="O202" s="3"/>
      <c r="P202" s="3"/>
      <c r="Q202" s="3"/>
      <c r="R202" s="3"/>
      <c r="S202" s="3"/>
      <c r="T202" s="3"/>
      <c r="U202" s="3"/>
      <c r="W202" s="3"/>
      <c r="X202" s="3"/>
      <c r="Y202" s="3"/>
      <c r="Z202" s="3"/>
      <c r="AA202" s="3"/>
      <c r="AB202" s="3"/>
      <c r="AC202" s="3"/>
      <c r="AD202" s="3"/>
      <c r="AE202" s="3"/>
      <c r="AF202" s="3"/>
      <c r="AG202" s="3"/>
      <c r="AH202" s="3"/>
      <c r="AI202" s="3"/>
      <c r="AJ202" s="3"/>
      <c r="AK202" s="3"/>
      <c r="AL202" s="3"/>
      <c r="AM202" s="3"/>
      <c r="AN202" s="3"/>
      <c r="AO202" s="3"/>
    </row>
    <row r="203" spans="1:41" x14ac:dyDescent="0.2">
      <c r="A203" s="624"/>
      <c r="B203" s="3"/>
      <c r="C203" s="3"/>
      <c r="D203" s="3"/>
      <c r="E203" s="3"/>
      <c r="F203" s="3"/>
      <c r="G203" s="3"/>
      <c r="H203" s="3"/>
      <c r="I203" s="3"/>
      <c r="J203" s="3"/>
      <c r="K203" s="3"/>
      <c r="L203" s="3"/>
      <c r="M203" s="3"/>
      <c r="N203" s="3"/>
      <c r="O203" s="3"/>
      <c r="P203" s="3"/>
      <c r="Q203" s="3"/>
      <c r="R203" s="3"/>
      <c r="S203" s="3"/>
      <c r="T203" s="3"/>
      <c r="U203" s="3"/>
      <c r="W203" s="3"/>
      <c r="X203" s="3"/>
      <c r="Y203" s="3"/>
      <c r="Z203" s="3"/>
      <c r="AA203" s="3"/>
      <c r="AB203" s="3"/>
      <c r="AC203" s="3"/>
      <c r="AD203" s="3"/>
      <c r="AE203" s="3"/>
      <c r="AF203" s="3"/>
      <c r="AG203" s="3"/>
      <c r="AH203" s="3"/>
      <c r="AI203" s="3"/>
      <c r="AJ203" s="3"/>
      <c r="AK203" s="3"/>
      <c r="AL203" s="3"/>
      <c r="AM203" s="3"/>
      <c r="AN203" s="3"/>
      <c r="AO203" s="3"/>
    </row>
    <row r="204" spans="1:41" x14ac:dyDescent="0.2">
      <c r="A204" s="624"/>
      <c r="B204" s="3"/>
      <c r="C204" s="3"/>
      <c r="D204" s="3"/>
      <c r="E204" s="3"/>
      <c r="F204" s="3"/>
      <c r="G204" s="3"/>
      <c r="H204" s="3"/>
      <c r="I204" s="3"/>
      <c r="J204" s="3"/>
      <c r="K204" s="3"/>
      <c r="L204" s="3"/>
      <c r="M204" s="3"/>
      <c r="N204" s="3"/>
      <c r="O204" s="3"/>
      <c r="P204" s="3"/>
      <c r="Q204" s="3"/>
      <c r="R204" s="3"/>
      <c r="S204" s="3"/>
      <c r="T204" s="3"/>
      <c r="U204" s="3"/>
      <c r="W204" s="3"/>
      <c r="X204" s="3"/>
      <c r="Y204" s="3"/>
      <c r="Z204" s="3"/>
      <c r="AA204" s="3"/>
      <c r="AB204" s="3"/>
      <c r="AC204" s="3"/>
      <c r="AD204" s="3"/>
      <c r="AE204" s="3"/>
      <c r="AF204" s="3"/>
      <c r="AG204" s="3"/>
      <c r="AH204" s="3"/>
      <c r="AI204" s="3"/>
      <c r="AJ204" s="3"/>
      <c r="AK204" s="3"/>
      <c r="AL204" s="3"/>
      <c r="AM204" s="3"/>
      <c r="AN204" s="3"/>
      <c r="AO204" s="3"/>
    </row>
    <row r="205" spans="1:41" x14ac:dyDescent="0.2">
      <c r="A205" s="624"/>
      <c r="B205" s="3"/>
      <c r="C205" s="3"/>
      <c r="D205" s="3"/>
      <c r="E205" s="3"/>
      <c r="F205" s="3"/>
      <c r="G205" s="3"/>
      <c r="H205" s="3"/>
      <c r="I205" s="3"/>
      <c r="J205" s="3"/>
      <c r="K205" s="3"/>
      <c r="L205" s="3"/>
      <c r="M205" s="3"/>
      <c r="N205" s="3"/>
      <c r="O205" s="3"/>
      <c r="P205" s="3"/>
      <c r="Q205" s="3"/>
      <c r="R205" s="3"/>
      <c r="S205" s="3"/>
      <c r="T205" s="3"/>
      <c r="U205" s="3"/>
      <c r="W205" s="3"/>
      <c r="X205" s="3"/>
      <c r="Y205" s="3"/>
      <c r="Z205" s="3"/>
      <c r="AA205" s="3"/>
      <c r="AB205" s="3"/>
      <c r="AC205" s="3"/>
      <c r="AD205" s="3"/>
      <c r="AE205" s="3"/>
      <c r="AF205" s="3"/>
      <c r="AG205" s="3"/>
      <c r="AH205" s="3"/>
      <c r="AI205" s="3"/>
      <c r="AJ205" s="3"/>
      <c r="AK205" s="3"/>
      <c r="AL205" s="3"/>
      <c r="AM205" s="3"/>
      <c r="AN205" s="3"/>
      <c r="AO205" s="3"/>
    </row>
    <row r="206" spans="1:41" x14ac:dyDescent="0.2">
      <c r="A206" s="624"/>
      <c r="B206" s="3"/>
      <c r="C206" s="3"/>
      <c r="D206" s="3"/>
      <c r="E206" s="3"/>
      <c r="F206" s="3"/>
      <c r="G206" s="3"/>
      <c r="H206" s="3"/>
      <c r="I206" s="3"/>
      <c r="J206" s="3"/>
      <c r="K206" s="3"/>
      <c r="L206" s="3"/>
      <c r="M206" s="3"/>
      <c r="N206" s="3"/>
      <c r="O206" s="3"/>
      <c r="P206" s="3"/>
      <c r="Q206" s="3"/>
      <c r="R206" s="3"/>
      <c r="S206" s="3"/>
      <c r="T206" s="3"/>
      <c r="U206" s="3"/>
      <c r="W206" s="3"/>
      <c r="X206" s="3"/>
      <c r="Y206" s="3"/>
      <c r="Z206" s="3"/>
      <c r="AA206" s="3"/>
      <c r="AB206" s="3"/>
      <c r="AC206" s="3"/>
      <c r="AD206" s="3"/>
      <c r="AE206" s="3"/>
      <c r="AF206" s="3"/>
      <c r="AG206" s="3"/>
      <c r="AH206" s="3"/>
      <c r="AI206" s="3"/>
      <c r="AJ206" s="3"/>
      <c r="AK206" s="3"/>
      <c r="AL206" s="3"/>
      <c r="AM206" s="3"/>
      <c r="AN206" s="3"/>
      <c r="AO206" s="3"/>
    </row>
    <row r="207" spans="1:41" x14ac:dyDescent="0.2">
      <c r="A207" s="624"/>
      <c r="B207" s="3"/>
      <c r="C207" s="3"/>
      <c r="D207" s="3"/>
      <c r="E207" s="3"/>
      <c r="F207" s="3"/>
      <c r="G207" s="3"/>
      <c r="H207" s="3"/>
      <c r="I207" s="3"/>
      <c r="J207" s="3"/>
      <c r="K207" s="3"/>
      <c r="L207" s="3"/>
      <c r="M207" s="3"/>
      <c r="N207" s="3"/>
      <c r="O207" s="3"/>
      <c r="P207" s="3"/>
      <c r="Q207" s="3"/>
      <c r="R207" s="3"/>
      <c r="S207" s="3"/>
      <c r="T207" s="3"/>
      <c r="U207" s="3"/>
      <c r="W207" s="3"/>
      <c r="X207" s="3"/>
      <c r="Y207" s="3"/>
      <c r="Z207" s="3"/>
      <c r="AA207" s="3"/>
      <c r="AB207" s="3"/>
      <c r="AC207" s="3"/>
      <c r="AD207" s="3"/>
      <c r="AE207" s="3"/>
      <c r="AF207" s="3"/>
      <c r="AG207" s="3"/>
      <c r="AH207" s="3"/>
      <c r="AI207" s="3"/>
      <c r="AJ207" s="3"/>
      <c r="AK207" s="3"/>
      <c r="AL207" s="3"/>
      <c r="AM207" s="3"/>
      <c r="AN207" s="3"/>
      <c r="AO207" s="3"/>
    </row>
    <row r="208" spans="1:41" x14ac:dyDescent="0.2">
      <c r="A208" s="624"/>
      <c r="B208" s="3"/>
      <c r="C208" s="3"/>
      <c r="D208" s="3"/>
      <c r="E208" s="3"/>
      <c r="F208" s="3"/>
      <c r="G208" s="3"/>
      <c r="H208" s="3"/>
      <c r="I208" s="3"/>
      <c r="J208" s="3"/>
      <c r="K208" s="3"/>
      <c r="L208" s="3"/>
      <c r="M208" s="3"/>
      <c r="N208" s="3"/>
      <c r="O208" s="3"/>
      <c r="P208" s="3"/>
      <c r="Q208" s="3"/>
      <c r="R208" s="3"/>
      <c r="S208" s="3"/>
      <c r="T208" s="3"/>
      <c r="U208" s="3"/>
      <c r="W208" s="3"/>
      <c r="X208" s="3"/>
      <c r="Y208" s="3"/>
      <c r="Z208" s="3"/>
      <c r="AA208" s="3"/>
      <c r="AB208" s="3"/>
      <c r="AC208" s="3"/>
      <c r="AD208" s="3"/>
      <c r="AE208" s="3"/>
      <c r="AF208" s="3"/>
      <c r="AG208" s="3"/>
      <c r="AH208" s="3"/>
      <c r="AI208" s="3"/>
      <c r="AJ208" s="3"/>
      <c r="AK208" s="3"/>
      <c r="AL208" s="3"/>
      <c r="AM208" s="3"/>
      <c r="AN208" s="3"/>
      <c r="AO208" s="3"/>
    </row>
    <row r="209" spans="1:41" x14ac:dyDescent="0.2">
      <c r="A209" s="624"/>
      <c r="B209" s="3"/>
      <c r="C209" s="3"/>
      <c r="D209" s="3"/>
      <c r="E209" s="3"/>
      <c r="F209" s="3"/>
      <c r="G209" s="3"/>
      <c r="H209" s="3"/>
      <c r="I209" s="3"/>
      <c r="J209" s="3"/>
      <c r="K209" s="3"/>
      <c r="L209" s="3"/>
      <c r="M209" s="3"/>
      <c r="N209" s="3"/>
      <c r="O209" s="3"/>
      <c r="P209" s="3"/>
      <c r="Q209" s="3"/>
      <c r="R209" s="3"/>
      <c r="S209" s="3"/>
      <c r="T209" s="3"/>
      <c r="U209" s="3"/>
      <c r="W209" s="3"/>
      <c r="X209" s="3"/>
      <c r="Y209" s="3"/>
      <c r="Z209" s="3"/>
      <c r="AA209" s="3"/>
      <c r="AB209" s="3"/>
      <c r="AC209" s="3"/>
      <c r="AD209" s="3"/>
      <c r="AE209" s="3"/>
      <c r="AF209" s="3"/>
      <c r="AG209" s="3"/>
      <c r="AH209" s="3"/>
      <c r="AI209" s="3"/>
      <c r="AJ209" s="3"/>
      <c r="AK209" s="3"/>
      <c r="AL209" s="3"/>
      <c r="AM209" s="3"/>
      <c r="AN209" s="3"/>
      <c r="AO209" s="3"/>
    </row>
    <row r="210" spans="1:41" x14ac:dyDescent="0.2">
      <c r="A210" s="624"/>
      <c r="B210" s="3"/>
      <c r="C210" s="3"/>
      <c r="D210" s="3"/>
      <c r="E210" s="3"/>
      <c r="F210" s="3"/>
      <c r="G210" s="3"/>
      <c r="H210" s="3"/>
      <c r="I210" s="3"/>
      <c r="J210" s="3"/>
      <c r="K210" s="3"/>
      <c r="L210" s="3"/>
      <c r="M210" s="3"/>
      <c r="N210" s="3"/>
      <c r="O210" s="3"/>
      <c r="P210" s="3"/>
      <c r="Q210" s="3"/>
      <c r="R210" s="3"/>
      <c r="S210" s="3"/>
      <c r="T210" s="3"/>
      <c r="U210" s="3"/>
      <c r="W210" s="3"/>
      <c r="X210" s="3"/>
      <c r="Y210" s="3"/>
      <c r="Z210" s="3"/>
      <c r="AA210" s="3"/>
      <c r="AB210" s="3"/>
      <c r="AC210" s="3"/>
      <c r="AD210" s="3"/>
      <c r="AE210" s="3"/>
      <c r="AF210" s="3"/>
      <c r="AG210" s="3"/>
      <c r="AH210" s="3"/>
      <c r="AI210" s="3"/>
      <c r="AJ210" s="3"/>
      <c r="AK210" s="3"/>
      <c r="AL210" s="3"/>
      <c r="AM210" s="3"/>
      <c r="AN210" s="3"/>
      <c r="AO210" s="3"/>
    </row>
    <row r="211" spans="1:41" x14ac:dyDescent="0.2">
      <c r="A211" s="624"/>
      <c r="B211" s="3"/>
      <c r="C211" s="3"/>
      <c r="D211" s="3"/>
      <c r="E211" s="3"/>
      <c r="F211" s="3"/>
      <c r="G211" s="3"/>
      <c r="H211" s="3"/>
      <c r="I211" s="3"/>
      <c r="J211" s="3"/>
      <c r="K211" s="3"/>
      <c r="L211" s="3"/>
      <c r="M211" s="3"/>
      <c r="N211" s="3"/>
      <c r="O211" s="3"/>
      <c r="P211" s="3"/>
      <c r="Q211" s="3"/>
      <c r="R211" s="3"/>
      <c r="S211" s="3"/>
      <c r="T211" s="3"/>
      <c r="U211" s="3"/>
      <c r="W211" s="3"/>
      <c r="X211" s="3"/>
      <c r="Y211" s="3"/>
      <c r="Z211" s="3"/>
      <c r="AA211" s="3"/>
      <c r="AB211" s="3"/>
      <c r="AC211" s="3"/>
      <c r="AD211" s="3"/>
      <c r="AE211" s="3"/>
      <c r="AF211" s="3"/>
      <c r="AG211" s="3"/>
      <c r="AH211" s="3"/>
      <c r="AI211" s="3"/>
      <c r="AJ211" s="3"/>
      <c r="AK211" s="3"/>
      <c r="AL211" s="3"/>
      <c r="AM211" s="3"/>
      <c r="AN211" s="3"/>
      <c r="AO211" s="3"/>
    </row>
    <row r="212" spans="1:41" x14ac:dyDescent="0.2">
      <c r="A212" s="624"/>
      <c r="B212" s="3"/>
      <c r="C212" s="3"/>
      <c r="D212" s="3"/>
      <c r="E212" s="3"/>
      <c r="F212" s="3"/>
      <c r="G212" s="3"/>
      <c r="H212" s="3"/>
      <c r="I212" s="3"/>
      <c r="J212" s="3"/>
      <c r="K212" s="3"/>
      <c r="L212" s="3"/>
      <c r="M212" s="3"/>
      <c r="N212" s="3"/>
      <c r="O212" s="3"/>
      <c r="P212" s="3"/>
      <c r="Q212" s="3"/>
      <c r="R212" s="3"/>
      <c r="S212" s="3"/>
      <c r="T212" s="3"/>
      <c r="U212" s="3"/>
      <c r="W212" s="3"/>
      <c r="X212" s="3"/>
      <c r="Y212" s="3"/>
      <c r="Z212" s="3"/>
      <c r="AA212" s="3"/>
      <c r="AB212" s="3"/>
      <c r="AC212" s="3"/>
      <c r="AD212" s="3"/>
      <c r="AE212" s="3"/>
      <c r="AF212" s="3"/>
      <c r="AG212" s="3"/>
      <c r="AH212" s="3"/>
      <c r="AI212" s="3"/>
      <c r="AJ212" s="3"/>
      <c r="AK212" s="3"/>
      <c r="AL212" s="3"/>
      <c r="AM212" s="3"/>
      <c r="AN212" s="3"/>
      <c r="AO212" s="3"/>
    </row>
    <row r="213" spans="1:41" x14ac:dyDescent="0.2">
      <c r="A213" s="624"/>
      <c r="B213" s="3"/>
      <c r="C213" s="3"/>
      <c r="D213" s="3"/>
      <c r="E213" s="3"/>
      <c r="F213" s="3"/>
      <c r="G213" s="3"/>
      <c r="H213" s="3"/>
      <c r="I213" s="3"/>
      <c r="J213" s="3"/>
      <c r="K213" s="3"/>
      <c r="L213" s="3"/>
      <c r="M213" s="3"/>
      <c r="N213" s="3"/>
      <c r="O213" s="3"/>
      <c r="P213" s="3"/>
      <c r="Q213" s="3"/>
      <c r="R213" s="3"/>
      <c r="S213" s="3"/>
      <c r="T213" s="3"/>
      <c r="U213" s="3"/>
      <c r="W213" s="3"/>
      <c r="X213" s="3"/>
      <c r="Y213" s="3"/>
      <c r="Z213" s="3"/>
      <c r="AA213" s="3"/>
      <c r="AB213" s="3"/>
      <c r="AC213" s="3"/>
      <c r="AD213" s="3"/>
      <c r="AE213" s="3"/>
      <c r="AF213" s="3"/>
      <c r="AG213" s="3"/>
      <c r="AH213" s="3"/>
      <c r="AI213" s="3"/>
      <c r="AJ213" s="3"/>
      <c r="AK213" s="3"/>
      <c r="AL213" s="3"/>
      <c r="AM213" s="3"/>
      <c r="AN213" s="3"/>
      <c r="AO213" s="3"/>
    </row>
    <row r="214" spans="1:41" x14ac:dyDescent="0.2">
      <c r="A214" s="624"/>
      <c r="B214" s="3"/>
      <c r="C214" s="3"/>
      <c r="D214" s="3"/>
      <c r="E214" s="3"/>
      <c r="F214" s="3"/>
      <c r="G214" s="3"/>
      <c r="H214" s="3"/>
      <c r="I214" s="3"/>
      <c r="J214" s="3"/>
      <c r="K214" s="3"/>
      <c r="L214" s="3"/>
      <c r="M214" s="3"/>
      <c r="N214" s="3"/>
      <c r="O214" s="3"/>
      <c r="P214" s="3"/>
      <c r="Q214" s="3"/>
      <c r="R214" s="3"/>
      <c r="S214" s="3"/>
      <c r="T214" s="3"/>
      <c r="U214" s="3"/>
      <c r="W214" s="3"/>
      <c r="X214" s="3"/>
      <c r="Y214" s="3"/>
      <c r="Z214" s="3"/>
      <c r="AA214" s="3"/>
      <c r="AB214" s="3"/>
      <c r="AC214" s="3"/>
      <c r="AD214" s="3"/>
      <c r="AE214" s="3"/>
      <c r="AF214" s="3"/>
      <c r="AG214" s="3"/>
      <c r="AH214" s="3"/>
      <c r="AI214" s="3"/>
      <c r="AJ214" s="3"/>
      <c r="AK214" s="3"/>
      <c r="AL214" s="3"/>
      <c r="AM214" s="3"/>
      <c r="AN214" s="3"/>
      <c r="AO214" s="3"/>
    </row>
    <row r="215" spans="1:41" x14ac:dyDescent="0.2">
      <c r="A215" s="624"/>
      <c r="B215" s="3"/>
      <c r="C215" s="3"/>
      <c r="D215" s="3"/>
      <c r="E215" s="3"/>
      <c r="F215" s="3"/>
      <c r="G215" s="3"/>
      <c r="H215" s="3"/>
      <c r="I215" s="3"/>
      <c r="J215" s="3"/>
      <c r="K215" s="3"/>
      <c r="L215" s="3"/>
      <c r="M215" s="3"/>
      <c r="N215" s="3"/>
      <c r="O215" s="3"/>
      <c r="P215" s="3"/>
      <c r="Q215" s="3"/>
      <c r="R215" s="3"/>
      <c r="S215" s="3"/>
      <c r="T215" s="3"/>
      <c r="U215" s="3"/>
      <c r="W215" s="3"/>
      <c r="X215" s="3"/>
      <c r="Y215" s="3"/>
      <c r="Z215" s="3"/>
      <c r="AA215" s="3"/>
      <c r="AB215" s="3"/>
      <c r="AC215" s="3"/>
      <c r="AD215" s="3"/>
      <c r="AE215" s="3"/>
      <c r="AF215" s="3"/>
      <c r="AG215" s="3"/>
      <c r="AH215" s="3"/>
      <c r="AI215" s="3"/>
      <c r="AJ215" s="3"/>
      <c r="AK215" s="3"/>
      <c r="AL215" s="3"/>
      <c r="AM215" s="3"/>
      <c r="AN215" s="3"/>
      <c r="AO215" s="3"/>
    </row>
    <row r="216" spans="1:41" x14ac:dyDescent="0.2">
      <c r="A216" s="624"/>
      <c r="B216" s="3"/>
      <c r="C216" s="3"/>
      <c r="D216" s="3"/>
      <c r="E216" s="3"/>
      <c r="F216" s="3"/>
      <c r="G216" s="3"/>
      <c r="H216" s="3"/>
      <c r="I216" s="3"/>
      <c r="J216" s="3"/>
      <c r="K216" s="3"/>
      <c r="L216" s="3"/>
      <c r="M216" s="3"/>
      <c r="N216" s="3"/>
      <c r="O216" s="3"/>
      <c r="P216" s="3"/>
      <c r="Q216" s="3"/>
      <c r="R216" s="3"/>
      <c r="S216" s="3"/>
      <c r="T216" s="3"/>
      <c r="U216" s="3"/>
      <c r="W216" s="3"/>
      <c r="X216" s="3"/>
      <c r="Y216" s="3"/>
      <c r="Z216" s="3"/>
      <c r="AA216" s="3"/>
      <c r="AB216" s="3"/>
      <c r="AC216" s="3"/>
      <c r="AD216" s="3"/>
      <c r="AE216" s="3"/>
      <c r="AF216" s="3"/>
      <c r="AG216" s="3"/>
      <c r="AH216" s="3"/>
      <c r="AI216" s="3"/>
      <c r="AJ216" s="3"/>
      <c r="AK216" s="3"/>
      <c r="AL216" s="3"/>
      <c r="AM216" s="3"/>
      <c r="AN216" s="3"/>
      <c r="AO216" s="3"/>
    </row>
    <row r="217" spans="1:41" x14ac:dyDescent="0.2">
      <c r="A217" s="624"/>
      <c r="B217" s="3"/>
      <c r="C217" s="3"/>
      <c r="D217" s="3"/>
      <c r="E217" s="3"/>
      <c r="F217" s="3"/>
      <c r="G217" s="3"/>
      <c r="H217" s="3"/>
      <c r="I217" s="3"/>
      <c r="J217" s="3"/>
      <c r="K217" s="3"/>
      <c r="L217" s="3"/>
      <c r="M217" s="3"/>
      <c r="N217" s="3"/>
      <c r="O217" s="3"/>
      <c r="P217" s="3"/>
      <c r="Q217" s="3"/>
      <c r="R217" s="3"/>
      <c r="S217" s="3"/>
      <c r="T217" s="3"/>
      <c r="U217" s="3"/>
      <c r="W217" s="3"/>
      <c r="X217" s="3"/>
      <c r="Y217" s="3"/>
      <c r="Z217" s="3"/>
      <c r="AA217" s="3"/>
      <c r="AB217" s="3"/>
      <c r="AC217" s="3"/>
      <c r="AD217" s="3"/>
      <c r="AE217" s="3"/>
      <c r="AF217" s="3"/>
      <c r="AG217" s="3"/>
      <c r="AH217" s="3"/>
      <c r="AI217" s="3"/>
      <c r="AJ217" s="3"/>
      <c r="AK217" s="3"/>
      <c r="AL217" s="3"/>
      <c r="AM217" s="3"/>
      <c r="AN217" s="3"/>
      <c r="AO217" s="3"/>
    </row>
    <row r="218" spans="1:41" x14ac:dyDescent="0.2">
      <c r="A218" s="624"/>
      <c r="B218" s="3"/>
      <c r="C218" s="3"/>
      <c r="D218" s="3"/>
      <c r="E218" s="3"/>
      <c r="F218" s="3"/>
      <c r="G218" s="3"/>
      <c r="H218" s="3"/>
      <c r="I218" s="3"/>
      <c r="J218" s="3"/>
      <c r="K218" s="3"/>
      <c r="L218" s="3"/>
      <c r="M218" s="3"/>
      <c r="N218" s="3"/>
      <c r="O218" s="3"/>
      <c r="P218" s="3"/>
      <c r="Q218" s="3"/>
      <c r="R218" s="3"/>
      <c r="S218" s="3"/>
      <c r="T218" s="3"/>
      <c r="U218" s="3"/>
      <c r="W218" s="3"/>
      <c r="X218" s="3"/>
      <c r="Y218" s="3"/>
      <c r="Z218" s="3"/>
      <c r="AA218" s="3"/>
      <c r="AB218" s="3"/>
      <c r="AC218" s="3"/>
      <c r="AD218" s="3"/>
      <c r="AE218" s="3"/>
      <c r="AF218" s="3"/>
      <c r="AG218" s="3"/>
      <c r="AH218" s="3"/>
      <c r="AI218" s="3"/>
      <c r="AJ218" s="3"/>
      <c r="AK218" s="3"/>
      <c r="AL218" s="3"/>
      <c r="AM218" s="3"/>
      <c r="AN218" s="3"/>
      <c r="AO218" s="3"/>
    </row>
    <row r="219" spans="1:41" x14ac:dyDescent="0.2">
      <c r="A219" s="624"/>
      <c r="B219" s="3"/>
      <c r="C219" s="3"/>
      <c r="D219" s="3"/>
      <c r="E219" s="3"/>
      <c r="F219" s="3"/>
      <c r="G219" s="3"/>
      <c r="H219" s="3"/>
      <c r="I219" s="3"/>
      <c r="J219" s="3"/>
      <c r="K219" s="3"/>
      <c r="L219" s="3"/>
      <c r="M219" s="3"/>
      <c r="N219" s="3"/>
      <c r="O219" s="3"/>
      <c r="P219" s="3"/>
      <c r="Q219" s="3"/>
      <c r="R219" s="3"/>
      <c r="S219" s="3"/>
      <c r="T219" s="3"/>
      <c r="U219" s="3"/>
      <c r="W219" s="3"/>
      <c r="X219" s="3"/>
      <c r="Y219" s="3"/>
      <c r="Z219" s="3"/>
      <c r="AA219" s="3"/>
      <c r="AB219" s="3"/>
      <c r="AC219" s="3"/>
      <c r="AD219" s="3"/>
      <c r="AE219" s="3"/>
      <c r="AF219" s="3"/>
      <c r="AG219" s="3"/>
      <c r="AH219" s="3"/>
      <c r="AI219" s="3"/>
      <c r="AJ219" s="3"/>
      <c r="AK219" s="3"/>
      <c r="AL219" s="3"/>
      <c r="AM219" s="3"/>
      <c r="AN219" s="3"/>
      <c r="AO219" s="3"/>
    </row>
    <row r="220" spans="1:41" x14ac:dyDescent="0.2">
      <c r="A220" s="624"/>
      <c r="B220" s="3"/>
      <c r="C220" s="3"/>
      <c r="D220" s="3"/>
      <c r="E220" s="3"/>
      <c r="F220" s="3"/>
      <c r="G220" s="3"/>
      <c r="H220" s="3"/>
      <c r="I220" s="3"/>
      <c r="J220" s="3"/>
      <c r="K220" s="3"/>
      <c r="L220" s="3"/>
      <c r="M220" s="3"/>
      <c r="N220" s="3"/>
      <c r="O220" s="3"/>
      <c r="P220" s="3"/>
      <c r="Q220" s="3"/>
      <c r="R220" s="3"/>
      <c r="S220" s="3"/>
      <c r="T220" s="3"/>
      <c r="U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24"/>
      <c r="B221" s="3"/>
      <c r="C221" s="3"/>
      <c r="D221" s="3"/>
      <c r="E221" s="3"/>
      <c r="F221" s="3"/>
      <c r="G221" s="3"/>
      <c r="H221" s="3"/>
      <c r="I221" s="3"/>
      <c r="J221" s="3"/>
      <c r="K221" s="3"/>
      <c r="L221" s="3"/>
      <c r="M221" s="3"/>
      <c r="N221" s="3"/>
      <c r="O221" s="3"/>
      <c r="P221" s="3"/>
      <c r="Q221" s="3"/>
      <c r="R221" s="3"/>
      <c r="S221" s="3"/>
      <c r="T221" s="3"/>
      <c r="U221" s="3"/>
      <c r="W221" s="3"/>
      <c r="X221" s="3"/>
      <c r="Y221" s="3"/>
      <c r="Z221" s="3"/>
      <c r="AA221" s="3"/>
      <c r="AB221" s="3"/>
      <c r="AC221" s="3"/>
      <c r="AD221" s="3"/>
      <c r="AE221" s="3"/>
      <c r="AF221" s="3"/>
      <c r="AG221" s="3"/>
      <c r="AH221" s="3"/>
      <c r="AI221" s="3"/>
      <c r="AJ221" s="3"/>
      <c r="AK221" s="3"/>
      <c r="AL221" s="3"/>
      <c r="AM221" s="3"/>
      <c r="AN221" s="3"/>
      <c r="AO221" s="3"/>
    </row>
    <row r="222" spans="1:41" x14ac:dyDescent="0.2">
      <c r="A222" s="624"/>
      <c r="B222" s="3"/>
      <c r="C222" s="3"/>
      <c r="D222" s="3"/>
      <c r="E222" s="3"/>
      <c r="F222" s="3"/>
      <c r="G222" s="3"/>
      <c r="H222" s="3"/>
      <c r="I222" s="3"/>
      <c r="J222" s="3"/>
      <c r="K222" s="3"/>
      <c r="L222" s="3"/>
      <c r="M222" s="3"/>
      <c r="N222" s="3"/>
      <c r="O222" s="3"/>
      <c r="P222" s="3"/>
      <c r="Q222" s="3"/>
      <c r="R222" s="3"/>
      <c r="S222" s="3"/>
      <c r="T222" s="3"/>
      <c r="U222" s="3"/>
      <c r="W222" s="3"/>
      <c r="X222" s="3"/>
      <c r="Y222" s="3"/>
      <c r="Z222" s="3"/>
      <c r="AA222" s="3"/>
      <c r="AB222" s="3"/>
      <c r="AC222" s="3"/>
      <c r="AD222" s="3"/>
      <c r="AE222" s="3"/>
      <c r="AF222" s="3"/>
      <c r="AG222" s="3"/>
      <c r="AH222" s="3"/>
      <c r="AI222" s="3"/>
      <c r="AJ222" s="3"/>
      <c r="AK222" s="3"/>
      <c r="AL222" s="3"/>
      <c r="AM222" s="3"/>
      <c r="AN222" s="3"/>
      <c r="AO222" s="3"/>
    </row>
    <row r="223" spans="1:41" x14ac:dyDescent="0.2">
      <c r="A223" s="624"/>
      <c r="B223" s="3"/>
      <c r="C223" s="3"/>
      <c r="D223" s="3"/>
      <c r="E223" s="3"/>
      <c r="F223" s="3"/>
      <c r="G223" s="3"/>
      <c r="H223" s="3"/>
      <c r="I223" s="3"/>
      <c r="J223" s="3"/>
      <c r="K223" s="3"/>
      <c r="L223" s="3"/>
      <c r="M223" s="3"/>
      <c r="N223" s="3"/>
      <c r="O223" s="3"/>
      <c r="P223" s="3"/>
      <c r="Q223" s="3"/>
      <c r="R223" s="3"/>
      <c r="S223" s="3"/>
      <c r="T223" s="3"/>
      <c r="U223" s="3"/>
      <c r="W223" s="3"/>
      <c r="X223" s="3"/>
      <c r="Y223" s="3"/>
      <c r="Z223" s="3"/>
      <c r="AA223" s="3"/>
      <c r="AB223" s="3"/>
      <c r="AC223" s="3"/>
      <c r="AD223" s="3"/>
      <c r="AE223" s="3"/>
      <c r="AF223" s="3"/>
      <c r="AG223" s="3"/>
      <c r="AH223" s="3"/>
      <c r="AI223" s="3"/>
      <c r="AJ223" s="3"/>
      <c r="AK223" s="3"/>
      <c r="AL223" s="3"/>
      <c r="AM223" s="3"/>
      <c r="AN223" s="3"/>
      <c r="AO223" s="3"/>
    </row>
    <row r="224" spans="1:41" x14ac:dyDescent="0.2">
      <c r="A224" s="624"/>
      <c r="B224" s="3"/>
      <c r="C224" s="3"/>
      <c r="D224" s="3"/>
      <c r="E224" s="3"/>
      <c r="F224" s="3"/>
      <c r="G224" s="3"/>
      <c r="H224" s="3"/>
      <c r="I224" s="3"/>
      <c r="J224" s="3"/>
      <c r="K224" s="3"/>
      <c r="L224" s="3"/>
      <c r="M224" s="3"/>
      <c r="N224" s="3"/>
      <c r="O224" s="3"/>
      <c r="P224" s="3"/>
      <c r="Q224" s="3"/>
      <c r="R224" s="3"/>
      <c r="S224" s="3"/>
      <c r="T224" s="3"/>
      <c r="U224" s="3"/>
      <c r="W224" s="3"/>
      <c r="X224" s="3"/>
      <c r="Y224" s="3"/>
      <c r="Z224" s="3"/>
      <c r="AA224" s="3"/>
      <c r="AB224" s="3"/>
      <c r="AC224" s="3"/>
      <c r="AD224" s="3"/>
      <c r="AE224" s="3"/>
      <c r="AF224" s="3"/>
      <c r="AG224" s="3"/>
      <c r="AH224" s="3"/>
      <c r="AI224" s="3"/>
      <c r="AJ224" s="3"/>
      <c r="AK224" s="3"/>
      <c r="AL224" s="3"/>
      <c r="AM224" s="3"/>
      <c r="AN224" s="3"/>
      <c r="AO224" s="3"/>
    </row>
    <row r="225" spans="1:41" x14ac:dyDescent="0.2">
      <c r="A225" s="624"/>
      <c r="B225" s="3"/>
      <c r="C225" s="3"/>
      <c r="D225" s="3"/>
      <c r="E225" s="3"/>
      <c r="F225" s="3"/>
      <c r="G225" s="3"/>
      <c r="H225" s="3"/>
      <c r="I225" s="3"/>
      <c r="J225" s="3"/>
      <c r="K225" s="3"/>
      <c r="L225" s="3"/>
      <c r="M225" s="3"/>
      <c r="N225" s="3"/>
      <c r="O225" s="3"/>
      <c r="P225" s="3"/>
      <c r="Q225" s="3"/>
      <c r="R225" s="3"/>
      <c r="S225" s="3"/>
      <c r="T225" s="3"/>
      <c r="U225" s="3"/>
      <c r="W225" s="3"/>
      <c r="X225" s="3"/>
      <c r="Y225" s="3"/>
      <c r="Z225" s="3"/>
      <c r="AA225" s="3"/>
      <c r="AB225" s="3"/>
      <c r="AC225" s="3"/>
      <c r="AD225" s="3"/>
      <c r="AE225" s="3"/>
      <c r="AF225" s="3"/>
      <c r="AG225" s="3"/>
      <c r="AH225" s="3"/>
      <c r="AI225" s="3"/>
      <c r="AJ225" s="3"/>
      <c r="AK225" s="3"/>
      <c r="AL225" s="3"/>
      <c r="AM225" s="3"/>
      <c r="AN225" s="3"/>
      <c r="AO225" s="3"/>
    </row>
    <row r="226" spans="1:41" x14ac:dyDescent="0.2">
      <c r="A226" s="624"/>
      <c r="B226" s="3"/>
      <c r="C226" s="3"/>
      <c r="D226" s="3"/>
      <c r="E226" s="3"/>
      <c r="F226" s="3"/>
      <c r="G226" s="3"/>
      <c r="H226" s="3"/>
      <c r="I226" s="3"/>
      <c r="J226" s="3"/>
      <c r="K226" s="3"/>
      <c r="L226" s="3"/>
      <c r="M226" s="3"/>
      <c r="N226" s="3"/>
      <c r="O226" s="3"/>
      <c r="P226" s="3"/>
      <c r="Q226" s="3"/>
      <c r="R226" s="3"/>
      <c r="S226" s="3"/>
      <c r="T226" s="3"/>
      <c r="U226" s="3"/>
      <c r="W226" s="3"/>
      <c r="X226" s="3"/>
      <c r="Y226" s="3"/>
      <c r="Z226" s="3"/>
      <c r="AA226" s="3"/>
      <c r="AB226" s="3"/>
      <c r="AC226" s="3"/>
      <c r="AD226" s="3"/>
      <c r="AE226" s="3"/>
      <c r="AF226" s="3"/>
      <c r="AG226" s="3"/>
      <c r="AH226" s="3"/>
      <c r="AI226" s="3"/>
      <c r="AJ226" s="3"/>
      <c r="AK226" s="3"/>
      <c r="AL226" s="3"/>
      <c r="AM226" s="3"/>
      <c r="AN226" s="3"/>
      <c r="AO226" s="3"/>
    </row>
    <row r="227" spans="1:41" x14ac:dyDescent="0.2">
      <c r="A227" s="624"/>
      <c r="B227" s="3"/>
      <c r="C227" s="3"/>
      <c r="D227" s="3"/>
      <c r="E227" s="3"/>
      <c r="F227" s="3"/>
      <c r="G227" s="3"/>
      <c r="H227" s="3"/>
      <c r="I227" s="3"/>
      <c r="J227" s="3"/>
      <c r="K227" s="3"/>
      <c r="L227" s="3"/>
      <c r="M227" s="3"/>
      <c r="N227" s="3"/>
      <c r="O227" s="3"/>
      <c r="P227" s="3"/>
      <c r="Q227" s="3"/>
      <c r="R227" s="3"/>
      <c r="S227" s="3"/>
      <c r="T227" s="3"/>
      <c r="U227" s="3"/>
      <c r="W227" s="3"/>
      <c r="X227" s="3"/>
      <c r="Y227" s="3"/>
      <c r="Z227" s="3"/>
      <c r="AA227" s="3"/>
      <c r="AB227" s="3"/>
      <c r="AC227" s="3"/>
      <c r="AD227" s="3"/>
      <c r="AE227" s="3"/>
      <c r="AF227" s="3"/>
      <c r="AG227" s="3"/>
      <c r="AH227" s="3"/>
      <c r="AI227" s="3"/>
      <c r="AJ227" s="3"/>
      <c r="AK227" s="3"/>
      <c r="AL227" s="3"/>
      <c r="AM227" s="3"/>
      <c r="AN227" s="3"/>
      <c r="AO227" s="3"/>
    </row>
    <row r="228" spans="1:41" x14ac:dyDescent="0.2">
      <c r="A228" s="624"/>
      <c r="B228" s="3"/>
      <c r="C228" s="3"/>
      <c r="D228" s="3"/>
      <c r="E228" s="3"/>
      <c r="F228" s="3"/>
      <c r="G228" s="3"/>
      <c r="H228" s="3"/>
      <c r="I228" s="3"/>
      <c r="J228" s="3"/>
      <c r="K228" s="3"/>
      <c r="L228" s="3"/>
      <c r="M228" s="3"/>
      <c r="N228" s="3"/>
      <c r="O228" s="3"/>
      <c r="P228" s="3"/>
      <c r="Q228" s="3"/>
      <c r="R228" s="3"/>
      <c r="S228" s="3"/>
      <c r="T228" s="3"/>
      <c r="U228" s="3"/>
      <c r="W228" s="3"/>
      <c r="X228" s="3"/>
      <c r="Y228" s="3"/>
      <c r="Z228" s="3"/>
      <c r="AA228" s="3"/>
      <c r="AB228" s="3"/>
      <c r="AC228" s="3"/>
      <c r="AD228" s="3"/>
      <c r="AE228" s="3"/>
      <c r="AF228" s="3"/>
      <c r="AG228" s="3"/>
      <c r="AH228" s="3"/>
      <c r="AI228" s="3"/>
      <c r="AJ228" s="3"/>
      <c r="AK228" s="3"/>
      <c r="AL228" s="3"/>
      <c r="AM228" s="3"/>
      <c r="AN228" s="3"/>
      <c r="AO228" s="3"/>
    </row>
    <row r="229" spans="1:41" x14ac:dyDescent="0.2">
      <c r="A229" s="624"/>
      <c r="B229" s="3"/>
      <c r="C229" s="3"/>
      <c r="D229" s="3"/>
      <c r="E229" s="3"/>
      <c r="F229" s="3"/>
      <c r="G229" s="3"/>
      <c r="H229" s="3"/>
      <c r="I229" s="3"/>
      <c r="J229" s="3"/>
      <c r="K229" s="3"/>
      <c r="L229" s="3"/>
      <c r="M229" s="3"/>
      <c r="N229" s="3"/>
      <c r="O229" s="3"/>
      <c r="P229" s="3"/>
      <c r="Q229" s="3"/>
      <c r="R229" s="3"/>
      <c r="S229" s="3"/>
      <c r="T229" s="3"/>
      <c r="U229" s="3"/>
      <c r="W229" s="3"/>
      <c r="X229" s="3"/>
      <c r="Y229" s="3"/>
      <c r="Z229" s="3"/>
      <c r="AA229" s="3"/>
      <c r="AB229" s="3"/>
      <c r="AC229" s="3"/>
      <c r="AD229" s="3"/>
      <c r="AE229" s="3"/>
      <c r="AF229" s="3"/>
      <c r="AG229" s="3"/>
      <c r="AH229" s="3"/>
      <c r="AI229" s="3"/>
      <c r="AJ229" s="3"/>
      <c r="AK229" s="3"/>
      <c r="AL229" s="3"/>
      <c r="AM229" s="3"/>
      <c r="AN229" s="3"/>
      <c r="AO229" s="3"/>
    </row>
    <row r="230" spans="1:41" x14ac:dyDescent="0.2">
      <c r="A230" s="624"/>
      <c r="B230" s="3"/>
      <c r="C230" s="3"/>
      <c r="D230" s="3"/>
      <c r="E230" s="3"/>
      <c r="F230" s="3"/>
      <c r="G230" s="3"/>
      <c r="H230" s="3"/>
      <c r="I230" s="3"/>
      <c r="J230" s="3"/>
      <c r="K230" s="3"/>
      <c r="L230" s="3"/>
      <c r="M230" s="3"/>
      <c r="N230" s="3"/>
      <c r="O230" s="3"/>
      <c r="P230" s="3"/>
      <c r="Q230" s="3"/>
      <c r="R230" s="3"/>
      <c r="S230" s="3"/>
      <c r="T230" s="3"/>
      <c r="U230" s="3"/>
      <c r="W230" s="3"/>
      <c r="X230" s="3"/>
      <c r="Y230" s="3"/>
      <c r="Z230" s="3"/>
      <c r="AA230" s="3"/>
      <c r="AB230" s="3"/>
      <c r="AC230" s="3"/>
      <c r="AD230" s="3"/>
      <c r="AE230" s="3"/>
      <c r="AF230" s="3"/>
      <c r="AG230" s="3"/>
      <c r="AH230" s="3"/>
      <c r="AI230" s="3"/>
      <c r="AJ230" s="3"/>
      <c r="AK230" s="3"/>
      <c r="AL230" s="3"/>
      <c r="AM230" s="3"/>
      <c r="AN230" s="3"/>
      <c r="AO230" s="3"/>
    </row>
    <row r="231" spans="1:41" x14ac:dyDescent="0.2">
      <c r="A231" s="624"/>
      <c r="B231" s="3"/>
      <c r="C231" s="3"/>
      <c r="D231" s="3"/>
      <c r="E231" s="3"/>
      <c r="F231" s="3"/>
      <c r="G231" s="3"/>
      <c r="H231" s="3"/>
      <c r="I231" s="3"/>
      <c r="J231" s="3"/>
      <c r="K231" s="3"/>
      <c r="L231" s="3"/>
      <c r="M231" s="3"/>
      <c r="N231" s="3"/>
      <c r="O231" s="3"/>
      <c r="P231" s="3"/>
      <c r="Q231" s="3"/>
      <c r="R231" s="3"/>
      <c r="S231" s="3"/>
      <c r="T231" s="3"/>
      <c r="U231" s="3"/>
      <c r="W231" s="3"/>
      <c r="X231" s="3"/>
      <c r="Y231" s="3"/>
      <c r="Z231" s="3"/>
      <c r="AA231" s="3"/>
      <c r="AB231" s="3"/>
      <c r="AC231" s="3"/>
      <c r="AD231" s="3"/>
      <c r="AE231" s="3"/>
      <c r="AF231" s="3"/>
      <c r="AG231" s="3"/>
      <c r="AH231" s="3"/>
      <c r="AI231" s="3"/>
      <c r="AJ231" s="3"/>
      <c r="AK231" s="3"/>
      <c r="AL231" s="3"/>
      <c r="AM231" s="3"/>
      <c r="AN231" s="3"/>
      <c r="AO231" s="3"/>
    </row>
    <row r="232" spans="1:41" x14ac:dyDescent="0.2">
      <c r="A232" s="624"/>
      <c r="B232" s="3"/>
      <c r="C232" s="3"/>
      <c r="D232" s="3"/>
      <c r="E232" s="3"/>
      <c r="F232" s="3"/>
      <c r="G232" s="3"/>
      <c r="H232" s="3"/>
      <c r="I232" s="3"/>
      <c r="J232" s="3"/>
      <c r="K232" s="3"/>
      <c r="L232" s="3"/>
      <c r="M232" s="3"/>
      <c r="N232" s="3"/>
      <c r="O232" s="3"/>
      <c r="P232" s="3"/>
      <c r="Q232" s="3"/>
      <c r="R232" s="3"/>
      <c r="S232" s="3"/>
      <c r="T232" s="3"/>
      <c r="U232" s="3"/>
      <c r="W232" s="3"/>
      <c r="X232" s="3"/>
      <c r="Y232" s="3"/>
      <c r="Z232" s="3"/>
      <c r="AA232" s="3"/>
      <c r="AB232" s="3"/>
      <c r="AC232" s="3"/>
      <c r="AD232" s="3"/>
      <c r="AE232" s="3"/>
      <c r="AF232" s="3"/>
      <c r="AG232" s="3"/>
      <c r="AH232" s="3"/>
      <c r="AI232" s="3"/>
      <c r="AJ232" s="3"/>
      <c r="AK232" s="3"/>
      <c r="AL232" s="3"/>
      <c r="AM232" s="3"/>
      <c r="AN232" s="3"/>
      <c r="AO232" s="3"/>
    </row>
    <row r="233" spans="1:41" x14ac:dyDescent="0.2">
      <c r="A233" s="624"/>
      <c r="B233" s="3"/>
      <c r="C233" s="3"/>
      <c r="D233" s="3"/>
      <c r="E233" s="3"/>
      <c r="F233" s="3"/>
      <c r="G233" s="3"/>
      <c r="H233" s="3"/>
      <c r="I233" s="3"/>
      <c r="J233" s="3"/>
      <c r="K233" s="3"/>
      <c r="L233" s="3"/>
      <c r="M233" s="3"/>
      <c r="N233" s="3"/>
      <c r="O233" s="3"/>
      <c r="P233" s="3"/>
      <c r="Q233" s="3"/>
      <c r="R233" s="3"/>
      <c r="S233" s="3"/>
      <c r="T233" s="3"/>
      <c r="U233" s="3"/>
      <c r="W233" s="3"/>
      <c r="X233" s="3"/>
      <c r="Y233" s="3"/>
      <c r="Z233" s="3"/>
      <c r="AA233" s="3"/>
      <c r="AB233" s="3"/>
      <c r="AC233" s="3"/>
      <c r="AD233" s="3"/>
      <c r="AE233" s="3"/>
      <c r="AF233" s="3"/>
      <c r="AG233" s="3"/>
      <c r="AH233" s="3"/>
      <c r="AI233" s="3"/>
      <c r="AJ233" s="3"/>
      <c r="AK233" s="3"/>
      <c r="AL233" s="3"/>
      <c r="AM233" s="3"/>
      <c r="AN233" s="3"/>
      <c r="AO233" s="3"/>
    </row>
    <row r="234" spans="1:41" x14ac:dyDescent="0.2">
      <c r="A234" s="624"/>
      <c r="B234" s="3"/>
      <c r="C234" s="3"/>
      <c r="D234" s="3"/>
      <c r="E234" s="3"/>
      <c r="F234" s="3"/>
      <c r="G234" s="3"/>
      <c r="H234" s="3"/>
      <c r="I234" s="3"/>
      <c r="J234" s="3"/>
      <c r="K234" s="3"/>
      <c r="L234" s="3"/>
      <c r="M234" s="3"/>
      <c r="N234" s="3"/>
      <c r="O234" s="3"/>
      <c r="P234" s="3"/>
      <c r="Q234" s="3"/>
      <c r="R234" s="3"/>
      <c r="S234" s="3"/>
      <c r="T234" s="3"/>
      <c r="U234" s="3"/>
      <c r="W234" s="3"/>
      <c r="X234" s="3"/>
      <c r="Y234" s="3"/>
      <c r="Z234" s="3"/>
      <c r="AA234" s="3"/>
      <c r="AB234" s="3"/>
      <c r="AC234" s="3"/>
      <c r="AD234" s="3"/>
      <c r="AE234" s="3"/>
      <c r="AF234" s="3"/>
      <c r="AG234" s="3"/>
      <c r="AH234" s="3"/>
      <c r="AI234" s="3"/>
      <c r="AJ234" s="3"/>
      <c r="AK234" s="3"/>
      <c r="AL234" s="3"/>
      <c r="AM234" s="3"/>
      <c r="AN234" s="3"/>
      <c r="AO234" s="3"/>
    </row>
    <row r="235" spans="1:41" x14ac:dyDescent="0.2">
      <c r="A235" s="624"/>
      <c r="B235" s="3"/>
      <c r="C235" s="3"/>
      <c r="D235" s="3"/>
      <c r="E235" s="3"/>
      <c r="F235" s="3"/>
      <c r="G235" s="3"/>
      <c r="H235" s="3"/>
      <c r="I235" s="3"/>
      <c r="J235" s="3"/>
      <c r="K235" s="3"/>
      <c r="L235" s="3"/>
      <c r="M235" s="3"/>
      <c r="N235" s="3"/>
      <c r="O235" s="3"/>
      <c r="P235" s="3"/>
      <c r="Q235" s="3"/>
      <c r="R235" s="3"/>
      <c r="S235" s="3"/>
      <c r="T235" s="3"/>
      <c r="U235" s="3"/>
      <c r="W235" s="3"/>
      <c r="X235" s="3"/>
      <c r="Y235" s="3"/>
      <c r="Z235" s="3"/>
      <c r="AA235" s="3"/>
      <c r="AB235" s="3"/>
      <c r="AC235" s="3"/>
      <c r="AD235" s="3"/>
      <c r="AE235" s="3"/>
      <c r="AF235" s="3"/>
      <c r="AG235" s="3"/>
      <c r="AH235" s="3"/>
      <c r="AI235" s="3"/>
      <c r="AJ235" s="3"/>
      <c r="AK235" s="3"/>
      <c r="AL235" s="3"/>
      <c r="AM235" s="3"/>
      <c r="AN235" s="3"/>
      <c r="AO235" s="3"/>
    </row>
    <row r="236" spans="1:41" x14ac:dyDescent="0.2">
      <c r="A236" s="624"/>
      <c r="B236" s="3"/>
      <c r="C236" s="3"/>
      <c r="D236" s="3"/>
      <c r="E236" s="3"/>
      <c r="F236" s="3"/>
      <c r="G236" s="3"/>
      <c r="H236" s="3"/>
      <c r="I236" s="3"/>
      <c r="J236" s="3"/>
      <c r="K236" s="3"/>
      <c r="L236" s="3"/>
      <c r="M236" s="3"/>
      <c r="N236" s="3"/>
      <c r="O236" s="3"/>
      <c r="P236" s="3"/>
      <c r="Q236" s="3"/>
      <c r="R236" s="3"/>
      <c r="S236" s="3"/>
      <c r="T236" s="3"/>
      <c r="U236" s="3"/>
      <c r="W236" s="3"/>
      <c r="X236" s="3"/>
      <c r="Y236" s="3"/>
      <c r="Z236" s="3"/>
      <c r="AA236" s="3"/>
      <c r="AB236" s="3"/>
      <c r="AC236" s="3"/>
      <c r="AD236" s="3"/>
      <c r="AE236" s="3"/>
      <c r="AF236" s="3"/>
      <c r="AG236" s="3"/>
      <c r="AH236" s="3"/>
      <c r="AI236" s="3"/>
      <c r="AJ236" s="3"/>
      <c r="AK236" s="3"/>
      <c r="AL236" s="3"/>
      <c r="AM236" s="3"/>
      <c r="AN236" s="3"/>
      <c r="AO236" s="3"/>
    </row>
    <row r="237" spans="1:41" x14ac:dyDescent="0.2">
      <c r="A237" s="624"/>
      <c r="B237" s="3"/>
      <c r="C237" s="3"/>
      <c r="D237" s="3"/>
      <c r="E237" s="3"/>
      <c r="F237" s="3"/>
      <c r="G237" s="3"/>
      <c r="H237" s="3"/>
      <c r="I237" s="3"/>
      <c r="J237" s="3"/>
      <c r="K237" s="3"/>
      <c r="L237" s="3"/>
      <c r="M237" s="3"/>
      <c r="N237" s="3"/>
      <c r="O237" s="3"/>
      <c r="P237" s="3"/>
      <c r="Q237" s="3"/>
      <c r="R237" s="3"/>
      <c r="S237" s="3"/>
      <c r="T237" s="3"/>
      <c r="U237" s="3"/>
      <c r="W237" s="3"/>
      <c r="X237" s="3"/>
      <c r="Y237" s="3"/>
      <c r="Z237" s="3"/>
      <c r="AA237" s="3"/>
      <c r="AB237" s="3"/>
      <c r="AC237" s="3"/>
      <c r="AD237" s="3"/>
      <c r="AE237" s="3"/>
      <c r="AF237" s="3"/>
      <c r="AG237" s="3"/>
      <c r="AH237" s="3"/>
      <c r="AI237" s="3"/>
      <c r="AJ237" s="3"/>
      <c r="AK237" s="3"/>
      <c r="AL237" s="3"/>
      <c r="AM237" s="3"/>
      <c r="AN237" s="3"/>
      <c r="AO237" s="3"/>
    </row>
    <row r="238" spans="1:41" x14ac:dyDescent="0.2">
      <c r="A238" s="624"/>
      <c r="B238" s="3"/>
      <c r="C238" s="3"/>
      <c r="D238" s="3"/>
      <c r="E238" s="3"/>
      <c r="F238" s="3"/>
      <c r="G238" s="3"/>
      <c r="H238" s="3"/>
      <c r="I238" s="3"/>
      <c r="J238" s="3"/>
      <c r="K238" s="3"/>
      <c r="L238" s="3"/>
      <c r="M238" s="3"/>
      <c r="N238" s="3"/>
      <c r="O238" s="3"/>
      <c r="P238" s="3"/>
      <c r="Q238" s="3"/>
      <c r="R238" s="3"/>
      <c r="S238" s="3"/>
      <c r="T238" s="3"/>
      <c r="U238" s="3"/>
      <c r="W238" s="3"/>
      <c r="X238" s="3"/>
      <c r="Y238" s="3"/>
      <c r="Z238" s="3"/>
      <c r="AA238" s="3"/>
      <c r="AB238" s="3"/>
      <c r="AC238" s="3"/>
      <c r="AD238" s="3"/>
      <c r="AE238" s="3"/>
      <c r="AF238" s="3"/>
      <c r="AG238" s="3"/>
      <c r="AH238" s="3"/>
      <c r="AI238" s="3"/>
      <c r="AJ238" s="3"/>
      <c r="AK238" s="3"/>
      <c r="AL238" s="3"/>
      <c r="AM238" s="3"/>
      <c r="AN238" s="3"/>
      <c r="AO238" s="3"/>
    </row>
    <row r="239" spans="1:41" x14ac:dyDescent="0.2">
      <c r="A239" s="624"/>
      <c r="B239" s="3"/>
      <c r="C239" s="3"/>
      <c r="D239" s="3"/>
      <c r="E239" s="3"/>
      <c r="F239" s="3"/>
      <c r="G239" s="3"/>
      <c r="H239" s="3"/>
      <c r="I239" s="3"/>
      <c r="J239" s="3"/>
      <c r="K239" s="3"/>
      <c r="L239" s="3"/>
      <c r="M239" s="3"/>
      <c r="N239" s="3"/>
      <c r="O239" s="3"/>
      <c r="P239" s="3"/>
      <c r="Q239" s="3"/>
      <c r="R239" s="3"/>
      <c r="S239" s="3"/>
      <c r="T239" s="3"/>
      <c r="U239" s="3"/>
      <c r="W239" s="3"/>
      <c r="X239" s="3"/>
      <c r="Y239" s="3"/>
      <c r="Z239" s="3"/>
      <c r="AA239" s="3"/>
      <c r="AB239" s="3"/>
      <c r="AC239" s="3"/>
      <c r="AD239" s="3"/>
      <c r="AE239" s="3"/>
      <c r="AF239" s="3"/>
      <c r="AG239" s="3"/>
      <c r="AH239" s="3"/>
      <c r="AI239" s="3"/>
      <c r="AJ239" s="3"/>
      <c r="AK239" s="3"/>
      <c r="AL239" s="3"/>
      <c r="AM239" s="3"/>
      <c r="AN239" s="3"/>
      <c r="AO239" s="3"/>
    </row>
    <row r="240" spans="1:41" x14ac:dyDescent="0.2">
      <c r="A240" s="624"/>
      <c r="B240" s="3"/>
      <c r="C240" s="3"/>
      <c r="D240" s="3"/>
      <c r="E240" s="3"/>
      <c r="F240" s="3"/>
      <c r="G240" s="3"/>
      <c r="H240" s="3"/>
      <c r="I240" s="3"/>
      <c r="J240" s="3"/>
      <c r="K240" s="3"/>
      <c r="L240" s="3"/>
      <c r="M240" s="3"/>
      <c r="N240" s="3"/>
      <c r="O240" s="3"/>
      <c r="P240" s="3"/>
      <c r="Q240" s="3"/>
      <c r="R240" s="3"/>
      <c r="S240" s="3"/>
      <c r="T240" s="3"/>
      <c r="U240" s="3"/>
      <c r="W240" s="3"/>
      <c r="X240" s="3"/>
      <c r="Y240" s="3"/>
      <c r="Z240" s="3"/>
      <c r="AA240" s="3"/>
      <c r="AB240" s="3"/>
      <c r="AC240" s="3"/>
      <c r="AD240" s="3"/>
      <c r="AE240" s="3"/>
      <c r="AF240" s="3"/>
      <c r="AG240" s="3"/>
      <c r="AH240" s="3"/>
      <c r="AI240" s="3"/>
      <c r="AJ240" s="3"/>
      <c r="AK240" s="3"/>
      <c r="AL240" s="3"/>
      <c r="AM240" s="3"/>
      <c r="AN240" s="3"/>
      <c r="AO240" s="3"/>
    </row>
    <row r="241" spans="1:41" x14ac:dyDescent="0.2">
      <c r="A241" s="624"/>
      <c r="B241" s="3"/>
      <c r="C241" s="3"/>
      <c r="D241" s="3"/>
      <c r="E241" s="3"/>
      <c r="F241" s="3"/>
      <c r="G241" s="3"/>
      <c r="H241" s="3"/>
      <c r="I241" s="3"/>
      <c r="J241" s="3"/>
      <c r="K241" s="3"/>
      <c r="L241" s="3"/>
      <c r="M241" s="3"/>
      <c r="N241" s="3"/>
      <c r="O241" s="3"/>
      <c r="P241" s="3"/>
      <c r="Q241" s="3"/>
      <c r="R241" s="3"/>
      <c r="S241" s="3"/>
      <c r="T241" s="3"/>
      <c r="U241" s="3"/>
      <c r="W241" s="3"/>
      <c r="X241" s="3"/>
      <c r="Y241" s="3"/>
      <c r="Z241" s="3"/>
      <c r="AA241" s="3"/>
      <c r="AB241" s="3"/>
      <c r="AC241" s="3"/>
      <c r="AD241" s="3"/>
      <c r="AE241" s="3"/>
      <c r="AF241" s="3"/>
      <c r="AG241" s="3"/>
      <c r="AH241" s="3"/>
      <c r="AI241" s="3"/>
      <c r="AJ241" s="3"/>
      <c r="AK241" s="3"/>
      <c r="AL241" s="3"/>
      <c r="AM241" s="3"/>
      <c r="AN241" s="3"/>
      <c r="AO241" s="3"/>
    </row>
    <row r="242" spans="1:41" x14ac:dyDescent="0.2">
      <c r="A242" s="624"/>
      <c r="B242" s="3"/>
      <c r="C242" s="3"/>
      <c r="D242" s="3"/>
      <c r="E242" s="3"/>
      <c r="F242" s="3"/>
      <c r="G242" s="3"/>
      <c r="H242" s="3"/>
      <c r="I242" s="3"/>
      <c r="J242" s="3"/>
      <c r="K242" s="3"/>
      <c r="L242" s="3"/>
      <c r="M242" s="3"/>
      <c r="N242" s="3"/>
      <c r="O242" s="3"/>
      <c r="P242" s="3"/>
      <c r="Q242" s="3"/>
      <c r="R242" s="3"/>
      <c r="S242" s="3"/>
      <c r="T242" s="3"/>
      <c r="U242" s="3"/>
      <c r="W242" s="3"/>
      <c r="X242" s="3"/>
      <c r="Y242" s="3"/>
      <c r="Z242" s="3"/>
      <c r="AA242" s="3"/>
      <c r="AB242" s="3"/>
      <c r="AC242" s="3"/>
      <c r="AD242" s="3"/>
      <c r="AE242" s="3"/>
      <c r="AF242" s="3"/>
      <c r="AG242" s="3"/>
      <c r="AH242" s="3"/>
      <c r="AI242" s="3"/>
      <c r="AJ242" s="3"/>
      <c r="AK242" s="3"/>
      <c r="AL242" s="3"/>
      <c r="AM242" s="3"/>
      <c r="AN242" s="3"/>
      <c r="AO242" s="3"/>
    </row>
    <row r="243" spans="1:41" x14ac:dyDescent="0.2">
      <c r="A243" s="624"/>
      <c r="B243" s="3"/>
      <c r="C243" s="3"/>
      <c r="D243" s="3"/>
      <c r="E243" s="3"/>
      <c r="F243" s="3"/>
      <c r="G243" s="3"/>
      <c r="H243" s="3"/>
      <c r="I243" s="3"/>
      <c r="J243" s="3"/>
      <c r="K243" s="3"/>
      <c r="L243" s="3"/>
      <c r="M243" s="3"/>
      <c r="N243" s="3"/>
      <c r="O243" s="3"/>
      <c r="P243" s="3"/>
      <c r="Q243" s="3"/>
      <c r="R243" s="3"/>
      <c r="S243" s="3"/>
      <c r="T243" s="3"/>
      <c r="U243" s="3"/>
      <c r="W243" s="3"/>
      <c r="X243" s="3"/>
      <c r="Y243" s="3"/>
      <c r="Z243" s="3"/>
      <c r="AA243" s="3"/>
      <c r="AB243" s="3"/>
      <c r="AC243" s="3"/>
      <c r="AD243" s="3"/>
      <c r="AE243" s="3"/>
      <c r="AF243" s="3"/>
      <c r="AG243" s="3"/>
      <c r="AH243" s="3"/>
      <c r="AI243" s="3"/>
      <c r="AJ243" s="3"/>
      <c r="AK243" s="3"/>
      <c r="AL243" s="3"/>
      <c r="AM243" s="3"/>
      <c r="AN243" s="3"/>
      <c r="AO243" s="3"/>
    </row>
    <row r="244" spans="1:41" x14ac:dyDescent="0.2">
      <c r="A244" s="624"/>
      <c r="B244" s="3"/>
      <c r="C244" s="3"/>
      <c r="D244" s="3"/>
      <c r="E244" s="3"/>
      <c r="F244" s="3"/>
      <c r="G244" s="3"/>
      <c r="H244" s="3"/>
      <c r="I244" s="3"/>
      <c r="J244" s="3"/>
      <c r="K244" s="3"/>
      <c r="L244" s="3"/>
      <c r="M244" s="3"/>
      <c r="N244" s="3"/>
      <c r="O244" s="3"/>
      <c r="P244" s="3"/>
      <c r="Q244" s="3"/>
      <c r="R244" s="3"/>
      <c r="S244" s="3"/>
      <c r="T244" s="3"/>
      <c r="U244" s="3"/>
      <c r="W244" s="3"/>
      <c r="X244" s="3"/>
      <c r="Y244" s="3"/>
      <c r="Z244" s="3"/>
      <c r="AA244" s="3"/>
      <c r="AB244" s="3"/>
      <c r="AC244" s="3"/>
      <c r="AD244" s="3"/>
      <c r="AE244" s="3"/>
      <c r="AF244" s="3"/>
      <c r="AG244" s="3"/>
      <c r="AH244" s="3"/>
      <c r="AI244" s="3"/>
      <c r="AJ244" s="3"/>
      <c r="AK244" s="3"/>
      <c r="AL244" s="3"/>
      <c r="AM244" s="3"/>
      <c r="AN244" s="3"/>
      <c r="AO244" s="3"/>
    </row>
    <row r="245" spans="1:41" x14ac:dyDescent="0.2">
      <c r="A245" s="624"/>
      <c r="B245" s="3"/>
      <c r="C245" s="3"/>
      <c r="D245" s="3"/>
      <c r="E245" s="3"/>
      <c r="F245" s="3"/>
      <c r="G245" s="3"/>
      <c r="H245" s="3"/>
      <c r="I245" s="3"/>
      <c r="J245" s="3"/>
      <c r="K245" s="3"/>
      <c r="L245" s="3"/>
      <c r="M245" s="3"/>
      <c r="N245" s="3"/>
      <c r="O245" s="3"/>
      <c r="P245" s="3"/>
      <c r="Q245" s="3"/>
      <c r="R245" s="3"/>
      <c r="S245" s="3"/>
      <c r="T245" s="3"/>
      <c r="U245" s="3"/>
      <c r="W245" s="3"/>
      <c r="X245" s="3"/>
      <c r="Y245" s="3"/>
      <c r="Z245" s="3"/>
      <c r="AA245" s="3"/>
      <c r="AB245" s="3"/>
      <c r="AC245" s="3"/>
      <c r="AD245" s="3"/>
      <c r="AE245" s="3"/>
      <c r="AF245" s="3"/>
      <c r="AG245" s="3"/>
      <c r="AH245" s="3"/>
      <c r="AI245" s="3"/>
      <c r="AJ245" s="3"/>
      <c r="AK245" s="3"/>
      <c r="AL245" s="3"/>
      <c r="AM245" s="3"/>
      <c r="AN245" s="3"/>
      <c r="AO245" s="3"/>
    </row>
    <row r="246" spans="1:41" x14ac:dyDescent="0.2">
      <c r="A246" s="624"/>
      <c r="B246" s="3"/>
      <c r="C246" s="3"/>
      <c r="D246" s="3"/>
      <c r="E246" s="3"/>
      <c r="F246" s="3"/>
      <c r="G246" s="3"/>
      <c r="H246" s="3"/>
      <c r="I246" s="3"/>
      <c r="J246" s="3"/>
      <c r="K246" s="3"/>
      <c r="L246" s="3"/>
      <c r="M246" s="3"/>
      <c r="N246" s="3"/>
      <c r="O246" s="3"/>
      <c r="P246" s="3"/>
      <c r="Q246" s="3"/>
      <c r="R246" s="3"/>
      <c r="S246" s="3"/>
      <c r="T246" s="3"/>
      <c r="U246" s="3"/>
      <c r="W246" s="3"/>
      <c r="X246" s="3"/>
      <c r="Y246" s="3"/>
      <c r="Z246" s="3"/>
      <c r="AA246" s="3"/>
      <c r="AB246" s="3"/>
      <c r="AC246" s="3"/>
      <c r="AD246" s="3"/>
      <c r="AE246" s="3"/>
      <c r="AF246" s="3"/>
      <c r="AG246" s="3"/>
      <c r="AH246" s="3"/>
      <c r="AI246" s="3"/>
      <c r="AJ246" s="3"/>
      <c r="AK246" s="3"/>
      <c r="AL246" s="3"/>
      <c r="AM246" s="3"/>
      <c r="AN246" s="3"/>
      <c r="AO246" s="3"/>
    </row>
    <row r="247" spans="1:41" x14ac:dyDescent="0.2">
      <c r="A247" s="624"/>
      <c r="B247" s="3"/>
      <c r="C247" s="3"/>
      <c r="D247" s="3"/>
      <c r="E247" s="3"/>
      <c r="F247" s="3"/>
      <c r="G247" s="3"/>
      <c r="H247" s="3"/>
      <c r="I247" s="3"/>
      <c r="J247" s="3"/>
      <c r="K247" s="3"/>
      <c r="L247" s="3"/>
      <c r="M247" s="3"/>
      <c r="N247" s="3"/>
      <c r="O247" s="3"/>
      <c r="P247" s="3"/>
      <c r="Q247" s="3"/>
      <c r="R247" s="3"/>
      <c r="S247" s="3"/>
      <c r="T247" s="3"/>
      <c r="U247" s="3"/>
      <c r="W247" s="3"/>
      <c r="X247" s="3"/>
      <c r="Y247" s="3"/>
      <c r="Z247" s="3"/>
      <c r="AA247" s="3"/>
      <c r="AB247" s="3"/>
      <c r="AC247" s="3"/>
      <c r="AD247" s="3"/>
      <c r="AE247" s="3"/>
      <c r="AF247" s="3"/>
      <c r="AG247" s="3"/>
      <c r="AH247" s="3"/>
      <c r="AI247" s="3"/>
      <c r="AJ247" s="3"/>
      <c r="AK247" s="3"/>
      <c r="AL247" s="3"/>
      <c r="AM247" s="3"/>
      <c r="AN247" s="3"/>
      <c r="AO247" s="3"/>
    </row>
    <row r="248" spans="1:41" x14ac:dyDescent="0.2">
      <c r="A248" s="624"/>
      <c r="B248" s="3"/>
      <c r="C248" s="3"/>
      <c r="D248" s="3"/>
      <c r="E248" s="3"/>
      <c r="F248" s="3"/>
      <c r="G248" s="3"/>
      <c r="H248" s="3"/>
      <c r="I248" s="3"/>
      <c r="J248" s="3"/>
      <c r="K248" s="3"/>
      <c r="L248" s="3"/>
      <c r="M248" s="3"/>
      <c r="N248" s="3"/>
      <c r="O248" s="3"/>
      <c r="P248" s="3"/>
      <c r="Q248" s="3"/>
      <c r="R248" s="3"/>
      <c r="S248" s="3"/>
      <c r="T248" s="3"/>
      <c r="U248" s="3"/>
      <c r="W248" s="3"/>
      <c r="X248" s="3"/>
      <c r="Y248" s="3"/>
      <c r="Z248" s="3"/>
      <c r="AA248" s="3"/>
      <c r="AB248" s="3"/>
      <c r="AC248" s="3"/>
      <c r="AD248" s="3"/>
      <c r="AE248" s="3"/>
      <c r="AF248" s="3"/>
      <c r="AG248" s="3"/>
      <c r="AH248" s="3"/>
      <c r="AI248" s="3"/>
      <c r="AJ248" s="3"/>
      <c r="AK248" s="3"/>
      <c r="AL248" s="3"/>
      <c r="AM248" s="3"/>
      <c r="AN248" s="3"/>
      <c r="AO248" s="3"/>
    </row>
    <row r="249" spans="1:41" x14ac:dyDescent="0.2">
      <c r="A249" s="624"/>
      <c r="B249" s="3"/>
      <c r="C249" s="3"/>
      <c r="D249" s="3"/>
      <c r="E249" s="3"/>
      <c r="F249" s="3"/>
      <c r="G249" s="3"/>
      <c r="H249" s="3"/>
      <c r="I249" s="3"/>
      <c r="J249" s="3"/>
      <c r="K249" s="3"/>
      <c r="L249" s="3"/>
      <c r="M249" s="3"/>
      <c r="N249" s="3"/>
      <c r="O249" s="3"/>
      <c r="P249" s="3"/>
      <c r="Q249" s="3"/>
      <c r="R249" s="3"/>
      <c r="S249" s="3"/>
      <c r="T249" s="3"/>
      <c r="U249" s="3"/>
      <c r="W249" s="3"/>
      <c r="X249" s="3"/>
      <c r="Y249" s="3"/>
      <c r="Z249" s="3"/>
      <c r="AA249" s="3"/>
      <c r="AB249" s="3"/>
      <c r="AC249" s="3"/>
      <c r="AD249" s="3"/>
      <c r="AE249" s="3"/>
      <c r="AF249" s="3"/>
      <c r="AG249" s="3"/>
      <c r="AH249" s="3"/>
      <c r="AI249" s="3"/>
      <c r="AJ249" s="3"/>
      <c r="AK249" s="3"/>
      <c r="AL249" s="3"/>
      <c r="AM249" s="3"/>
      <c r="AN249" s="3"/>
      <c r="AO249" s="3"/>
    </row>
    <row r="250" spans="1:41" x14ac:dyDescent="0.2">
      <c r="A250" s="624"/>
      <c r="B250" s="3"/>
      <c r="C250" s="3"/>
      <c r="D250" s="3"/>
      <c r="E250" s="3"/>
      <c r="F250" s="3"/>
      <c r="G250" s="3"/>
      <c r="H250" s="3"/>
      <c r="I250" s="3"/>
      <c r="J250" s="3"/>
      <c r="K250" s="3"/>
      <c r="L250" s="3"/>
      <c r="M250" s="3"/>
      <c r="N250" s="3"/>
      <c r="O250" s="3"/>
      <c r="P250" s="3"/>
      <c r="Q250" s="3"/>
      <c r="R250" s="3"/>
      <c r="S250" s="3"/>
      <c r="T250" s="3"/>
      <c r="U250" s="3"/>
      <c r="W250" s="3"/>
      <c r="X250" s="3"/>
      <c r="Y250" s="3"/>
      <c r="Z250" s="3"/>
      <c r="AA250" s="3"/>
      <c r="AB250" s="3"/>
      <c r="AC250" s="3"/>
      <c r="AD250" s="3"/>
      <c r="AE250" s="3"/>
      <c r="AF250" s="3"/>
      <c r="AG250" s="3"/>
      <c r="AH250" s="3"/>
      <c r="AI250" s="3"/>
      <c r="AJ250" s="3"/>
      <c r="AK250" s="3"/>
      <c r="AL250" s="3"/>
      <c r="AM250" s="3"/>
      <c r="AN250" s="3"/>
      <c r="AO250" s="3"/>
    </row>
    <row r="251" spans="1:41" x14ac:dyDescent="0.2">
      <c r="A251" s="624"/>
      <c r="B251" s="3"/>
      <c r="C251" s="3"/>
      <c r="D251" s="3"/>
      <c r="E251" s="3"/>
      <c r="F251" s="3"/>
      <c r="G251" s="3"/>
      <c r="H251" s="3"/>
      <c r="I251" s="3"/>
      <c r="J251" s="3"/>
      <c r="K251" s="3"/>
      <c r="L251" s="3"/>
      <c r="M251" s="3"/>
      <c r="N251" s="3"/>
      <c r="O251" s="3"/>
      <c r="P251" s="3"/>
      <c r="Q251" s="3"/>
      <c r="R251" s="3"/>
      <c r="S251" s="3"/>
      <c r="T251" s="3"/>
      <c r="U251" s="3"/>
      <c r="W251" s="3"/>
      <c r="X251" s="3"/>
      <c r="Y251" s="3"/>
      <c r="Z251" s="3"/>
      <c r="AA251" s="3"/>
      <c r="AB251" s="3"/>
      <c r="AC251" s="3"/>
      <c r="AD251" s="3"/>
      <c r="AE251" s="3"/>
      <c r="AF251" s="3"/>
      <c r="AG251" s="3"/>
      <c r="AH251" s="3"/>
      <c r="AI251" s="3"/>
      <c r="AJ251" s="3"/>
      <c r="AK251" s="3"/>
      <c r="AL251" s="3"/>
      <c r="AM251" s="3"/>
      <c r="AN251" s="3"/>
      <c r="AO251" s="3"/>
    </row>
    <row r="252" spans="1:41" x14ac:dyDescent="0.2">
      <c r="A252" s="624"/>
      <c r="B252" s="3"/>
      <c r="C252" s="3"/>
      <c r="D252" s="3"/>
      <c r="E252" s="3"/>
      <c r="F252" s="3"/>
      <c r="G252" s="3"/>
      <c r="H252" s="3"/>
      <c r="I252" s="3"/>
      <c r="J252" s="3"/>
      <c r="K252" s="3"/>
      <c r="L252" s="3"/>
      <c r="M252" s="3"/>
      <c r="N252" s="3"/>
      <c r="O252" s="3"/>
      <c r="P252" s="3"/>
      <c r="Q252" s="3"/>
      <c r="R252" s="3"/>
      <c r="S252" s="3"/>
      <c r="T252" s="3"/>
      <c r="U252" s="3"/>
      <c r="W252" s="3"/>
      <c r="X252" s="3"/>
      <c r="Y252" s="3"/>
      <c r="Z252" s="3"/>
      <c r="AA252" s="3"/>
      <c r="AB252" s="3"/>
      <c r="AC252" s="3"/>
      <c r="AD252" s="3"/>
      <c r="AE252" s="3"/>
      <c r="AF252" s="3"/>
      <c r="AG252" s="3"/>
      <c r="AH252" s="3"/>
      <c r="AI252" s="3"/>
      <c r="AJ252" s="3"/>
      <c r="AK252" s="3"/>
      <c r="AL252" s="3"/>
      <c r="AM252" s="3"/>
      <c r="AN252" s="3"/>
      <c r="AO252" s="3"/>
    </row>
    <row r="253" spans="1:41" x14ac:dyDescent="0.2">
      <c r="A253" s="624"/>
      <c r="B253" s="3"/>
      <c r="C253" s="3"/>
      <c r="D253" s="3"/>
      <c r="E253" s="3"/>
      <c r="F253" s="3"/>
      <c r="G253" s="3"/>
      <c r="H253" s="3"/>
      <c r="I253" s="3"/>
      <c r="J253" s="3"/>
      <c r="K253" s="3"/>
      <c r="L253" s="3"/>
      <c r="M253" s="3"/>
      <c r="N253" s="3"/>
      <c r="O253" s="3"/>
      <c r="P253" s="3"/>
      <c r="Q253" s="3"/>
      <c r="R253" s="3"/>
      <c r="S253" s="3"/>
      <c r="T253" s="3"/>
      <c r="U253" s="3"/>
      <c r="W253" s="3"/>
      <c r="X253" s="3"/>
      <c r="Y253" s="3"/>
      <c r="Z253" s="3"/>
      <c r="AA253" s="3"/>
      <c r="AB253" s="3"/>
      <c r="AC253" s="3"/>
      <c r="AD253" s="3"/>
      <c r="AE253" s="3"/>
      <c r="AF253" s="3"/>
      <c r="AG253" s="3"/>
      <c r="AH253" s="3"/>
      <c r="AI253" s="3"/>
      <c r="AJ253" s="3"/>
      <c r="AK253" s="3"/>
      <c r="AL253" s="3"/>
      <c r="AM253" s="3"/>
      <c r="AN253" s="3"/>
      <c r="AO253" s="3"/>
    </row>
    <row r="254" spans="1:41" x14ac:dyDescent="0.2">
      <c r="A254" s="624"/>
      <c r="B254" s="3"/>
      <c r="C254" s="3"/>
      <c r="D254" s="3"/>
      <c r="E254" s="3"/>
      <c r="F254" s="3"/>
      <c r="G254" s="3"/>
      <c r="H254" s="3"/>
      <c r="I254" s="3"/>
      <c r="J254" s="3"/>
      <c r="K254" s="3"/>
      <c r="L254" s="3"/>
      <c r="M254" s="3"/>
      <c r="N254" s="3"/>
      <c r="O254" s="3"/>
      <c r="P254" s="3"/>
      <c r="Q254" s="3"/>
      <c r="R254" s="3"/>
      <c r="S254" s="3"/>
      <c r="T254" s="3"/>
      <c r="U254" s="3"/>
      <c r="W254" s="3"/>
      <c r="X254" s="3"/>
      <c r="Y254" s="3"/>
      <c r="Z254" s="3"/>
      <c r="AA254" s="3"/>
      <c r="AB254" s="3"/>
      <c r="AC254" s="3"/>
      <c r="AD254" s="3"/>
      <c r="AE254" s="3"/>
      <c r="AF254" s="3"/>
      <c r="AG254" s="3"/>
      <c r="AH254" s="3"/>
      <c r="AI254" s="3"/>
      <c r="AJ254" s="3"/>
      <c r="AK254" s="3"/>
      <c r="AL254" s="3"/>
      <c r="AM254" s="3"/>
      <c r="AN254" s="3"/>
      <c r="AO254" s="3"/>
    </row>
    <row r="255" spans="1:41" x14ac:dyDescent="0.2">
      <c r="A255" s="624"/>
      <c r="B255" s="3"/>
      <c r="C255" s="3"/>
      <c r="D255" s="3"/>
      <c r="E255" s="3"/>
      <c r="F255" s="3"/>
      <c r="G255" s="3"/>
      <c r="H255" s="3"/>
      <c r="I255" s="3"/>
      <c r="J255" s="3"/>
      <c r="K255" s="3"/>
      <c r="L255" s="3"/>
      <c r="M255" s="3"/>
      <c r="N255" s="3"/>
      <c r="O255" s="3"/>
      <c r="P255" s="3"/>
      <c r="Q255" s="3"/>
      <c r="R255" s="3"/>
      <c r="S255" s="3"/>
      <c r="T255" s="3"/>
      <c r="U255" s="3"/>
      <c r="W255" s="3"/>
      <c r="X255" s="3"/>
      <c r="Y255" s="3"/>
      <c r="Z255" s="3"/>
      <c r="AA255" s="3"/>
      <c r="AB255" s="3"/>
      <c r="AC255" s="3"/>
      <c r="AD255" s="3"/>
      <c r="AE255" s="3"/>
      <c r="AF255" s="3"/>
      <c r="AG255" s="3"/>
      <c r="AH255" s="3"/>
      <c r="AI255" s="3"/>
      <c r="AJ255" s="3"/>
      <c r="AK255" s="3"/>
      <c r="AL255" s="3"/>
      <c r="AM255" s="3"/>
      <c r="AN255" s="3"/>
      <c r="AO255" s="3"/>
    </row>
    <row r="256" spans="1:41" x14ac:dyDescent="0.2">
      <c r="A256" s="624"/>
      <c r="B256" s="3"/>
      <c r="C256" s="3"/>
      <c r="D256" s="3"/>
      <c r="E256" s="3"/>
      <c r="F256" s="3"/>
      <c r="G256" s="3"/>
      <c r="H256" s="3"/>
      <c r="I256" s="3"/>
      <c r="J256" s="3"/>
      <c r="K256" s="3"/>
      <c r="L256" s="3"/>
      <c r="M256" s="3"/>
      <c r="N256" s="3"/>
      <c r="O256" s="3"/>
      <c r="P256" s="3"/>
      <c r="Q256" s="3"/>
      <c r="R256" s="3"/>
      <c r="S256" s="3"/>
      <c r="T256" s="3"/>
      <c r="U256" s="3"/>
      <c r="W256" s="3"/>
      <c r="X256" s="3"/>
      <c r="Y256" s="3"/>
      <c r="Z256" s="3"/>
      <c r="AA256" s="3"/>
      <c r="AB256" s="3"/>
      <c r="AC256" s="3"/>
      <c r="AD256" s="3"/>
      <c r="AE256" s="3"/>
      <c r="AF256" s="3"/>
      <c r="AG256" s="3"/>
      <c r="AH256" s="3"/>
      <c r="AI256" s="3"/>
      <c r="AJ256" s="3"/>
      <c r="AK256" s="3"/>
      <c r="AL256" s="3"/>
      <c r="AM256" s="3"/>
      <c r="AN256" s="3"/>
      <c r="AO256" s="3"/>
    </row>
    <row r="257" spans="1:41" x14ac:dyDescent="0.2">
      <c r="A257" s="624"/>
      <c r="B257" s="3"/>
      <c r="C257" s="3"/>
      <c r="D257" s="3"/>
      <c r="E257" s="3"/>
      <c r="F257" s="3"/>
      <c r="G257" s="3"/>
      <c r="H257" s="3"/>
      <c r="I257" s="3"/>
      <c r="J257" s="3"/>
      <c r="K257" s="3"/>
      <c r="L257" s="3"/>
      <c r="M257" s="3"/>
      <c r="N257" s="3"/>
      <c r="O257" s="3"/>
      <c r="P257" s="3"/>
      <c r="Q257" s="3"/>
      <c r="R257" s="3"/>
      <c r="S257" s="3"/>
      <c r="T257" s="3"/>
      <c r="U257" s="3"/>
      <c r="W257" s="3"/>
      <c r="X257" s="3"/>
      <c r="Y257" s="3"/>
      <c r="Z257" s="3"/>
      <c r="AA257" s="3"/>
      <c r="AB257" s="3"/>
      <c r="AC257" s="3"/>
      <c r="AD257" s="3"/>
      <c r="AE257" s="3"/>
      <c r="AF257" s="3"/>
      <c r="AG257" s="3"/>
      <c r="AH257" s="3"/>
      <c r="AI257" s="3"/>
      <c r="AJ257" s="3"/>
      <c r="AK257" s="3"/>
      <c r="AL257" s="3"/>
      <c r="AM257" s="3"/>
      <c r="AN257" s="3"/>
      <c r="AO257" s="3"/>
    </row>
    <row r="258" spans="1:41" x14ac:dyDescent="0.2">
      <c r="A258" s="624"/>
      <c r="B258" s="3"/>
      <c r="C258" s="3"/>
      <c r="D258" s="3"/>
      <c r="E258" s="3"/>
      <c r="F258" s="3"/>
      <c r="G258" s="3"/>
      <c r="H258" s="3"/>
      <c r="I258" s="3"/>
      <c r="J258" s="3"/>
      <c r="K258" s="3"/>
      <c r="L258" s="3"/>
      <c r="M258" s="3"/>
      <c r="N258" s="3"/>
      <c r="O258" s="3"/>
      <c r="P258" s="3"/>
      <c r="Q258" s="3"/>
      <c r="R258" s="3"/>
      <c r="S258" s="3"/>
      <c r="T258" s="3"/>
      <c r="U258" s="3"/>
      <c r="W258" s="3"/>
      <c r="X258" s="3"/>
      <c r="Y258" s="3"/>
      <c r="Z258" s="3"/>
      <c r="AA258" s="3"/>
      <c r="AB258" s="3"/>
      <c r="AC258" s="3"/>
      <c r="AD258" s="3"/>
      <c r="AE258" s="3"/>
      <c r="AF258" s="3"/>
      <c r="AG258" s="3"/>
      <c r="AH258" s="3"/>
      <c r="AI258" s="3"/>
      <c r="AJ258" s="3"/>
      <c r="AK258" s="3"/>
      <c r="AL258" s="3"/>
      <c r="AM258" s="3"/>
      <c r="AN258" s="3"/>
      <c r="AO258" s="3"/>
    </row>
    <row r="259" spans="1:41" x14ac:dyDescent="0.2">
      <c r="A259" s="624"/>
      <c r="B259" s="3"/>
      <c r="C259" s="3"/>
      <c r="D259" s="3"/>
      <c r="E259" s="3"/>
      <c r="F259" s="3"/>
      <c r="G259" s="3"/>
      <c r="H259" s="3"/>
      <c r="I259" s="3"/>
      <c r="J259" s="3"/>
      <c r="K259" s="3"/>
      <c r="L259" s="3"/>
      <c r="M259" s="3"/>
      <c r="N259" s="3"/>
      <c r="O259" s="3"/>
      <c r="P259" s="3"/>
      <c r="Q259" s="3"/>
      <c r="R259" s="3"/>
      <c r="S259" s="3"/>
      <c r="T259" s="3"/>
      <c r="U259" s="3"/>
      <c r="W259" s="3"/>
      <c r="X259" s="3"/>
      <c r="Y259" s="3"/>
      <c r="Z259" s="3"/>
      <c r="AA259" s="3"/>
      <c r="AB259" s="3"/>
      <c r="AC259" s="3"/>
      <c r="AD259" s="3"/>
      <c r="AE259" s="3"/>
      <c r="AF259" s="3"/>
      <c r="AG259" s="3"/>
      <c r="AH259" s="3"/>
      <c r="AI259" s="3"/>
      <c r="AJ259" s="3"/>
      <c r="AK259" s="3"/>
      <c r="AL259" s="3"/>
      <c r="AM259" s="3"/>
      <c r="AN259" s="3"/>
      <c r="AO259" s="3"/>
    </row>
    <row r="260" spans="1:41" x14ac:dyDescent="0.2">
      <c r="A260" s="624"/>
      <c r="B260" s="3"/>
      <c r="C260" s="3"/>
      <c r="D260" s="3"/>
      <c r="E260" s="3"/>
      <c r="F260" s="3"/>
      <c r="G260" s="3"/>
      <c r="H260" s="3"/>
      <c r="I260" s="3"/>
      <c r="J260" s="3"/>
      <c r="K260" s="3"/>
      <c r="L260" s="3"/>
      <c r="M260" s="3"/>
      <c r="N260" s="3"/>
      <c r="O260" s="3"/>
      <c r="P260" s="3"/>
      <c r="Q260" s="3"/>
      <c r="R260" s="3"/>
      <c r="S260" s="3"/>
      <c r="T260" s="3"/>
      <c r="U260" s="3"/>
      <c r="W260" s="3"/>
      <c r="X260" s="3"/>
      <c r="Y260" s="3"/>
      <c r="Z260" s="3"/>
      <c r="AA260" s="3"/>
      <c r="AB260" s="3"/>
      <c r="AC260" s="3"/>
      <c r="AD260" s="3"/>
      <c r="AE260" s="3"/>
      <c r="AF260" s="3"/>
      <c r="AG260" s="3"/>
      <c r="AH260" s="3"/>
      <c r="AI260" s="3"/>
      <c r="AJ260" s="3"/>
      <c r="AK260" s="3"/>
      <c r="AL260" s="3"/>
      <c r="AM260" s="3"/>
      <c r="AN260" s="3"/>
      <c r="AO260" s="3"/>
    </row>
    <row r="261" spans="1:41" x14ac:dyDescent="0.2">
      <c r="A261" s="624"/>
      <c r="B261" s="3"/>
      <c r="C261" s="3"/>
      <c r="D261" s="3"/>
      <c r="E261" s="3"/>
      <c r="F261" s="3"/>
      <c r="G261" s="3"/>
      <c r="H261" s="3"/>
      <c r="I261" s="3"/>
      <c r="J261" s="3"/>
      <c r="K261" s="3"/>
      <c r="L261" s="3"/>
      <c r="M261" s="3"/>
      <c r="N261" s="3"/>
      <c r="O261" s="3"/>
      <c r="P261" s="3"/>
      <c r="Q261" s="3"/>
      <c r="R261" s="3"/>
      <c r="S261" s="3"/>
      <c r="T261" s="3"/>
      <c r="U261" s="3"/>
      <c r="W261" s="3"/>
      <c r="X261" s="3"/>
      <c r="Y261" s="3"/>
      <c r="Z261" s="3"/>
      <c r="AA261" s="3"/>
      <c r="AB261" s="3"/>
      <c r="AC261" s="3"/>
      <c r="AD261" s="3"/>
      <c r="AE261" s="3"/>
      <c r="AF261" s="3"/>
      <c r="AG261" s="3"/>
      <c r="AH261" s="3"/>
      <c r="AI261" s="3"/>
      <c r="AJ261" s="3"/>
      <c r="AK261" s="3"/>
      <c r="AL261" s="3"/>
      <c r="AM261" s="3"/>
      <c r="AN261" s="3"/>
      <c r="AO261" s="3"/>
    </row>
    <row r="262" spans="1:41" x14ac:dyDescent="0.2">
      <c r="A262" s="624"/>
      <c r="B262" s="3"/>
      <c r="C262" s="3"/>
      <c r="D262" s="3"/>
      <c r="E262" s="3"/>
      <c r="F262" s="3"/>
      <c r="G262" s="3"/>
      <c r="H262" s="3"/>
      <c r="I262" s="3"/>
      <c r="J262" s="3"/>
      <c r="K262" s="3"/>
      <c r="L262" s="3"/>
      <c r="M262" s="3"/>
      <c r="N262" s="3"/>
      <c r="O262" s="3"/>
      <c r="P262" s="3"/>
      <c r="Q262" s="3"/>
      <c r="R262" s="3"/>
      <c r="S262" s="3"/>
      <c r="T262" s="3"/>
      <c r="U262" s="3"/>
      <c r="W262" s="3"/>
      <c r="X262" s="3"/>
      <c r="Y262" s="3"/>
      <c r="Z262" s="3"/>
      <c r="AA262" s="3"/>
      <c r="AB262" s="3"/>
      <c r="AC262" s="3"/>
      <c r="AD262" s="3"/>
      <c r="AE262" s="3"/>
      <c r="AF262" s="3"/>
      <c r="AG262" s="3"/>
      <c r="AH262" s="3"/>
      <c r="AI262" s="3"/>
      <c r="AJ262" s="3"/>
      <c r="AK262" s="3"/>
      <c r="AL262" s="3"/>
      <c r="AM262" s="3"/>
      <c r="AN262" s="3"/>
      <c r="AO262" s="3"/>
    </row>
    <row r="263" spans="1:41" x14ac:dyDescent="0.2">
      <c r="A263" s="624"/>
      <c r="B263" s="3"/>
      <c r="C263" s="3"/>
      <c r="D263" s="3"/>
      <c r="E263" s="3"/>
      <c r="F263" s="3"/>
      <c r="G263" s="3"/>
      <c r="H263" s="3"/>
      <c r="I263" s="3"/>
      <c r="J263" s="3"/>
      <c r="K263" s="3"/>
      <c r="L263" s="3"/>
      <c r="M263" s="3"/>
      <c r="N263" s="3"/>
      <c r="O263" s="3"/>
      <c r="P263" s="3"/>
      <c r="Q263" s="3"/>
      <c r="R263" s="3"/>
      <c r="S263" s="3"/>
      <c r="T263" s="3"/>
      <c r="U263" s="3"/>
      <c r="W263" s="3"/>
      <c r="X263" s="3"/>
      <c r="Y263" s="3"/>
      <c r="Z263" s="3"/>
      <c r="AA263" s="3"/>
      <c r="AB263" s="3"/>
      <c r="AC263" s="3"/>
      <c r="AD263" s="3"/>
      <c r="AE263" s="3"/>
      <c r="AF263" s="3"/>
      <c r="AG263" s="3"/>
      <c r="AH263" s="3"/>
      <c r="AI263" s="3"/>
      <c r="AJ263" s="3"/>
      <c r="AK263" s="3"/>
      <c r="AL263" s="3"/>
      <c r="AM263" s="3"/>
      <c r="AN263" s="3"/>
      <c r="AO263" s="3"/>
    </row>
    <row r="264" spans="1:41" x14ac:dyDescent="0.2">
      <c r="A264" s="624"/>
      <c r="B264" s="3"/>
      <c r="C264" s="3"/>
      <c r="D264" s="3"/>
      <c r="E264" s="3"/>
      <c r="F264" s="3"/>
      <c r="G264" s="3"/>
      <c r="H264" s="3"/>
      <c r="I264" s="3"/>
      <c r="J264" s="3"/>
      <c r="K264" s="3"/>
      <c r="L264" s="3"/>
      <c r="M264" s="3"/>
      <c r="N264" s="3"/>
      <c r="O264" s="3"/>
      <c r="P264" s="3"/>
      <c r="Q264" s="3"/>
      <c r="R264" s="3"/>
      <c r="S264" s="3"/>
      <c r="T264" s="3"/>
      <c r="U264" s="3"/>
      <c r="W264" s="3"/>
      <c r="X264" s="3"/>
      <c r="Y264" s="3"/>
      <c r="Z264" s="3"/>
      <c r="AA264" s="3"/>
      <c r="AB264" s="3"/>
      <c r="AC264" s="3"/>
      <c r="AD264" s="3"/>
      <c r="AE264" s="3"/>
      <c r="AF264" s="3"/>
      <c r="AG264" s="3"/>
      <c r="AH264" s="3"/>
      <c r="AI264" s="3"/>
      <c r="AJ264" s="3"/>
      <c r="AK264" s="3"/>
      <c r="AL264" s="3"/>
      <c r="AM264" s="3"/>
      <c r="AN264" s="3"/>
      <c r="AO264" s="3"/>
    </row>
    <row r="265" spans="1:41" x14ac:dyDescent="0.2">
      <c r="A265" s="624"/>
      <c r="B265" s="3"/>
      <c r="C265" s="3"/>
      <c r="D265" s="3"/>
      <c r="E265" s="3"/>
      <c r="F265" s="3"/>
      <c r="G265" s="3"/>
      <c r="H265" s="3"/>
      <c r="I265" s="3"/>
      <c r="J265" s="3"/>
      <c r="K265" s="3"/>
      <c r="L265" s="3"/>
      <c r="M265" s="3"/>
      <c r="N265" s="3"/>
      <c r="O265" s="3"/>
      <c r="P265" s="3"/>
      <c r="Q265" s="3"/>
      <c r="R265" s="3"/>
      <c r="S265" s="3"/>
      <c r="T265" s="3"/>
      <c r="U265" s="3"/>
      <c r="W265" s="3"/>
      <c r="X265" s="3"/>
      <c r="Y265" s="3"/>
      <c r="Z265" s="3"/>
      <c r="AA265" s="3"/>
      <c r="AB265" s="3"/>
      <c r="AC265" s="3"/>
      <c r="AD265" s="3"/>
      <c r="AE265" s="3"/>
      <c r="AF265" s="3"/>
      <c r="AG265" s="3"/>
      <c r="AH265" s="3"/>
      <c r="AI265" s="3"/>
      <c r="AJ265" s="3"/>
      <c r="AK265" s="3"/>
      <c r="AL265" s="3"/>
      <c r="AM265" s="3"/>
      <c r="AN265" s="3"/>
      <c r="AO265" s="3"/>
    </row>
    <row r="266" spans="1:41" x14ac:dyDescent="0.2">
      <c r="A266" s="624"/>
      <c r="B266" s="3"/>
      <c r="C266" s="3"/>
      <c r="D266" s="3"/>
      <c r="E266" s="3"/>
      <c r="F266" s="3"/>
      <c r="G266" s="3"/>
      <c r="H266" s="3"/>
      <c r="I266" s="3"/>
      <c r="J266" s="3"/>
      <c r="K266" s="3"/>
      <c r="L266" s="3"/>
      <c r="M266" s="3"/>
      <c r="N266" s="3"/>
      <c r="O266" s="3"/>
      <c r="P266" s="3"/>
      <c r="Q266" s="3"/>
      <c r="R266" s="3"/>
      <c r="S266" s="3"/>
      <c r="T266" s="3"/>
      <c r="U266" s="3"/>
      <c r="W266" s="3"/>
      <c r="X266" s="3"/>
      <c r="Y266" s="3"/>
      <c r="Z266" s="3"/>
      <c r="AA266" s="3"/>
      <c r="AB266" s="3"/>
      <c r="AC266" s="3"/>
      <c r="AD266" s="3"/>
      <c r="AE266" s="3"/>
      <c r="AF266" s="3"/>
      <c r="AG266" s="3"/>
      <c r="AH266" s="3"/>
      <c r="AI266" s="3"/>
      <c r="AJ266" s="3"/>
      <c r="AK266" s="3"/>
      <c r="AL266" s="3"/>
      <c r="AM266" s="3"/>
      <c r="AN266" s="3"/>
      <c r="AO266" s="3"/>
    </row>
    <row r="267" spans="1:41" x14ac:dyDescent="0.2">
      <c r="A267" s="624"/>
      <c r="B267" s="3"/>
      <c r="C267" s="3"/>
      <c r="D267" s="3"/>
      <c r="E267" s="3"/>
      <c r="F267" s="3"/>
      <c r="G267" s="3"/>
      <c r="H267" s="3"/>
      <c r="I267" s="3"/>
      <c r="J267" s="3"/>
      <c r="K267" s="3"/>
      <c r="L267" s="3"/>
      <c r="M267" s="3"/>
      <c r="N267" s="3"/>
      <c r="O267" s="3"/>
      <c r="P267" s="3"/>
      <c r="Q267" s="3"/>
      <c r="R267" s="3"/>
      <c r="S267" s="3"/>
      <c r="T267" s="3"/>
      <c r="U267" s="3"/>
      <c r="W267" s="3"/>
      <c r="X267" s="3"/>
      <c r="Y267" s="3"/>
      <c r="Z267" s="3"/>
      <c r="AA267" s="3"/>
      <c r="AB267" s="3"/>
      <c r="AC267" s="3"/>
      <c r="AD267" s="3"/>
      <c r="AE267" s="3"/>
      <c r="AF267" s="3"/>
      <c r="AG267" s="3"/>
      <c r="AH267" s="3"/>
      <c r="AI267" s="3"/>
      <c r="AJ267" s="3"/>
      <c r="AK267" s="3"/>
      <c r="AL267" s="3"/>
      <c r="AM267" s="3"/>
      <c r="AN267" s="3"/>
      <c r="AO267" s="3"/>
    </row>
    <row r="268" spans="1:41" x14ac:dyDescent="0.2">
      <c r="A268" s="624"/>
      <c r="B268" s="3"/>
      <c r="C268" s="3"/>
      <c r="D268" s="3"/>
      <c r="E268" s="3"/>
      <c r="F268" s="3"/>
      <c r="G268" s="3"/>
      <c r="H268" s="3"/>
      <c r="I268" s="3"/>
      <c r="J268" s="3"/>
      <c r="K268" s="3"/>
      <c r="L268" s="3"/>
      <c r="M268" s="3"/>
      <c r="N268" s="3"/>
      <c r="O268" s="3"/>
      <c r="P268" s="3"/>
      <c r="Q268" s="3"/>
      <c r="R268" s="3"/>
      <c r="S268" s="3"/>
      <c r="T268" s="3"/>
      <c r="U268" s="3"/>
      <c r="W268" s="3"/>
      <c r="X268" s="3"/>
      <c r="Y268" s="3"/>
      <c r="Z268" s="3"/>
      <c r="AA268" s="3"/>
      <c r="AB268" s="3"/>
      <c r="AC268" s="3"/>
      <c r="AD268" s="3"/>
      <c r="AE268" s="3"/>
      <c r="AF268" s="3"/>
      <c r="AG268" s="3"/>
      <c r="AH268" s="3"/>
      <c r="AI268" s="3"/>
      <c r="AJ268" s="3"/>
      <c r="AK268" s="3"/>
      <c r="AL268" s="3"/>
      <c r="AM268" s="3"/>
      <c r="AN268" s="3"/>
      <c r="AO268" s="3"/>
    </row>
    <row r="269" spans="1:41" x14ac:dyDescent="0.2">
      <c r="A269" s="624"/>
      <c r="B269" s="3"/>
      <c r="C269" s="3"/>
      <c r="D269" s="3"/>
      <c r="E269" s="3"/>
      <c r="F269" s="3"/>
      <c r="G269" s="3"/>
      <c r="H269" s="3"/>
      <c r="I269" s="3"/>
      <c r="J269" s="3"/>
      <c r="K269" s="3"/>
      <c r="L269" s="3"/>
      <c r="M269" s="3"/>
      <c r="N269" s="3"/>
      <c r="O269" s="3"/>
      <c r="P269" s="3"/>
      <c r="Q269" s="3"/>
      <c r="R269" s="3"/>
      <c r="S269" s="3"/>
      <c r="T269" s="3"/>
      <c r="U269" s="3"/>
      <c r="W269" s="3"/>
      <c r="X269" s="3"/>
      <c r="Y269" s="3"/>
      <c r="Z269" s="3"/>
      <c r="AA269" s="3"/>
      <c r="AB269" s="3"/>
      <c r="AC269" s="3"/>
      <c r="AD269" s="3"/>
      <c r="AE269" s="3"/>
      <c r="AF269" s="3"/>
      <c r="AG269" s="3"/>
      <c r="AH269" s="3"/>
      <c r="AI269" s="3"/>
      <c r="AJ269" s="3"/>
      <c r="AK269" s="3"/>
      <c r="AL269" s="3"/>
      <c r="AM269" s="3"/>
      <c r="AN269" s="3"/>
      <c r="AO269" s="3"/>
    </row>
    <row r="270" spans="1:41" x14ac:dyDescent="0.2">
      <c r="A270" s="624"/>
      <c r="B270" s="3"/>
      <c r="C270" s="3"/>
      <c r="D270" s="3"/>
      <c r="E270" s="3"/>
      <c r="F270" s="3"/>
      <c r="G270" s="3"/>
      <c r="H270" s="3"/>
      <c r="I270" s="3"/>
      <c r="J270" s="3"/>
      <c r="K270" s="3"/>
      <c r="L270" s="3"/>
      <c r="M270" s="3"/>
      <c r="N270" s="3"/>
      <c r="O270" s="3"/>
      <c r="P270" s="3"/>
      <c r="Q270" s="3"/>
      <c r="R270" s="3"/>
      <c r="S270" s="3"/>
      <c r="T270" s="3"/>
      <c r="U270" s="3"/>
      <c r="W270" s="3"/>
      <c r="X270" s="3"/>
      <c r="Y270" s="3"/>
      <c r="Z270" s="3"/>
      <c r="AA270" s="3"/>
      <c r="AB270" s="3"/>
      <c r="AC270" s="3"/>
      <c r="AD270" s="3"/>
      <c r="AE270" s="3"/>
      <c r="AF270" s="3"/>
      <c r="AG270" s="3"/>
      <c r="AH270" s="3"/>
      <c r="AI270" s="3"/>
      <c r="AJ270" s="3"/>
      <c r="AK270" s="3"/>
      <c r="AL270" s="3"/>
      <c r="AM270" s="3"/>
      <c r="AN270" s="3"/>
      <c r="AO270" s="3"/>
    </row>
    <row r="271" spans="1:41" x14ac:dyDescent="0.2">
      <c r="A271" s="624"/>
      <c r="B271" s="3"/>
      <c r="C271" s="3"/>
      <c r="D271" s="3"/>
      <c r="E271" s="3"/>
      <c r="F271" s="3"/>
      <c r="G271" s="3"/>
      <c r="H271" s="3"/>
      <c r="I271" s="3"/>
      <c r="J271" s="3"/>
      <c r="K271" s="3"/>
      <c r="L271" s="3"/>
      <c r="M271" s="3"/>
      <c r="N271" s="3"/>
      <c r="O271" s="3"/>
      <c r="P271" s="3"/>
      <c r="Q271" s="3"/>
      <c r="R271" s="3"/>
      <c r="S271" s="3"/>
      <c r="T271" s="3"/>
      <c r="U271" s="3"/>
      <c r="W271" s="3"/>
      <c r="X271" s="3"/>
      <c r="Y271" s="3"/>
      <c r="Z271" s="3"/>
      <c r="AA271" s="3"/>
      <c r="AB271" s="3"/>
      <c r="AC271" s="3"/>
      <c r="AD271" s="3"/>
      <c r="AE271" s="3"/>
      <c r="AF271" s="3"/>
      <c r="AG271" s="3"/>
      <c r="AH271" s="3"/>
      <c r="AI271" s="3"/>
      <c r="AJ271" s="3"/>
      <c r="AK271" s="3"/>
      <c r="AL271" s="3"/>
      <c r="AM271" s="3"/>
      <c r="AN271" s="3"/>
      <c r="AO271" s="3"/>
    </row>
    <row r="272" spans="1:41" x14ac:dyDescent="0.2">
      <c r="A272" s="624"/>
      <c r="B272" s="3"/>
      <c r="C272" s="3"/>
      <c r="D272" s="3"/>
      <c r="E272" s="3"/>
      <c r="F272" s="3"/>
      <c r="G272" s="3"/>
      <c r="H272" s="3"/>
      <c r="I272" s="3"/>
      <c r="J272" s="3"/>
      <c r="K272" s="3"/>
      <c r="L272" s="3"/>
      <c r="M272" s="3"/>
      <c r="N272" s="3"/>
      <c r="O272" s="3"/>
      <c r="P272" s="3"/>
      <c r="Q272" s="3"/>
      <c r="R272" s="3"/>
      <c r="S272" s="3"/>
      <c r="T272" s="3"/>
      <c r="U272" s="3"/>
      <c r="W272" s="3"/>
      <c r="X272" s="3"/>
      <c r="Y272" s="3"/>
      <c r="Z272" s="3"/>
      <c r="AA272" s="3"/>
      <c r="AB272" s="3"/>
      <c r="AC272" s="3"/>
      <c r="AD272" s="3"/>
      <c r="AE272" s="3"/>
      <c r="AF272" s="3"/>
      <c r="AG272" s="3"/>
      <c r="AH272" s="3"/>
      <c r="AI272" s="3"/>
      <c r="AJ272" s="3"/>
      <c r="AK272" s="3"/>
      <c r="AL272" s="3"/>
      <c r="AM272" s="3"/>
      <c r="AN272" s="3"/>
      <c r="AO272" s="3"/>
    </row>
    <row r="273" spans="1:41" x14ac:dyDescent="0.2">
      <c r="A273" s="624"/>
      <c r="B273" s="3"/>
      <c r="C273" s="3"/>
      <c r="D273" s="3"/>
      <c r="E273" s="3"/>
      <c r="F273" s="3"/>
      <c r="G273" s="3"/>
      <c r="H273" s="3"/>
      <c r="I273" s="3"/>
      <c r="J273" s="3"/>
      <c r="K273" s="3"/>
      <c r="L273" s="3"/>
      <c r="M273" s="3"/>
      <c r="N273" s="3"/>
      <c r="O273" s="3"/>
      <c r="P273" s="3"/>
      <c r="Q273" s="3"/>
      <c r="R273" s="3"/>
      <c r="S273" s="3"/>
      <c r="T273" s="3"/>
      <c r="U273" s="3"/>
      <c r="W273" s="3"/>
      <c r="X273" s="3"/>
      <c r="Y273" s="3"/>
      <c r="Z273" s="3"/>
      <c r="AA273" s="3"/>
      <c r="AB273" s="3"/>
      <c r="AC273" s="3"/>
      <c r="AD273" s="3"/>
      <c r="AE273" s="3"/>
      <c r="AF273" s="3"/>
      <c r="AG273" s="3"/>
      <c r="AH273" s="3"/>
      <c r="AI273" s="3"/>
      <c r="AJ273" s="3"/>
      <c r="AK273" s="3"/>
      <c r="AL273" s="3"/>
      <c r="AM273" s="3"/>
      <c r="AN273" s="3"/>
      <c r="AO273" s="3"/>
    </row>
    <row r="274" spans="1:41" x14ac:dyDescent="0.2">
      <c r="A274" s="624"/>
      <c r="B274" s="3"/>
      <c r="C274" s="3"/>
      <c r="D274" s="3"/>
      <c r="E274" s="3"/>
      <c r="F274" s="3"/>
      <c r="G274" s="3"/>
      <c r="H274" s="3"/>
      <c r="I274" s="3"/>
      <c r="J274" s="3"/>
      <c r="K274" s="3"/>
      <c r="L274" s="3"/>
      <c r="M274" s="3"/>
      <c r="N274" s="3"/>
      <c r="O274" s="3"/>
      <c r="P274" s="3"/>
      <c r="Q274" s="3"/>
      <c r="R274" s="3"/>
      <c r="S274" s="3"/>
      <c r="T274" s="3"/>
      <c r="U274" s="3"/>
      <c r="W274" s="3"/>
      <c r="X274" s="3"/>
      <c r="Y274" s="3"/>
      <c r="Z274" s="3"/>
      <c r="AA274" s="3"/>
      <c r="AB274" s="3"/>
      <c r="AC274" s="3"/>
      <c r="AD274" s="3"/>
      <c r="AE274" s="3"/>
      <c r="AF274" s="3"/>
      <c r="AG274" s="3"/>
      <c r="AH274" s="3"/>
      <c r="AI274" s="3"/>
      <c r="AJ274" s="3"/>
      <c r="AK274" s="3"/>
      <c r="AL274" s="3"/>
      <c r="AM274" s="3"/>
      <c r="AN274" s="3"/>
      <c r="AO274" s="3"/>
    </row>
    <row r="275" spans="1:41" x14ac:dyDescent="0.2">
      <c r="A275" s="624"/>
      <c r="B275" s="3"/>
      <c r="C275" s="3"/>
      <c r="D275" s="3"/>
      <c r="E275" s="3"/>
      <c r="F275" s="3"/>
      <c r="G275" s="3"/>
      <c r="H275" s="3"/>
      <c r="I275" s="3"/>
      <c r="J275" s="3"/>
      <c r="K275" s="3"/>
      <c r="L275" s="3"/>
      <c r="M275" s="3"/>
      <c r="N275" s="3"/>
      <c r="O275" s="3"/>
      <c r="P275" s="3"/>
      <c r="Q275" s="3"/>
      <c r="R275" s="3"/>
      <c r="S275" s="3"/>
      <c r="T275" s="3"/>
      <c r="U275" s="3"/>
      <c r="W275" s="3"/>
      <c r="X275" s="3"/>
      <c r="Y275" s="3"/>
      <c r="Z275" s="3"/>
      <c r="AA275" s="3"/>
      <c r="AB275" s="3"/>
      <c r="AC275" s="3"/>
      <c r="AD275" s="3"/>
      <c r="AE275" s="3"/>
      <c r="AF275" s="3"/>
      <c r="AG275" s="3"/>
      <c r="AH275" s="3"/>
      <c r="AI275" s="3"/>
      <c r="AJ275" s="3"/>
      <c r="AK275" s="3"/>
      <c r="AL275" s="3"/>
      <c r="AM275" s="3"/>
      <c r="AN275" s="3"/>
      <c r="AO275" s="3"/>
    </row>
    <row r="276" spans="1:41" x14ac:dyDescent="0.2">
      <c r="A276" s="624"/>
      <c r="B276" s="3"/>
      <c r="C276" s="3"/>
      <c r="D276" s="3"/>
      <c r="E276" s="3"/>
      <c r="F276" s="3"/>
      <c r="G276" s="3"/>
      <c r="H276" s="3"/>
      <c r="I276" s="3"/>
      <c r="J276" s="3"/>
      <c r="K276" s="3"/>
      <c r="L276" s="3"/>
      <c r="M276" s="3"/>
      <c r="N276" s="3"/>
      <c r="O276" s="3"/>
      <c r="P276" s="3"/>
      <c r="Q276" s="3"/>
      <c r="R276" s="3"/>
      <c r="S276" s="3"/>
      <c r="T276" s="3"/>
      <c r="U276" s="3"/>
      <c r="W276" s="3"/>
      <c r="X276" s="3"/>
      <c r="Y276" s="3"/>
      <c r="Z276" s="3"/>
      <c r="AA276" s="3"/>
      <c r="AB276" s="3"/>
      <c r="AC276" s="3"/>
      <c r="AD276" s="3"/>
      <c r="AE276" s="3"/>
      <c r="AF276" s="3"/>
      <c r="AG276" s="3"/>
      <c r="AH276" s="3"/>
      <c r="AI276" s="3"/>
      <c r="AJ276" s="3"/>
      <c r="AK276" s="3"/>
      <c r="AL276" s="3"/>
      <c r="AM276" s="3"/>
      <c r="AN276" s="3"/>
      <c r="AO276" s="3"/>
    </row>
    <row r="277" spans="1:41" x14ac:dyDescent="0.2">
      <c r="A277" s="624"/>
      <c r="B277" s="3"/>
      <c r="C277" s="3"/>
      <c r="D277" s="3"/>
      <c r="E277" s="3"/>
      <c r="F277" s="3"/>
      <c r="G277" s="3"/>
      <c r="H277" s="3"/>
      <c r="I277" s="3"/>
      <c r="J277" s="3"/>
      <c r="K277" s="3"/>
      <c r="L277" s="3"/>
      <c r="M277" s="3"/>
      <c r="N277" s="3"/>
      <c r="O277" s="3"/>
      <c r="P277" s="3"/>
      <c r="Q277" s="3"/>
      <c r="R277" s="3"/>
      <c r="S277" s="3"/>
      <c r="T277" s="3"/>
      <c r="U277" s="3"/>
      <c r="W277" s="3"/>
      <c r="X277" s="3"/>
      <c r="Y277" s="3"/>
      <c r="Z277" s="3"/>
      <c r="AA277" s="3"/>
      <c r="AB277" s="3"/>
      <c r="AC277" s="3"/>
      <c r="AD277" s="3"/>
      <c r="AE277" s="3"/>
      <c r="AF277" s="3"/>
      <c r="AG277" s="3"/>
      <c r="AH277" s="3"/>
      <c r="AI277" s="3"/>
      <c r="AJ277" s="3"/>
      <c r="AK277" s="3"/>
      <c r="AL277" s="3"/>
      <c r="AM277" s="3"/>
      <c r="AN277" s="3"/>
      <c r="AO277" s="3"/>
    </row>
    <row r="278" spans="1:41" x14ac:dyDescent="0.2">
      <c r="A278" s="624"/>
      <c r="B278" s="3"/>
      <c r="C278" s="3"/>
      <c r="D278" s="3"/>
      <c r="E278" s="3"/>
      <c r="F278" s="3"/>
      <c r="G278" s="3"/>
      <c r="H278" s="3"/>
      <c r="I278" s="3"/>
      <c r="J278" s="3"/>
      <c r="K278" s="3"/>
      <c r="L278" s="3"/>
      <c r="M278" s="3"/>
      <c r="N278" s="3"/>
      <c r="O278" s="3"/>
      <c r="P278" s="3"/>
      <c r="Q278" s="3"/>
      <c r="R278" s="3"/>
      <c r="S278" s="3"/>
      <c r="T278" s="3"/>
      <c r="U278" s="3"/>
      <c r="W278" s="3"/>
      <c r="X278" s="3"/>
      <c r="Y278" s="3"/>
      <c r="Z278" s="3"/>
      <c r="AA278" s="3"/>
      <c r="AB278" s="3"/>
      <c r="AC278" s="3"/>
      <c r="AD278" s="3"/>
      <c r="AE278" s="3"/>
      <c r="AF278" s="3"/>
      <c r="AG278" s="3"/>
      <c r="AH278" s="3"/>
      <c r="AI278" s="3"/>
      <c r="AJ278" s="3"/>
      <c r="AK278" s="3"/>
      <c r="AL278" s="3"/>
      <c r="AM278" s="3"/>
      <c r="AN278" s="3"/>
      <c r="AO278" s="3"/>
    </row>
    <row r="279" spans="1:41" x14ac:dyDescent="0.2">
      <c r="A279" s="624"/>
      <c r="B279" s="3"/>
      <c r="C279" s="3"/>
      <c r="D279" s="3"/>
      <c r="E279" s="3"/>
      <c r="F279" s="3"/>
      <c r="G279" s="3"/>
      <c r="H279" s="3"/>
      <c r="I279" s="3"/>
      <c r="J279" s="3"/>
      <c r="K279" s="3"/>
      <c r="L279" s="3"/>
      <c r="M279" s="3"/>
      <c r="N279" s="3"/>
      <c r="O279" s="3"/>
      <c r="P279" s="3"/>
      <c r="Q279" s="3"/>
      <c r="R279" s="3"/>
      <c r="S279" s="3"/>
      <c r="T279" s="3"/>
      <c r="U279" s="3"/>
      <c r="W279" s="3"/>
      <c r="X279" s="3"/>
      <c r="Y279" s="3"/>
      <c r="Z279" s="3"/>
      <c r="AA279" s="3"/>
      <c r="AB279" s="3"/>
      <c r="AC279" s="3"/>
      <c r="AD279" s="3"/>
      <c r="AE279" s="3"/>
      <c r="AF279" s="3"/>
      <c r="AG279" s="3"/>
      <c r="AH279" s="3"/>
      <c r="AI279" s="3"/>
      <c r="AJ279" s="3"/>
      <c r="AK279" s="3"/>
      <c r="AL279" s="3"/>
      <c r="AM279" s="3"/>
      <c r="AN279" s="3"/>
      <c r="AO279" s="3"/>
    </row>
    <row r="280" spans="1:41" x14ac:dyDescent="0.2">
      <c r="A280" s="624"/>
      <c r="B280" s="3"/>
      <c r="C280" s="3"/>
      <c r="D280" s="3"/>
      <c r="E280" s="3"/>
      <c r="F280" s="3"/>
      <c r="G280" s="3"/>
      <c r="H280" s="3"/>
      <c r="I280" s="3"/>
      <c r="J280" s="3"/>
      <c r="K280" s="3"/>
      <c r="L280" s="3"/>
      <c r="M280" s="3"/>
      <c r="N280" s="3"/>
      <c r="O280" s="3"/>
      <c r="P280" s="3"/>
      <c r="Q280" s="3"/>
      <c r="R280" s="3"/>
      <c r="S280" s="3"/>
      <c r="T280" s="3"/>
      <c r="U280" s="3"/>
      <c r="W280" s="3"/>
      <c r="X280" s="3"/>
      <c r="Y280" s="3"/>
      <c r="Z280" s="3"/>
      <c r="AA280" s="3"/>
      <c r="AB280" s="3"/>
      <c r="AC280" s="3"/>
      <c r="AD280" s="3"/>
      <c r="AE280" s="3"/>
      <c r="AF280" s="3"/>
      <c r="AG280" s="3"/>
      <c r="AH280" s="3"/>
      <c r="AI280" s="3"/>
      <c r="AJ280" s="3"/>
      <c r="AK280" s="3"/>
      <c r="AL280" s="3"/>
      <c r="AM280" s="3"/>
      <c r="AN280" s="3"/>
      <c r="AO280" s="3"/>
    </row>
    <row r="281" spans="1:41" x14ac:dyDescent="0.2">
      <c r="A281" s="624"/>
      <c r="B281" s="3"/>
      <c r="C281" s="3"/>
      <c r="D281" s="3"/>
      <c r="E281" s="3"/>
      <c r="F281" s="3"/>
      <c r="G281" s="3"/>
      <c r="H281" s="3"/>
      <c r="I281" s="3"/>
      <c r="J281" s="3"/>
      <c r="K281" s="3"/>
      <c r="L281" s="3"/>
      <c r="M281" s="3"/>
      <c r="N281" s="3"/>
      <c r="O281" s="3"/>
      <c r="P281" s="3"/>
      <c r="Q281" s="3"/>
      <c r="R281" s="3"/>
      <c r="S281" s="3"/>
      <c r="T281" s="3"/>
      <c r="U281" s="3"/>
      <c r="W281" s="3"/>
      <c r="X281" s="3"/>
      <c r="Y281" s="3"/>
      <c r="Z281" s="3"/>
      <c r="AA281" s="3"/>
      <c r="AB281" s="3"/>
      <c r="AC281" s="3"/>
      <c r="AD281" s="3"/>
      <c r="AE281" s="3"/>
      <c r="AF281" s="3"/>
      <c r="AG281" s="3"/>
      <c r="AH281" s="3"/>
      <c r="AI281" s="3"/>
      <c r="AJ281" s="3"/>
      <c r="AK281" s="3"/>
      <c r="AL281" s="3"/>
      <c r="AM281" s="3"/>
      <c r="AN281" s="3"/>
      <c r="AO281" s="3"/>
    </row>
    <row r="282" spans="1:41" x14ac:dyDescent="0.2">
      <c r="A282" s="624"/>
      <c r="B282" s="3"/>
      <c r="C282" s="3"/>
      <c r="D282" s="3"/>
      <c r="E282" s="3"/>
      <c r="F282" s="3"/>
      <c r="G282" s="3"/>
      <c r="H282" s="3"/>
      <c r="I282" s="3"/>
      <c r="J282" s="3"/>
      <c r="K282" s="3"/>
      <c r="L282" s="3"/>
      <c r="M282" s="3"/>
      <c r="N282" s="3"/>
      <c r="O282" s="3"/>
      <c r="P282" s="3"/>
      <c r="Q282" s="3"/>
      <c r="R282" s="3"/>
      <c r="S282" s="3"/>
      <c r="T282" s="3"/>
      <c r="U282" s="3"/>
      <c r="W282" s="3"/>
      <c r="X282" s="3"/>
      <c r="Y282" s="3"/>
      <c r="Z282" s="3"/>
      <c r="AA282" s="3"/>
      <c r="AB282" s="3"/>
      <c r="AC282" s="3"/>
      <c r="AD282" s="3"/>
      <c r="AE282" s="3"/>
      <c r="AF282" s="3"/>
      <c r="AG282" s="3"/>
      <c r="AH282" s="3"/>
      <c r="AI282" s="3"/>
      <c r="AJ282" s="3"/>
      <c r="AK282" s="3"/>
      <c r="AL282" s="3"/>
      <c r="AM282" s="3"/>
      <c r="AN282" s="3"/>
      <c r="AO282" s="3"/>
    </row>
    <row r="283" spans="1:41" x14ac:dyDescent="0.2">
      <c r="A283" s="624"/>
      <c r="B283" s="3"/>
      <c r="C283" s="3"/>
      <c r="D283" s="3"/>
      <c r="E283" s="3"/>
      <c r="F283" s="3"/>
      <c r="G283" s="3"/>
      <c r="H283" s="3"/>
      <c r="I283" s="3"/>
      <c r="J283" s="3"/>
      <c r="K283" s="3"/>
      <c r="L283" s="3"/>
      <c r="M283" s="3"/>
      <c r="N283" s="3"/>
      <c r="O283" s="3"/>
      <c r="P283" s="3"/>
      <c r="Q283" s="3"/>
      <c r="R283" s="3"/>
      <c r="S283" s="3"/>
      <c r="T283" s="3"/>
      <c r="U283" s="3"/>
      <c r="W283" s="3"/>
      <c r="X283" s="3"/>
      <c r="Y283" s="3"/>
      <c r="Z283" s="3"/>
      <c r="AA283" s="3"/>
      <c r="AB283" s="3"/>
      <c r="AC283" s="3"/>
      <c r="AD283" s="3"/>
      <c r="AE283" s="3"/>
      <c r="AF283" s="3"/>
      <c r="AG283" s="3"/>
      <c r="AH283" s="3"/>
      <c r="AI283" s="3"/>
      <c r="AJ283" s="3"/>
      <c r="AK283" s="3"/>
      <c r="AL283" s="3"/>
      <c r="AM283" s="3"/>
      <c r="AN283" s="3"/>
      <c r="AO283" s="3"/>
    </row>
    <row r="284" spans="1:41" x14ac:dyDescent="0.2">
      <c r="A284" s="624"/>
      <c r="B284" s="3"/>
      <c r="C284" s="3"/>
      <c r="D284" s="3"/>
      <c r="E284" s="3"/>
      <c r="F284" s="3"/>
      <c r="G284" s="3"/>
      <c r="H284" s="3"/>
      <c r="I284" s="3"/>
      <c r="J284" s="3"/>
      <c r="K284" s="3"/>
      <c r="L284" s="3"/>
      <c r="M284" s="3"/>
      <c r="N284" s="3"/>
      <c r="O284" s="3"/>
      <c r="P284" s="3"/>
      <c r="Q284" s="3"/>
      <c r="R284" s="3"/>
      <c r="S284" s="3"/>
      <c r="T284" s="3"/>
      <c r="U284" s="3"/>
      <c r="W284" s="3"/>
      <c r="X284" s="3"/>
      <c r="Y284" s="3"/>
      <c r="Z284" s="3"/>
      <c r="AA284" s="3"/>
      <c r="AB284" s="3"/>
      <c r="AC284" s="3"/>
      <c r="AD284" s="3"/>
      <c r="AE284" s="3"/>
      <c r="AF284" s="3"/>
      <c r="AG284" s="3"/>
      <c r="AH284" s="3"/>
      <c r="AI284" s="3"/>
      <c r="AJ284" s="3"/>
      <c r="AK284" s="3"/>
      <c r="AL284" s="3"/>
      <c r="AM284" s="3"/>
      <c r="AN284" s="3"/>
      <c r="AO284" s="3"/>
    </row>
    <row r="285" spans="1:41" x14ac:dyDescent="0.2">
      <c r="A285" s="624"/>
      <c r="B285" s="3"/>
      <c r="C285" s="3"/>
      <c r="D285" s="3"/>
      <c r="E285" s="3"/>
      <c r="F285" s="3"/>
      <c r="G285" s="3"/>
      <c r="H285" s="3"/>
      <c r="I285" s="3"/>
      <c r="J285" s="3"/>
      <c r="K285" s="3"/>
      <c r="L285" s="3"/>
      <c r="M285" s="3"/>
      <c r="N285" s="3"/>
      <c r="O285" s="3"/>
      <c r="P285" s="3"/>
      <c r="Q285" s="3"/>
      <c r="R285" s="3"/>
      <c r="S285" s="3"/>
      <c r="T285" s="3"/>
      <c r="U285" s="3"/>
      <c r="W285" s="3"/>
      <c r="X285" s="3"/>
      <c r="Y285" s="3"/>
      <c r="Z285" s="3"/>
      <c r="AA285" s="3"/>
      <c r="AB285" s="3"/>
      <c r="AC285" s="3"/>
      <c r="AD285" s="3"/>
      <c r="AE285" s="3"/>
      <c r="AF285" s="3"/>
      <c r="AG285" s="3"/>
      <c r="AH285" s="3"/>
      <c r="AI285" s="3"/>
      <c r="AJ285" s="3"/>
      <c r="AK285" s="3"/>
      <c r="AL285" s="3"/>
      <c r="AM285" s="3"/>
      <c r="AN285" s="3"/>
      <c r="AO285" s="3"/>
    </row>
    <row r="286" spans="1:41" x14ac:dyDescent="0.2">
      <c r="A286" s="624"/>
      <c r="B286" s="3"/>
      <c r="C286" s="3"/>
      <c r="D286" s="3"/>
      <c r="E286" s="3"/>
      <c r="F286" s="3"/>
      <c r="G286" s="3"/>
      <c r="H286" s="3"/>
      <c r="I286" s="3"/>
      <c r="J286" s="3"/>
      <c r="K286" s="3"/>
      <c r="L286" s="3"/>
      <c r="M286" s="3"/>
      <c r="N286" s="3"/>
      <c r="O286" s="3"/>
      <c r="P286" s="3"/>
      <c r="Q286" s="3"/>
      <c r="R286" s="3"/>
      <c r="S286" s="3"/>
      <c r="T286" s="3"/>
      <c r="U286" s="3"/>
      <c r="W286" s="3"/>
      <c r="X286" s="3"/>
      <c r="Y286" s="3"/>
      <c r="Z286" s="3"/>
      <c r="AA286" s="3"/>
      <c r="AB286" s="3"/>
      <c r="AC286" s="3"/>
      <c r="AD286" s="3"/>
      <c r="AE286" s="3"/>
      <c r="AF286" s="3"/>
      <c r="AG286" s="3"/>
      <c r="AH286" s="3"/>
      <c r="AI286" s="3"/>
      <c r="AJ286" s="3"/>
      <c r="AK286" s="3"/>
      <c r="AL286" s="3"/>
      <c r="AM286" s="3"/>
      <c r="AN286" s="3"/>
      <c r="AO286" s="3"/>
    </row>
    <row r="287" spans="1:41" x14ac:dyDescent="0.2">
      <c r="A287" s="624"/>
      <c r="B287" s="3"/>
      <c r="C287" s="3"/>
      <c r="D287" s="3"/>
      <c r="E287" s="3"/>
      <c r="F287" s="3"/>
      <c r="G287" s="3"/>
      <c r="H287" s="3"/>
      <c r="I287" s="3"/>
      <c r="J287" s="3"/>
      <c r="K287" s="3"/>
      <c r="L287" s="3"/>
      <c r="M287" s="3"/>
      <c r="N287" s="3"/>
      <c r="O287" s="3"/>
      <c r="P287" s="3"/>
      <c r="Q287" s="3"/>
      <c r="R287" s="3"/>
      <c r="S287" s="3"/>
      <c r="T287" s="3"/>
      <c r="U287" s="3"/>
      <c r="W287" s="3"/>
      <c r="X287" s="3"/>
      <c r="Y287" s="3"/>
      <c r="Z287" s="3"/>
      <c r="AA287" s="3"/>
      <c r="AB287" s="3"/>
      <c r="AC287" s="3"/>
      <c r="AD287" s="3"/>
      <c r="AE287" s="3"/>
      <c r="AF287" s="3"/>
      <c r="AG287" s="3"/>
      <c r="AH287" s="3"/>
      <c r="AI287" s="3"/>
      <c r="AJ287" s="3"/>
      <c r="AK287" s="3"/>
      <c r="AL287" s="3"/>
      <c r="AM287" s="3"/>
      <c r="AN287" s="3"/>
      <c r="AO287" s="3"/>
    </row>
    <row r="288" spans="1:41" x14ac:dyDescent="0.2">
      <c r="A288" s="624"/>
      <c r="B288" s="3"/>
      <c r="C288" s="3"/>
      <c r="D288" s="3"/>
      <c r="E288" s="3"/>
      <c r="F288" s="3"/>
      <c r="G288" s="3"/>
      <c r="H288" s="3"/>
      <c r="I288" s="3"/>
      <c r="J288" s="3"/>
      <c r="K288" s="3"/>
      <c r="L288" s="3"/>
      <c r="M288" s="3"/>
      <c r="N288" s="3"/>
      <c r="O288" s="3"/>
      <c r="P288" s="3"/>
      <c r="Q288" s="3"/>
      <c r="R288" s="3"/>
      <c r="S288" s="3"/>
      <c r="T288" s="3"/>
      <c r="U288" s="3"/>
      <c r="W288" s="3"/>
      <c r="X288" s="3"/>
      <c r="Y288" s="3"/>
      <c r="Z288" s="3"/>
      <c r="AA288" s="3"/>
      <c r="AB288" s="3"/>
      <c r="AC288" s="3"/>
      <c r="AD288" s="3"/>
      <c r="AE288" s="3"/>
      <c r="AF288" s="3"/>
      <c r="AG288" s="3"/>
      <c r="AH288" s="3"/>
      <c r="AI288" s="3"/>
      <c r="AJ288" s="3"/>
      <c r="AK288" s="3"/>
      <c r="AL288" s="3"/>
      <c r="AM288" s="3"/>
      <c r="AN288" s="3"/>
      <c r="AO288" s="3"/>
    </row>
    <row r="289" spans="1:41" x14ac:dyDescent="0.2">
      <c r="A289" s="624"/>
      <c r="B289" s="3"/>
      <c r="C289" s="3"/>
      <c r="D289" s="3"/>
      <c r="E289" s="3"/>
      <c r="F289" s="3"/>
      <c r="G289" s="3"/>
      <c r="H289" s="3"/>
      <c r="I289" s="3"/>
      <c r="J289" s="3"/>
      <c r="K289" s="3"/>
      <c r="L289" s="3"/>
      <c r="M289" s="3"/>
      <c r="N289" s="3"/>
      <c r="O289" s="3"/>
      <c r="P289" s="3"/>
      <c r="Q289" s="3"/>
      <c r="R289" s="3"/>
      <c r="S289" s="3"/>
      <c r="T289" s="3"/>
      <c r="U289" s="3"/>
      <c r="W289" s="3"/>
      <c r="X289" s="3"/>
      <c r="Y289" s="3"/>
      <c r="Z289" s="3"/>
      <c r="AA289" s="3"/>
      <c r="AB289" s="3"/>
      <c r="AC289" s="3"/>
      <c r="AD289" s="3"/>
      <c r="AE289" s="3"/>
      <c r="AF289" s="3"/>
      <c r="AG289" s="3"/>
      <c r="AH289" s="3"/>
      <c r="AI289" s="3"/>
      <c r="AJ289" s="3"/>
      <c r="AK289" s="3"/>
      <c r="AL289" s="3"/>
      <c r="AM289" s="3"/>
      <c r="AN289" s="3"/>
      <c r="AO289" s="3"/>
    </row>
    <row r="290" spans="1:41" x14ac:dyDescent="0.2">
      <c r="A290" s="624"/>
      <c r="B290" s="3"/>
      <c r="C290" s="3"/>
      <c r="D290" s="3"/>
      <c r="E290" s="3"/>
      <c r="F290" s="3"/>
      <c r="G290" s="3"/>
      <c r="H290" s="3"/>
      <c r="I290" s="3"/>
      <c r="J290" s="3"/>
      <c r="K290" s="3"/>
      <c r="L290" s="3"/>
      <c r="M290" s="3"/>
      <c r="N290" s="3"/>
      <c r="O290" s="3"/>
      <c r="P290" s="3"/>
      <c r="Q290" s="3"/>
      <c r="R290" s="3"/>
      <c r="S290" s="3"/>
      <c r="T290" s="3"/>
      <c r="U290" s="3"/>
      <c r="W290" s="3"/>
      <c r="X290" s="3"/>
      <c r="Y290" s="3"/>
      <c r="Z290" s="3"/>
      <c r="AA290" s="3"/>
      <c r="AB290" s="3"/>
      <c r="AC290" s="3"/>
      <c r="AD290" s="3"/>
      <c r="AE290" s="3"/>
      <c r="AF290" s="3"/>
      <c r="AG290" s="3"/>
      <c r="AH290" s="3"/>
      <c r="AI290" s="3"/>
      <c r="AJ290" s="3"/>
      <c r="AK290" s="3"/>
      <c r="AL290" s="3"/>
      <c r="AM290" s="3"/>
      <c r="AN290" s="3"/>
      <c r="AO290" s="3"/>
    </row>
    <row r="291" spans="1:41" x14ac:dyDescent="0.2">
      <c r="A291" s="624"/>
      <c r="B291" s="3"/>
      <c r="C291" s="3"/>
      <c r="D291" s="3"/>
      <c r="E291" s="3"/>
      <c r="F291" s="3"/>
      <c r="G291" s="3"/>
      <c r="H291" s="3"/>
      <c r="I291" s="3"/>
      <c r="J291" s="3"/>
      <c r="K291" s="3"/>
      <c r="L291" s="3"/>
      <c r="M291" s="3"/>
      <c r="N291" s="3"/>
      <c r="O291" s="3"/>
      <c r="P291" s="3"/>
      <c r="Q291" s="3"/>
      <c r="R291" s="3"/>
      <c r="S291" s="3"/>
      <c r="T291" s="3"/>
      <c r="U291" s="3"/>
      <c r="W291" s="3"/>
      <c r="X291" s="3"/>
      <c r="Y291" s="3"/>
      <c r="Z291" s="3"/>
      <c r="AA291" s="3"/>
      <c r="AB291" s="3"/>
      <c r="AC291" s="3"/>
      <c r="AD291" s="3"/>
      <c r="AE291" s="3"/>
      <c r="AF291" s="3"/>
      <c r="AG291" s="3"/>
      <c r="AH291" s="3"/>
      <c r="AI291" s="3"/>
      <c r="AJ291" s="3"/>
      <c r="AK291" s="3"/>
      <c r="AL291" s="3"/>
      <c r="AM291" s="3"/>
      <c r="AN291" s="3"/>
      <c r="AO291" s="3"/>
    </row>
    <row r="292" spans="1:41" x14ac:dyDescent="0.2">
      <c r="A292" s="624"/>
      <c r="B292" s="3"/>
      <c r="C292" s="3"/>
      <c r="D292" s="3"/>
      <c r="E292" s="3"/>
      <c r="F292" s="3"/>
      <c r="G292" s="3"/>
      <c r="H292" s="3"/>
      <c r="I292" s="3"/>
      <c r="J292" s="3"/>
      <c r="K292" s="3"/>
      <c r="L292" s="3"/>
      <c r="M292" s="3"/>
      <c r="N292" s="3"/>
      <c r="O292" s="3"/>
      <c r="P292" s="3"/>
      <c r="Q292" s="3"/>
      <c r="R292" s="3"/>
      <c r="S292" s="3"/>
      <c r="T292" s="3"/>
      <c r="U292" s="3"/>
      <c r="W292" s="3"/>
      <c r="X292" s="3"/>
      <c r="Y292" s="3"/>
      <c r="Z292" s="3"/>
      <c r="AA292" s="3"/>
      <c r="AB292" s="3"/>
      <c r="AC292" s="3"/>
      <c r="AD292" s="3"/>
      <c r="AE292" s="3"/>
      <c r="AF292" s="3"/>
      <c r="AG292" s="3"/>
      <c r="AH292" s="3"/>
      <c r="AI292" s="3"/>
      <c r="AJ292" s="3"/>
      <c r="AK292" s="3"/>
      <c r="AL292" s="3"/>
      <c r="AM292" s="3"/>
      <c r="AN292" s="3"/>
      <c r="AO292" s="3"/>
    </row>
    <row r="293" spans="1:41" x14ac:dyDescent="0.2">
      <c r="A293" s="624"/>
      <c r="B293" s="3"/>
      <c r="C293" s="3"/>
      <c r="D293" s="3"/>
      <c r="E293" s="3"/>
      <c r="F293" s="3"/>
      <c r="G293" s="3"/>
      <c r="H293" s="3"/>
      <c r="I293" s="3"/>
      <c r="J293" s="3"/>
      <c r="K293" s="3"/>
      <c r="L293" s="3"/>
      <c r="M293" s="3"/>
      <c r="N293" s="3"/>
      <c r="O293" s="3"/>
      <c r="P293" s="3"/>
      <c r="Q293" s="3"/>
      <c r="R293" s="3"/>
      <c r="S293" s="3"/>
      <c r="T293" s="3"/>
      <c r="U293" s="3"/>
      <c r="W293" s="3"/>
      <c r="X293" s="3"/>
      <c r="Y293" s="3"/>
      <c r="Z293" s="3"/>
      <c r="AA293" s="3"/>
      <c r="AB293" s="3"/>
      <c r="AC293" s="3"/>
      <c r="AD293" s="3"/>
      <c r="AE293" s="3"/>
      <c r="AF293" s="3"/>
      <c r="AG293" s="3"/>
      <c r="AH293" s="3"/>
      <c r="AI293" s="3"/>
      <c r="AJ293" s="3"/>
      <c r="AK293" s="3"/>
      <c r="AL293" s="3"/>
      <c r="AM293" s="3"/>
      <c r="AN293" s="3"/>
      <c r="AO293" s="3"/>
    </row>
    <row r="294" spans="1:41" x14ac:dyDescent="0.2">
      <c r="A294" s="624"/>
      <c r="B294" s="3"/>
      <c r="C294" s="3"/>
      <c r="D294" s="3"/>
      <c r="E294" s="3"/>
      <c r="F294" s="3"/>
      <c r="G294" s="3"/>
      <c r="H294" s="3"/>
      <c r="I294" s="3"/>
      <c r="J294" s="3"/>
      <c r="K294" s="3"/>
      <c r="L294" s="3"/>
      <c r="M294" s="3"/>
      <c r="N294" s="3"/>
      <c r="O294" s="3"/>
      <c r="P294" s="3"/>
      <c r="Q294" s="3"/>
      <c r="R294" s="3"/>
      <c r="S294" s="3"/>
      <c r="T294" s="3"/>
      <c r="U294" s="3"/>
      <c r="W294" s="3"/>
      <c r="X294" s="3"/>
      <c r="Y294" s="3"/>
      <c r="Z294" s="3"/>
      <c r="AA294" s="3"/>
      <c r="AB294" s="3"/>
      <c r="AC294" s="3"/>
      <c r="AD294" s="3"/>
      <c r="AE294" s="3"/>
      <c r="AF294" s="3"/>
      <c r="AG294" s="3"/>
      <c r="AH294" s="3"/>
      <c r="AI294" s="3"/>
      <c r="AJ294" s="3"/>
      <c r="AK294" s="3"/>
      <c r="AL294" s="3"/>
      <c r="AM294" s="3"/>
      <c r="AN294" s="3"/>
      <c r="AO294" s="3"/>
    </row>
    <row r="295" spans="1:41" x14ac:dyDescent="0.2">
      <c r="A295" s="624"/>
      <c r="B295" s="3"/>
      <c r="C295" s="3"/>
      <c r="D295" s="3"/>
      <c r="E295" s="3"/>
      <c r="F295" s="3"/>
      <c r="G295" s="3"/>
      <c r="H295" s="3"/>
      <c r="I295" s="3"/>
      <c r="J295" s="3"/>
      <c r="K295" s="3"/>
      <c r="L295" s="3"/>
      <c r="M295" s="3"/>
      <c r="N295" s="3"/>
      <c r="O295" s="3"/>
      <c r="P295" s="3"/>
      <c r="Q295" s="3"/>
      <c r="R295" s="3"/>
      <c r="S295" s="3"/>
      <c r="T295" s="3"/>
      <c r="U295" s="3"/>
      <c r="W295" s="3"/>
      <c r="X295" s="3"/>
      <c r="Y295" s="3"/>
      <c r="Z295" s="3"/>
      <c r="AA295" s="3"/>
      <c r="AB295" s="3"/>
      <c r="AC295" s="3"/>
      <c r="AD295" s="3"/>
      <c r="AE295" s="3"/>
      <c r="AF295" s="3"/>
      <c r="AG295" s="3"/>
      <c r="AH295" s="3"/>
      <c r="AI295" s="3"/>
      <c r="AJ295" s="3"/>
      <c r="AK295" s="3"/>
      <c r="AL295" s="3"/>
      <c r="AM295" s="3"/>
      <c r="AN295" s="3"/>
      <c r="AO295" s="3"/>
    </row>
    <row r="296" spans="1:41" x14ac:dyDescent="0.2">
      <c r="A296" s="624"/>
      <c r="B296" s="3"/>
      <c r="C296" s="3"/>
      <c r="D296" s="3"/>
      <c r="E296" s="3"/>
      <c r="F296" s="3"/>
      <c r="G296" s="3"/>
      <c r="H296" s="3"/>
      <c r="I296" s="3"/>
      <c r="J296" s="3"/>
      <c r="K296" s="3"/>
      <c r="L296" s="3"/>
      <c r="M296" s="3"/>
      <c r="N296" s="3"/>
      <c r="O296" s="3"/>
      <c r="P296" s="3"/>
      <c r="Q296" s="3"/>
      <c r="R296" s="3"/>
      <c r="S296" s="3"/>
      <c r="T296" s="3"/>
      <c r="U296" s="3"/>
      <c r="W296" s="3"/>
      <c r="X296" s="3"/>
      <c r="Y296" s="3"/>
      <c r="Z296" s="3"/>
      <c r="AA296" s="3"/>
      <c r="AB296" s="3"/>
      <c r="AC296" s="3"/>
      <c r="AD296" s="3"/>
      <c r="AE296" s="3"/>
      <c r="AF296" s="3"/>
      <c r="AG296" s="3"/>
      <c r="AH296" s="3"/>
      <c r="AI296" s="3"/>
      <c r="AJ296" s="3"/>
      <c r="AK296" s="3"/>
      <c r="AL296" s="3"/>
      <c r="AM296" s="3"/>
      <c r="AN296" s="3"/>
      <c r="AO296" s="3"/>
    </row>
    <row r="297" spans="1:41" x14ac:dyDescent="0.2">
      <c r="A297" s="624"/>
      <c r="B297" s="3"/>
      <c r="C297" s="3"/>
      <c r="D297" s="3"/>
      <c r="E297" s="3"/>
      <c r="F297" s="3"/>
      <c r="G297" s="3"/>
      <c r="H297" s="3"/>
      <c r="I297" s="3"/>
      <c r="J297" s="3"/>
      <c r="K297" s="3"/>
      <c r="L297" s="3"/>
      <c r="M297" s="3"/>
      <c r="N297" s="3"/>
      <c r="O297" s="3"/>
      <c r="P297" s="3"/>
      <c r="Q297" s="3"/>
      <c r="R297" s="3"/>
      <c r="S297" s="3"/>
      <c r="T297" s="3"/>
      <c r="U297" s="3"/>
      <c r="W297" s="3"/>
      <c r="X297" s="3"/>
      <c r="Y297" s="3"/>
      <c r="Z297" s="3"/>
      <c r="AA297" s="3"/>
      <c r="AB297" s="3"/>
      <c r="AC297" s="3"/>
      <c r="AD297" s="3"/>
      <c r="AE297" s="3"/>
      <c r="AF297" s="3"/>
      <c r="AG297" s="3"/>
      <c r="AH297" s="3"/>
      <c r="AI297" s="3"/>
      <c r="AJ297" s="3"/>
      <c r="AK297" s="3"/>
      <c r="AL297" s="3"/>
      <c r="AM297" s="3"/>
      <c r="AN297" s="3"/>
      <c r="AO297" s="3"/>
    </row>
    <row r="298" spans="1:41" x14ac:dyDescent="0.2">
      <c r="A298" s="624"/>
      <c r="B298" s="3"/>
      <c r="C298" s="3"/>
      <c r="D298" s="3"/>
      <c r="E298" s="3"/>
      <c r="F298" s="3"/>
      <c r="G298" s="3"/>
      <c r="H298" s="3"/>
      <c r="I298" s="3"/>
      <c r="J298" s="3"/>
      <c r="K298" s="3"/>
      <c r="L298" s="3"/>
      <c r="M298" s="3"/>
      <c r="N298" s="3"/>
      <c r="O298" s="3"/>
      <c r="P298" s="3"/>
      <c r="Q298" s="3"/>
      <c r="R298" s="3"/>
      <c r="S298" s="3"/>
      <c r="T298" s="3"/>
      <c r="U298" s="3"/>
      <c r="W298" s="3"/>
      <c r="X298" s="3"/>
      <c r="Y298" s="3"/>
      <c r="Z298" s="3"/>
      <c r="AA298" s="3"/>
      <c r="AB298" s="3"/>
      <c r="AC298" s="3"/>
      <c r="AD298" s="3"/>
      <c r="AE298" s="3"/>
      <c r="AF298" s="3"/>
      <c r="AG298" s="3"/>
      <c r="AH298" s="3"/>
      <c r="AI298" s="3"/>
      <c r="AJ298" s="3"/>
      <c r="AK298" s="3"/>
      <c r="AL298" s="3"/>
      <c r="AM298" s="3"/>
      <c r="AN298" s="3"/>
      <c r="AO298" s="3"/>
    </row>
    <row r="299" spans="1:41" x14ac:dyDescent="0.2">
      <c r="A299" s="624"/>
      <c r="B299" s="3"/>
      <c r="C299" s="3"/>
      <c r="D299" s="3"/>
      <c r="E299" s="3"/>
      <c r="F299" s="3"/>
      <c r="G299" s="3"/>
      <c r="H299" s="3"/>
      <c r="I299" s="3"/>
      <c r="J299" s="3"/>
      <c r="K299" s="3"/>
      <c r="L299" s="3"/>
      <c r="M299" s="3"/>
      <c r="N299" s="3"/>
      <c r="O299" s="3"/>
      <c r="P299" s="3"/>
      <c r="Q299" s="3"/>
      <c r="R299" s="3"/>
      <c r="S299" s="3"/>
      <c r="T299" s="3"/>
      <c r="U299" s="3"/>
      <c r="W299" s="3"/>
      <c r="X299" s="3"/>
      <c r="Y299" s="3"/>
      <c r="Z299" s="3"/>
      <c r="AA299" s="3"/>
      <c r="AB299" s="3"/>
      <c r="AC299" s="3"/>
      <c r="AD299" s="3"/>
      <c r="AE299" s="3"/>
      <c r="AF299" s="3"/>
      <c r="AG299" s="3"/>
      <c r="AH299" s="3"/>
      <c r="AI299" s="3"/>
      <c r="AJ299" s="3"/>
      <c r="AK299" s="3"/>
      <c r="AL299" s="3"/>
      <c r="AM299" s="3"/>
      <c r="AN299" s="3"/>
      <c r="AO299" s="3"/>
    </row>
    <row r="300" spans="1:41" x14ac:dyDescent="0.2">
      <c r="A300" s="624"/>
      <c r="B300" s="3"/>
      <c r="C300" s="3"/>
      <c r="D300" s="3"/>
      <c r="E300" s="3"/>
      <c r="F300" s="3"/>
      <c r="G300" s="3"/>
      <c r="H300" s="3"/>
      <c r="I300" s="3"/>
      <c r="J300" s="3"/>
      <c r="K300" s="3"/>
      <c r="L300" s="3"/>
      <c r="M300" s="3"/>
      <c r="N300" s="3"/>
      <c r="O300" s="3"/>
      <c r="P300" s="3"/>
      <c r="Q300" s="3"/>
      <c r="R300" s="3"/>
      <c r="S300" s="3"/>
      <c r="T300" s="3"/>
      <c r="U300" s="3"/>
      <c r="W300" s="3"/>
      <c r="X300" s="3"/>
      <c r="Y300" s="3"/>
      <c r="Z300" s="3"/>
      <c r="AA300" s="3"/>
      <c r="AB300" s="3"/>
      <c r="AC300" s="3"/>
      <c r="AD300" s="3"/>
      <c r="AE300" s="3"/>
      <c r="AF300" s="3"/>
      <c r="AG300" s="3"/>
      <c r="AH300" s="3"/>
      <c r="AI300" s="3"/>
      <c r="AJ300" s="3"/>
      <c r="AK300" s="3"/>
      <c r="AL300" s="3"/>
      <c r="AM300" s="3"/>
      <c r="AN300" s="3"/>
      <c r="AO300" s="3"/>
    </row>
    <row r="301" spans="1:41" x14ac:dyDescent="0.2">
      <c r="A301" s="624"/>
      <c r="B301" s="3"/>
      <c r="C301" s="3"/>
      <c r="D301" s="3"/>
      <c r="E301" s="3"/>
      <c r="F301" s="3"/>
      <c r="G301" s="3"/>
      <c r="H301" s="3"/>
      <c r="I301" s="3"/>
      <c r="J301" s="3"/>
      <c r="K301" s="3"/>
      <c r="L301" s="3"/>
      <c r="M301" s="3"/>
      <c r="N301" s="3"/>
      <c r="O301" s="3"/>
      <c r="P301" s="3"/>
      <c r="Q301" s="3"/>
      <c r="R301" s="3"/>
      <c r="S301" s="3"/>
      <c r="T301" s="3"/>
      <c r="U301" s="3"/>
      <c r="W301" s="3"/>
      <c r="X301" s="3"/>
      <c r="Y301" s="3"/>
      <c r="Z301" s="3"/>
      <c r="AA301" s="3"/>
      <c r="AB301" s="3"/>
      <c r="AC301" s="3"/>
      <c r="AD301" s="3"/>
      <c r="AE301" s="3"/>
      <c r="AF301" s="3"/>
      <c r="AG301" s="3"/>
      <c r="AH301" s="3"/>
      <c r="AI301" s="3"/>
      <c r="AJ301" s="3"/>
      <c r="AK301" s="3"/>
      <c r="AL301" s="3"/>
      <c r="AM301" s="3"/>
      <c r="AN301" s="3"/>
      <c r="AO301" s="3"/>
    </row>
    <row r="302" spans="1:41" x14ac:dyDescent="0.2">
      <c r="A302" s="624"/>
      <c r="B302" s="3"/>
      <c r="C302" s="3"/>
      <c r="D302" s="3"/>
      <c r="E302" s="3"/>
      <c r="F302" s="3"/>
      <c r="G302" s="3"/>
      <c r="H302" s="3"/>
      <c r="I302" s="3"/>
      <c r="J302" s="3"/>
      <c r="K302" s="3"/>
      <c r="L302" s="3"/>
      <c r="M302" s="3"/>
      <c r="N302" s="3"/>
      <c r="O302" s="3"/>
      <c r="P302" s="3"/>
      <c r="Q302" s="3"/>
      <c r="R302" s="3"/>
      <c r="S302" s="3"/>
      <c r="T302" s="3"/>
      <c r="U302" s="3"/>
      <c r="W302" s="3"/>
      <c r="X302" s="3"/>
      <c r="Y302" s="3"/>
      <c r="Z302" s="3"/>
      <c r="AA302" s="3"/>
      <c r="AB302" s="3"/>
      <c r="AC302" s="3"/>
      <c r="AD302" s="3"/>
      <c r="AE302" s="3"/>
      <c r="AF302" s="3"/>
      <c r="AG302" s="3"/>
      <c r="AH302" s="3"/>
      <c r="AI302" s="3"/>
      <c r="AJ302" s="3"/>
      <c r="AK302" s="3"/>
      <c r="AL302" s="3"/>
      <c r="AM302" s="3"/>
      <c r="AN302" s="3"/>
      <c r="AO302" s="3"/>
    </row>
    <row r="303" spans="1:41" x14ac:dyDescent="0.2">
      <c r="A303" s="624"/>
      <c r="B303" s="3"/>
      <c r="C303" s="3"/>
      <c r="D303" s="3"/>
      <c r="E303" s="3"/>
      <c r="F303" s="3"/>
      <c r="G303" s="3"/>
      <c r="H303" s="3"/>
      <c r="I303" s="3"/>
      <c r="J303" s="3"/>
      <c r="K303" s="3"/>
      <c r="L303" s="3"/>
      <c r="M303" s="3"/>
      <c r="N303" s="3"/>
      <c r="O303" s="3"/>
      <c r="P303" s="3"/>
      <c r="Q303" s="3"/>
      <c r="R303" s="3"/>
      <c r="S303" s="3"/>
      <c r="T303" s="3"/>
      <c r="U303" s="3"/>
      <c r="W303" s="3"/>
      <c r="X303" s="3"/>
      <c r="Y303" s="3"/>
      <c r="Z303" s="3"/>
      <c r="AA303" s="3"/>
      <c r="AB303" s="3"/>
      <c r="AC303" s="3"/>
      <c r="AD303" s="3"/>
      <c r="AE303" s="3"/>
      <c r="AF303" s="3"/>
      <c r="AG303" s="3"/>
      <c r="AH303" s="3"/>
      <c r="AI303" s="3"/>
      <c r="AJ303" s="3"/>
      <c r="AK303" s="3"/>
      <c r="AL303" s="3"/>
      <c r="AM303" s="3"/>
      <c r="AN303" s="3"/>
      <c r="AO303" s="3"/>
    </row>
    <row r="304" spans="1:41" x14ac:dyDescent="0.2">
      <c r="A304" s="624"/>
      <c r="B304" s="3"/>
      <c r="C304" s="3"/>
      <c r="D304" s="3"/>
      <c r="E304" s="3"/>
      <c r="F304" s="3"/>
      <c r="G304" s="3"/>
      <c r="H304" s="3"/>
      <c r="I304" s="3"/>
      <c r="J304" s="3"/>
      <c r="K304" s="3"/>
      <c r="L304" s="3"/>
      <c r="M304" s="3"/>
      <c r="N304" s="3"/>
      <c r="O304" s="3"/>
      <c r="P304" s="3"/>
      <c r="Q304" s="3"/>
      <c r="R304" s="3"/>
      <c r="S304" s="3"/>
      <c r="T304" s="3"/>
      <c r="U304" s="3"/>
      <c r="W304" s="3"/>
      <c r="X304" s="3"/>
      <c r="Y304" s="3"/>
      <c r="Z304" s="3"/>
      <c r="AA304" s="3"/>
      <c r="AB304" s="3"/>
      <c r="AC304" s="3"/>
      <c r="AD304" s="3"/>
      <c r="AE304" s="3"/>
      <c r="AF304" s="3"/>
      <c r="AG304" s="3"/>
      <c r="AH304" s="3"/>
      <c r="AI304" s="3"/>
      <c r="AJ304" s="3"/>
      <c r="AK304" s="3"/>
      <c r="AL304" s="3"/>
      <c r="AM304" s="3"/>
      <c r="AN304" s="3"/>
      <c r="AO304" s="3"/>
    </row>
    <row r="305" spans="1:41" x14ac:dyDescent="0.2">
      <c r="A305" s="624"/>
      <c r="B305" s="3"/>
      <c r="C305" s="3"/>
      <c r="D305" s="3"/>
      <c r="E305" s="3"/>
      <c r="F305" s="3"/>
      <c r="G305" s="3"/>
      <c r="H305" s="3"/>
      <c r="I305" s="3"/>
      <c r="J305" s="3"/>
      <c r="K305" s="3"/>
      <c r="L305" s="3"/>
      <c r="M305" s="3"/>
      <c r="N305" s="3"/>
      <c r="O305" s="3"/>
      <c r="P305" s="3"/>
      <c r="Q305" s="3"/>
      <c r="R305" s="3"/>
      <c r="S305" s="3"/>
      <c r="T305" s="3"/>
      <c r="U305" s="3"/>
      <c r="W305" s="3"/>
      <c r="X305" s="3"/>
      <c r="Y305" s="3"/>
      <c r="Z305" s="3"/>
      <c r="AA305" s="3"/>
      <c r="AB305" s="3"/>
      <c r="AC305" s="3"/>
      <c r="AD305" s="3"/>
      <c r="AE305" s="3"/>
      <c r="AF305" s="3"/>
      <c r="AG305" s="3"/>
      <c r="AH305" s="3"/>
      <c r="AI305" s="3"/>
      <c r="AJ305" s="3"/>
      <c r="AK305" s="3"/>
      <c r="AL305" s="3"/>
      <c r="AM305" s="3"/>
      <c r="AN305" s="3"/>
      <c r="AO305" s="3"/>
    </row>
    <row r="306" spans="1:41" x14ac:dyDescent="0.2">
      <c r="A306" s="624"/>
      <c r="B306" s="3"/>
      <c r="C306" s="3"/>
      <c r="D306" s="3"/>
      <c r="E306" s="3"/>
      <c r="F306" s="3"/>
      <c r="G306" s="3"/>
      <c r="H306" s="3"/>
      <c r="I306" s="3"/>
      <c r="J306" s="3"/>
      <c r="K306" s="3"/>
      <c r="L306" s="3"/>
      <c r="M306" s="3"/>
      <c r="N306" s="3"/>
      <c r="O306" s="3"/>
      <c r="P306" s="3"/>
      <c r="Q306" s="3"/>
      <c r="R306" s="3"/>
      <c r="S306" s="3"/>
      <c r="T306" s="3"/>
      <c r="U306" s="3"/>
      <c r="W306" s="3"/>
      <c r="X306" s="3"/>
      <c r="Y306" s="3"/>
      <c r="Z306" s="3"/>
      <c r="AA306" s="3"/>
      <c r="AB306" s="3"/>
      <c r="AC306" s="3"/>
      <c r="AD306" s="3"/>
      <c r="AE306" s="3"/>
      <c r="AF306" s="3"/>
      <c r="AG306" s="3"/>
      <c r="AH306" s="3"/>
      <c r="AI306" s="3"/>
      <c r="AJ306" s="3"/>
      <c r="AK306" s="3"/>
      <c r="AL306" s="3"/>
      <c r="AM306" s="3"/>
      <c r="AN306" s="3"/>
      <c r="AO306" s="3"/>
    </row>
    <row r="307" spans="1:41" x14ac:dyDescent="0.2">
      <c r="A307" s="624"/>
      <c r="B307" s="3"/>
      <c r="C307" s="3"/>
      <c r="D307" s="3"/>
      <c r="E307" s="3"/>
      <c r="F307" s="3"/>
      <c r="G307" s="3"/>
      <c r="H307" s="3"/>
      <c r="I307" s="3"/>
      <c r="J307" s="3"/>
      <c r="K307" s="3"/>
      <c r="L307" s="3"/>
      <c r="M307" s="3"/>
      <c r="N307" s="3"/>
      <c r="O307" s="3"/>
      <c r="P307" s="3"/>
      <c r="Q307" s="3"/>
      <c r="R307" s="3"/>
      <c r="S307" s="3"/>
      <c r="T307" s="3"/>
      <c r="U307" s="3"/>
      <c r="W307" s="3"/>
      <c r="X307" s="3"/>
      <c r="Y307" s="3"/>
      <c r="Z307" s="3"/>
      <c r="AA307" s="3"/>
      <c r="AB307" s="3"/>
      <c r="AC307" s="3"/>
      <c r="AD307" s="3"/>
      <c r="AE307" s="3"/>
      <c r="AF307" s="3"/>
      <c r="AG307" s="3"/>
      <c r="AH307" s="3"/>
      <c r="AI307" s="3"/>
      <c r="AJ307" s="3"/>
      <c r="AK307" s="3"/>
      <c r="AL307" s="3"/>
      <c r="AM307" s="3"/>
      <c r="AN307" s="3"/>
      <c r="AO307" s="3"/>
    </row>
    <row r="308" spans="1:41" x14ac:dyDescent="0.2">
      <c r="A308" s="624"/>
      <c r="B308" s="3"/>
      <c r="C308" s="3"/>
      <c r="D308" s="3"/>
      <c r="E308" s="3"/>
      <c r="F308" s="3"/>
      <c r="G308" s="3"/>
      <c r="H308" s="3"/>
      <c r="I308" s="3"/>
      <c r="J308" s="3"/>
      <c r="K308" s="3"/>
      <c r="L308" s="3"/>
      <c r="M308" s="3"/>
      <c r="N308" s="3"/>
      <c r="O308" s="3"/>
      <c r="P308" s="3"/>
      <c r="Q308" s="3"/>
      <c r="R308" s="3"/>
      <c r="S308" s="3"/>
      <c r="T308" s="3"/>
      <c r="U308" s="3"/>
      <c r="W308" s="3"/>
      <c r="X308" s="3"/>
      <c r="Y308" s="3"/>
      <c r="Z308" s="3"/>
      <c r="AA308" s="3"/>
      <c r="AB308" s="3"/>
      <c r="AC308" s="3"/>
      <c r="AD308" s="3"/>
      <c r="AE308" s="3"/>
      <c r="AF308" s="3"/>
      <c r="AG308" s="3"/>
      <c r="AH308" s="3"/>
      <c r="AI308" s="3"/>
      <c r="AJ308" s="3"/>
      <c r="AK308" s="3"/>
      <c r="AL308" s="3"/>
      <c r="AM308" s="3"/>
      <c r="AN308" s="3"/>
      <c r="AO308" s="3"/>
    </row>
    <row r="309" spans="1:41" x14ac:dyDescent="0.2">
      <c r="A309" s="624"/>
      <c r="B309" s="3"/>
      <c r="C309" s="3"/>
      <c r="D309" s="3"/>
      <c r="E309" s="3"/>
      <c r="F309" s="3"/>
      <c r="G309" s="3"/>
      <c r="H309" s="3"/>
      <c r="I309" s="3"/>
      <c r="J309" s="3"/>
      <c r="K309" s="3"/>
      <c r="L309" s="3"/>
      <c r="M309" s="3"/>
      <c r="N309" s="3"/>
      <c r="O309" s="3"/>
      <c r="P309" s="3"/>
      <c r="Q309" s="3"/>
      <c r="R309" s="3"/>
      <c r="S309" s="3"/>
      <c r="T309" s="3"/>
      <c r="U309" s="3"/>
      <c r="W309" s="3"/>
      <c r="X309" s="3"/>
      <c r="Y309" s="3"/>
      <c r="Z309" s="3"/>
      <c r="AA309" s="3"/>
      <c r="AB309" s="3"/>
      <c r="AC309" s="3"/>
      <c r="AD309" s="3"/>
      <c r="AE309" s="3"/>
      <c r="AF309" s="3"/>
      <c r="AG309" s="3"/>
      <c r="AH309" s="3"/>
      <c r="AI309" s="3"/>
      <c r="AJ309" s="3"/>
      <c r="AK309" s="3"/>
      <c r="AL309" s="3"/>
      <c r="AM309" s="3"/>
      <c r="AN309" s="3"/>
      <c r="AO309" s="3"/>
    </row>
    <row r="310" spans="1:41" x14ac:dyDescent="0.2">
      <c r="A310" s="624"/>
      <c r="B310" s="3"/>
      <c r="C310" s="3"/>
      <c r="D310" s="3"/>
      <c r="E310" s="3"/>
      <c r="F310" s="3"/>
      <c r="G310" s="3"/>
      <c r="H310" s="3"/>
      <c r="I310" s="3"/>
      <c r="J310" s="3"/>
      <c r="K310" s="3"/>
      <c r="L310" s="3"/>
      <c r="M310" s="3"/>
      <c r="N310" s="3"/>
      <c r="O310" s="3"/>
      <c r="P310" s="3"/>
      <c r="Q310" s="3"/>
      <c r="R310" s="3"/>
      <c r="S310" s="3"/>
      <c r="T310" s="3"/>
      <c r="U310" s="3"/>
      <c r="W310" s="3"/>
      <c r="X310" s="3"/>
      <c r="Y310" s="3"/>
      <c r="Z310" s="3"/>
      <c r="AA310" s="3"/>
      <c r="AB310" s="3"/>
      <c r="AC310" s="3"/>
      <c r="AD310" s="3"/>
      <c r="AE310" s="3"/>
      <c r="AF310" s="3"/>
      <c r="AG310" s="3"/>
      <c r="AH310" s="3"/>
      <c r="AI310" s="3"/>
      <c r="AJ310" s="3"/>
      <c r="AK310" s="3"/>
      <c r="AL310" s="3"/>
      <c r="AM310" s="3"/>
      <c r="AN310" s="3"/>
      <c r="AO310" s="3"/>
    </row>
    <row r="311" spans="1:41" x14ac:dyDescent="0.2">
      <c r="A311" s="624"/>
      <c r="B311" s="3"/>
      <c r="C311" s="3"/>
      <c r="D311" s="3"/>
      <c r="E311" s="3"/>
      <c r="F311" s="3"/>
      <c r="G311" s="3"/>
      <c r="H311" s="3"/>
      <c r="I311" s="3"/>
      <c r="J311" s="3"/>
      <c r="K311" s="3"/>
      <c r="L311" s="3"/>
      <c r="M311" s="3"/>
      <c r="N311" s="3"/>
      <c r="O311" s="3"/>
      <c r="P311" s="3"/>
      <c r="Q311" s="3"/>
      <c r="R311" s="3"/>
      <c r="S311" s="3"/>
      <c r="T311" s="3"/>
      <c r="U311" s="3"/>
      <c r="W311" s="3"/>
      <c r="X311" s="3"/>
      <c r="Y311" s="3"/>
      <c r="Z311" s="3"/>
      <c r="AA311" s="3"/>
      <c r="AB311" s="3"/>
      <c r="AC311" s="3"/>
      <c r="AD311" s="3"/>
      <c r="AE311" s="3"/>
      <c r="AF311" s="3"/>
      <c r="AG311" s="3"/>
      <c r="AH311" s="3"/>
      <c r="AI311" s="3"/>
      <c r="AJ311" s="3"/>
      <c r="AK311" s="3"/>
      <c r="AL311" s="3"/>
      <c r="AM311" s="3"/>
      <c r="AN311" s="3"/>
      <c r="AO311" s="3"/>
    </row>
    <row r="312" spans="1:41" x14ac:dyDescent="0.2">
      <c r="A312" s="624"/>
      <c r="B312" s="3"/>
      <c r="C312" s="3"/>
      <c r="D312" s="3"/>
      <c r="E312" s="3"/>
      <c r="F312" s="3"/>
      <c r="G312" s="3"/>
      <c r="H312" s="3"/>
      <c r="I312" s="3"/>
      <c r="J312" s="3"/>
      <c r="K312" s="3"/>
      <c r="L312" s="3"/>
      <c r="M312" s="3"/>
      <c r="N312" s="3"/>
      <c r="O312" s="3"/>
      <c r="P312" s="3"/>
      <c r="Q312" s="3"/>
      <c r="R312" s="3"/>
      <c r="S312" s="3"/>
      <c r="T312" s="3"/>
      <c r="U312" s="3"/>
      <c r="W312" s="3"/>
      <c r="X312" s="3"/>
      <c r="Y312" s="3"/>
      <c r="Z312" s="3"/>
      <c r="AA312" s="3"/>
      <c r="AB312" s="3"/>
      <c r="AC312" s="3"/>
      <c r="AD312" s="3"/>
      <c r="AE312" s="3"/>
      <c r="AF312" s="3"/>
      <c r="AG312" s="3"/>
      <c r="AH312" s="3"/>
      <c r="AI312" s="3"/>
      <c r="AJ312" s="3"/>
      <c r="AK312" s="3"/>
      <c r="AL312" s="3"/>
      <c r="AM312" s="3"/>
      <c r="AN312" s="3"/>
      <c r="AO312" s="3"/>
    </row>
    <row r="313" spans="1:41" x14ac:dyDescent="0.2">
      <c r="A313" s="624"/>
      <c r="B313" s="3"/>
      <c r="C313" s="3"/>
      <c r="D313" s="3"/>
      <c r="E313" s="3"/>
      <c r="F313" s="3"/>
      <c r="G313" s="3"/>
      <c r="H313" s="3"/>
      <c r="I313" s="3"/>
      <c r="J313" s="3"/>
      <c r="K313" s="3"/>
      <c r="L313" s="3"/>
      <c r="M313" s="3"/>
      <c r="N313" s="3"/>
      <c r="O313" s="3"/>
      <c r="P313" s="3"/>
      <c r="Q313" s="3"/>
      <c r="R313" s="3"/>
      <c r="S313" s="3"/>
      <c r="T313" s="3"/>
      <c r="U313" s="3"/>
      <c r="W313" s="3"/>
      <c r="X313" s="3"/>
      <c r="Y313" s="3"/>
      <c r="Z313" s="3"/>
      <c r="AA313" s="3"/>
      <c r="AB313" s="3"/>
      <c r="AC313" s="3"/>
      <c r="AD313" s="3"/>
      <c r="AE313" s="3"/>
      <c r="AF313" s="3"/>
      <c r="AG313" s="3"/>
      <c r="AH313" s="3"/>
      <c r="AI313" s="3"/>
      <c r="AJ313" s="3"/>
      <c r="AK313" s="3"/>
      <c r="AL313" s="3"/>
      <c r="AM313" s="3"/>
      <c r="AN313" s="3"/>
      <c r="AO313" s="3"/>
    </row>
    <row r="314" spans="1:41" x14ac:dyDescent="0.2">
      <c r="A314" s="624"/>
      <c r="B314" s="3"/>
      <c r="C314" s="3"/>
      <c r="D314" s="3"/>
      <c r="E314" s="3"/>
      <c r="F314" s="3"/>
      <c r="G314" s="3"/>
      <c r="H314" s="3"/>
      <c r="I314" s="3"/>
      <c r="J314" s="3"/>
      <c r="K314" s="3"/>
      <c r="L314" s="3"/>
      <c r="M314" s="3"/>
      <c r="N314" s="3"/>
      <c r="O314" s="3"/>
      <c r="P314" s="3"/>
      <c r="Q314" s="3"/>
      <c r="R314" s="3"/>
      <c r="S314" s="3"/>
      <c r="T314" s="3"/>
      <c r="U314" s="3"/>
      <c r="W314" s="3"/>
      <c r="X314" s="3"/>
      <c r="Y314" s="3"/>
      <c r="Z314" s="3"/>
      <c r="AA314" s="3"/>
      <c r="AB314" s="3"/>
      <c r="AC314" s="3"/>
      <c r="AD314" s="3"/>
      <c r="AE314" s="3"/>
      <c r="AF314" s="3"/>
      <c r="AG314" s="3"/>
      <c r="AH314" s="3"/>
      <c r="AI314" s="3"/>
      <c r="AJ314" s="3"/>
      <c r="AK314" s="3"/>
      <c r="AL314" s="3"/>
      <c r="AM314" s="3"/>
      <c r="AN314" s="3"/>
      <c r="AO314" s="3"/>
    </row>
    <row r="315" spans="1:41" x14ac:dyDescent="0.2">
      <c r="A315" s="624"/>
      <c r="B315" s="3"/>
      <c r="C315" s="3"/>
      <c r="D315" s="3"/>
      <c r="E315" s="3"/>
      <c r="F315" s="3"/>
      <c r="G315" s="3"/>
      <c r="H315" s="3"/>
      <c r="I315" s="3"/>
      <c r="J315" s="3"/>
      <c r="K315" s="3"/>
      <c r="L315" s="3"/>
      <c r="M315" s="3"/>
      <c r="N315" s="3"/>
      <c r="O315" s="3"/>
      <c r="P315" s="3"/>
      <c r="Q315" s="3"/>
      <c r="R315" s="3"/>
      <c r="S315" s="3"/>
      <c r="T315" s="3"/>
      <c r="U315" s="3"/>
      <c r="W315" s="3"/>
      <c r="X315" s="3"/>
      <c r="Y315" s="3"/>
      <c r="Z315" s="3"/>
      <c r="AA315" s="3"/>
      <c r="AB315" s="3"/>
      <c r="AC315" s="3"/>
      <c r="AD315" s="3"/>
      <c r="AE315" s="3"/>
      <c r="AF315" s="3"/>
      <c r="AG315" s="3"/>
      <c r="AH315" s="3"/>
      <c r="AI315" s="3"/>
      <c r="AJ315" s="3"/>
      <c r="AK315" s="3"/>
      <c r="AL315" s="3"/>
      <c r="AM315" s="3"/>
      <c r="AN315" s="3"/>
      <c r="AO315" s="3"/>
    </row>
    <row r="316" spans="1:41" x14ac:dyDescent="0.2">
      <c r="A316" s="624"/>
      <c r="B316" s="3"/>
      <c r="C316" s="3"/>
      <c r="D316" s="3"/>
      <c r="E316" s="3"/>
      <c r="F316" s="3"/>
      <c r="G316" s="3"/>
      <c r="H316" s="3"/>
      <c r="I316" s="3"/>
      <c r="J316" s="3"/>
      <c r="K316" s="3"/>
      <c r="L316" s="3"/>
      <c r="M316" s="3"/>
      <c r="N316" s="3"/>
      <c r="O316" s="3"/>
      <c r="P316" s="3"/>
      <c r="Q316" s="3"/>
      <c r="R316" s="3"/>
      <c r="S316" s="3"/>
      <c r="T316" s="3"/>
      <c r="U316" s="3"/>
      <c r="W316" s="3"/>
      <c r="X316" s="3"/>
      <c r="Y316" s="3"/>
      <c r="Z316" s="3"/>
      <c r="AA316" s="3"/>
      <c r="AB316" s="3"/>
      <c r="AC316" s="3"/>
      <c r="AD316" s="3"/>
      <c r="AE316" s="3"/>
      <c r="AF316" s="3"/>
      <c r="AG316" s="3"/>
      <c r="AH316" s="3"/>
      <c r="AI316" s="3"/>
      <c r="AJ316" s="3"/>
      <c r="AK316" s="3"/>
      <c r="AL316" s="3"/>
      <c r="AM316" s="3"/>
      <c r="AN316" s="3"/>
      <c r="AO316" s="3"/>
    </row>
    <row r="317" spans="1:41" x14ac:dyDescent="0.2">
      <c r="A317" s="624"/>
      <c r="B317" s="3"/>
      <c r="C317" s="3"/>
      <c r="D317" s="3"/>
      <c r="E317" s="3"/>
      <c r="F317" s="3"/>
      <c r="G317" s="3"/>
      <c r="H317" s="3"/>
      <c r="I317" s="3"/>
      <c r="J317" s="3"/>
      <c r="K317" s="3"/>
      <c r="L317" s="3"/>
      <c r="M317" s="3"/>
      <c r="N317" s="3"/>
      <c r="O317" s="3"/>
      <c r="P317" s="3"/>
      <c r="Q317" s="3"/>
      <c r="R317" s="3"/>
      <c r="S317" s="3"/>
      <c r="T317" s="3"/>
      <c r="U317" s="3"/>
      <c r="W317" s="3"/>
      <c r="X317" s="3"/>
      <c r="Y317" s="3"/>
      <c r="Z317" s="3"/>
      <c r="AA317" s="3"/>
      <c r="AB317" s="3"/>
      <c r="AC317" s="3"/>
      <c r="AD317" s="3"/>
      <c r="AE317" s="3"/>
      <c r="AF317" s="3"/>
      <c r="AG317" s="3"/>
      <c r="AH317" s="3"/>
      <c r="AI317" s="3"/>
      <c r="AJ317" s="3"/>
      <c r="AK317" s="3"/>
      <c r="AL317" s="3"/>
      <c r="AM317" s="3"/>
      <c r="AN317" s="3"/>
      <c r="AO317" s="3"/>
    </row>
    <row r="318" spans="1:41" x14ac:dyDescent="0.2">
      <c r="A318" s="624"/>
      <c r="B318" s="3"/>
      <c r="C318" s="3"/>
      <c r="D318" s="3"/>
      <c r="E318" s="3"/>
      <c r="F318" s="3"/>
      <c r="G318" s="3"/>
      <c r="H318" s="3"/>
      <c r="I318" s="3"/>
      <c r="J318" s="3"/>
      <c r="K318" s="3"/>
      <c r="L318" s="3"/>
      <c r="M318" s="3"/>
      <c r="N318" s="3"/>
      <c r="O318" s="3"/>
      <c r="P318" s="3"/>
      <c r="Q318" s="3"/>
      <c r="R318" s="3"/>
      <c r="S318" s="3"/>
      <c r="T318" s="3"/>
      <c r="U318" s="3"/>
      <c r="W318" s="3"/>
      <c r="X318" s="3"/>
      <c r="Y318" s="3"/>
      <c r="Z318" s="3"/>
      <c r="AA318" s="3"/>
      <c r="AB318" s="3"/>
      <c r="AC318" s="3"/>
      <c r="AD318" s="3"/>
      <c r="AE318" s="3"/>
      <c r="AF318" s="3"/>
      <c r="AG318" s="3"/>
      <c r="AH318" s="3"/>
      <c r="AI318" s="3"/>
      <c r="AJ318" s="3"/>
      <c r="AK318" s="3"/>
      <c r="AL318" s="3"/>
      <c r="AM318" s="3"/>
      <c r="AN318" s="3"/>
      <c r="AO318" s="3"/>
    </row>
    <row r="319" spans="1:41" x14ac:dyDescent="0.2">
      <c r="A319" s="624"/>
      <c r="B319" s="3"/>
      <c r="C319" s="3"/>
      <c r="D319" s="3"/>
      <c r="E319" s="3"/>
      <c r="F319" s="3"/>
      <c r="G319" s="3"/>
      <c r="H319" s="3"/>
      <c r="I319" s="3"/>
      <c r="J319" s="3"/>
      <c r="K319" s="3"/>
      <c r="L319" s="3"/>
      <c r="M319" s="3"/>
      <c r="N319" s="3"/>
      <c r="O319" s="3"/>
      <c r="P319" s="3"/>
      <c r="Q319" s="3"/>
      <c r="R319" s="3"/>
      <c r="S319" s="3"/>
      <c r="T319" s="3"/>
      <c r="U319" s="3"/>
      <c r="W319" s="3"/>
      <c r="X319" s="3"/>
      <c r="Y319" s="3"/>
      <c r="Z319" s="3"/>
      <c r="AA319" s="3"/>
      <c r="AB319" s="3"/>
      <c r="AC319" s="3"/>
      <c r="AD319" s="3"/>
      <c r="AE319" s="3"/>
      <c r="AF319" s="3"/>
      <c r="AG319" s="3"/>
      <c r="AH319" s="3"/>
      <c r="AI319" s="3"/>
      <c r="AJ319" s="3"/>
      <c r="AK319" s="3"/>
      <c r="AL319" s="3"/>
      <c r="AM319" s="3"/>
      <c r="AN319" s="3"/>
      <c r="AO319" s="3"/>
    </row>
    <row r="320" spans="1:41" x14ac:dyDescent="0.2">
      <c r="A320" s="624"/>
      <c r="B320" s="3"/>
      <c r="C320" s="3"/>
      <c r="D320" s="3"/>
      <c r="E320" s="3"/>
      <c r="F320" s="3"/>
      <c r="G320" s="3"/>
      <c r="H320" s="3"/>
      <c r="I320" s="3"/>
      <c r="J320" s="3"/>
      <c r="K320" s="3"/>
      <c r="L320" s="3"/>
      <c r="M320" s="3"/>
      <c r="N320" s="3"/>
      <c r="O320" s="3"/>
      <c r="P320" s="3"/>
      <c r="Q320" s="3"/>
      <c r="R320" s="3"/>
      <c r="S320" s="3"/>
      <c r="T320" s="3"/>
      <c r="U320" s="3"/>
      <c r="W320" s="3"/>
      <c r="X320" s="3"/>
      <c r="Y320" s="3"/>
      <c r="Z320" s="3"/>
      <c r="AA320" s="3"/>
      <c r="AB320" s="3"/>
      <c r="AC320" s="3"/>
      <c r="AD320" s="3"/>
      <c r="AE320" s="3"/>
      <c r="AF320" s="3"/>
      <c r="AG320" s="3"/>
      <c r="AH320" s="3"/>
      <c r="AI320" s="3"/>
      <c r="AJ320" s="3"/>
      <c r="AK320" s="3"/>
      <c r="AL320" s="3"/>
      <c r="AM320" s="3"/>
      <c r="AN320" s="3"/>
      <c r="AO320" s="3"/>
    </row>
    <row r="321" spans="1:41" x14ac:dyDescent="0.2">
      <c r="A321" s="624"/>
      <c r="B321" s="3"/>
      <c r="C321" s="3"/>
      <c r="D321" s="3"/>
      <c r="E321" s="3"/>
      <c r="F321" s="3"/>
      <c r="G321" s="3"/>
      <c r="H321" s="3"/>
      <c r="I321" s="3"/>
      <c r="J321" s="3"/>
      <c r="K321" s="3"/>
      <c r="L321" s="3"/>
      <c r="M321" s="3"/>
      <c r="N321" s="3"/>
      <c r="O321" s="3"/>
      <c r="P321" s="3"/>
      <c r="Q321" s="3"/>
      <c r="R321" s="3"/>
      <c r="S321" s="3"/>
      <c r="T321" s="3"/>
      <c r="U321" s="3"/>
      <c r="W321" s="3"/>
      <c r="X321" s="3"/>
      <c r="Y321" s="3"/>
      <c r="Z321" s="3"/>
      <c r="AA321" s="3"/>
      <c r="AB321" s="3"/>
      <c r="AC321" s="3"/>
      <c r="AD321" s="3"/>
      <c r="AE321" s="3"/>
      <c r="AF321" s="3"/>
      <c r="AG321" s="3"/>
      <c r="AH321" s="3"/>
      <c r="AI321" s="3"/>
      <c r="AJ321" s="3"/>
      <c r="AK321" s="3"/>
      <c r="AL321" s="3"/>
      <c r="AM321" s="3"/>
      <c r="AN321" s="3"/>
      <c r="AO321" s="3"/>
    </row>
    <row r="322" spans="1:41" x14ac:dyDescent="0.2">
      <c r="A322" s="624"/>
      <c r="B322" s="3"/>
      <c r="C322" s="3"/>
      <c r="D322" s="3"/>
      <c r="E322" s="3"/>
      <c r="F322" s="3"/>
      <c r="G322" s="3"/>
      <c r="H322" s="3"/>
      <c r="I322" s="3"/>
      <c r="J322" s="3"/>
      <c r="K322" s="3"/>
      <c r="L322" s="3"/>
      <c r="M322" s="3"/>
      <c r="N322" s="3"/>
      <c r="O322" s="3"/>
      <c r="P322" s="3"/>
      <c r="Q322" s="3"/>
      <c r="R322" s="3"/>
      <c r="S322" s="3"/>
      <c r="T322" s="3"/>
      <c r="U322" s="3"/>
      <c r="W322" s="3"/>
      <c r="X322" s="3"/>
      <c r="Y322" s="3"/>
      <c r="Z322" s="3"/>
      <c r="AA322" s="3"/>
      <c r="AB322" s="3"/>
      <c r="AC322" s="3"/>
      <c r="AD322" s="3"/>
      <c r="AE322" s="3"/>
      <c r="AF322" s="3"/>
      <c r="AG322" s="3"/>
      <c r="AH322" s="3"/>
      <c r="AI322" s="3"/>
      <c r="AJ322" s="3"/>
      <c r="AK322" s="3"/>
      <c r="AL322" s="3"/>
      <c r="AM322" s="3"/>
      <c r="AN322" s="3"/>
      <c r="AO322" s="3"/>
    </row>
    <row r="323" spans="1:41" x14ac:dyDescent="0.2">
      <c r="A323" s="624"/>
      <c r="B323" s="3"/>
      <c r="C323" s="3"/>
      <c r="D323" s="3"/>
      <c r="E323" s="3"/>
      <c r="F323" s="3"/>
      <c r="G323" s="3"/>
      <c r="H323" s="3"/>
      <c r="I323" s="3"/>
      <c r="J323" s="3"/>
      <c r="K323" s="3"/>
      <c r="L323" s="3"/>
      <c r="M323" s="3"/>
      <c r="N323" s="3"/>
      <c r="O323" s="3"/>
      <c r="P323" s="3"/>
      <c r="Q323" s="3"/>
      <c r="R323" s="3"/>
      <c r="S323" s="3"/>
      <c r="T323" s="3"/>
      <c r="U323" s="3"/>
      <c r="W323" s="3"/>
      <c r="X323" s="3"/>
      <c r="Y323" s="3"/>
      <c r="Z323" s="3"/>
      <c r="AA323" s="3"/>
      <c r="AB323" s="3"/>
      <c r="AC323" s="3"/>
      <c r="AD323" s="3"/>
      <c r="AE323" s="3"/>
      <c r="AF323" s="3"/>
      <c r="AG323" s="3"/>
      <c r="AH323" s="3"/>
      <c r="AI323" s="3"/>
      <c r="AJ323" s="3"/>
      <c r="AK323" s="3"/>
      <c r="AL323" s="3"/>
      <c r="AM323" s="3"/>
      <c r="AN323" s="3"/>
      <c r="AO323" s="3"/>
    </row>
    <row r="324" spans="1:41" x14ac:dyDescent="0.2">
      <c r="A324" s="624"/>
      <c r="B324" s="3"/>
      <c r="C324" s="3"/>
      <c r="D324" s="3"/>
      <c r="E324" s="3"/>
      <c r="F324" s="3"/>
      <c r="G324" s="3"/>
      <c r="H324" s="3"/>
      <c r="I324" s="3"/>
      <c r="J324" s="3"/>
      <c r="K324" s="3"/>
      <c r="L324" s="3"/>
      <c r="M324" s="3"/>
      <c r="N324" s="3"/>
      <c r="O324" s="3"/>
      <c r="P324" s="3"/>
      <c r="Q324" s="3"/>
      <c r="R324" s="3"/>
      <c r="S324" s="3"/>
      <c r="T324" s="3"/>
      <c r="U324" s="3"/>
      <c r="W324" s="3"/>
      <c r="X324" s="3"/>
      <c r="Y324" s="3"/>
      <c r="Z324" s="3"/>
      <c r="AA324" s="3"/>
      <c r="AB324" s="3"/>
      <c r="AC324" s="3"/>
      <c r="AD324" s="3"/>
      <c r="AE324" s="3"/>
      <c r="AF324" s="3"/>
      <c r="AG324" s="3"/>
      <c r="AH324" s="3"/>
      <c r="AI324" s="3"/>
      <c r="AJ324" s="3"/>
      <c r="AK324" s="3"/>
      <c r="AL324" s="3"/>
      <c r="AM324" s="3"/>
      <c r="AN324" s="3"/>
      <c r="AO324" s="3"/>
    </row>
    <row r="325" spans="1:41" x14ac:dyDescent="0.2">
      <c r="A325" s="624"/>
      <c r="B325" s="3"/>
      <c r="C325" s="3"/>
      <c r="D325" s="3"/>
      <c r="E325" s="3"/>
      <c r="F325" s="3"/>
      <c r="G325" s="3"/>
      <c r="H325" s="3"/>
      <c r="I325" s="3"/>
      <c r="J325" s="3"/>
      <c r="K325" s="3"/>
      <c r="L325" s="3"/>
      <c r="M325" s="3"/>
      <c r="N325" s="3"/>
      <c r="O325" s="3"/>
      <c r="P325" s="3"/>
      <c r="Q325" s="3"/>
      <c r="R325" s="3"/>
      <c r="S325" s="3"/>
      <c r="T325" s="3"/>
      <c r="U325" s="3"/>
      <c r="W325" s="3"/>
      <c r="X325" s="3"/>
      <c r="Y325" s="3"/>
      <c r="Z325" s="3"/>
      <c r="AA325" s="3"/>
      <c r="AB325" s="3"/>
      <c r="AC325" s="3"/>
      <c r="AD325" s="3"/>
      <c r="AE325" s="3"/>
      <c r="AF325" s="3"/>
      <c r="AG325" s="3"/>
      <c r="AH325" s="3"/>
      <c r="AI325" s="3"/>
      <c r="AJ325" s="3"/>
      <c r="AK325" s="3"/>
      <c r="AL325" s="3"/>
      <c r="AM325" s="3"/>
      <c r="AN325" s="3"/>
      <c r="AO325" s="3"/>
    </row>
    <row r="326" spans="1:41" x14ac:dyDescent="0.2">
      <c r="A326" s="624"/>
      <c r="B326" s="3"/>
      <c r="C326" s="3"/>
      <c r="D326" s="3"/>
      <c r="E326" s="3"/>
      <c r="F326" s="3"/>
      <c r="G326" s="3"/>
      <c r="H326" s="3"/>
      <c r="I326" s="3"/>
      <c r="J326" s="3"/>
      <c r="K326" s="3"/>
      <c r="L326" s="3"/>
      <c r="M326" s="3"/>
      <c r="N326" s="3"/>
      <c r="O326" s="3"/>
      <c r="P326" s="3"/>
      <c r="Q326" s="3"/>
      <c r="R326" s="3"/>
      <c r="S326" s="3"/>
      <c r="T326" s="3"/>
      <c r="U326" s="3"/>
      <c r="W326" s="3"/>
      <c r="X326" s="3"/>
      <c r="Y326" s="3"/>
      <c r="Z326" s="3"/>
      <c r="AA326" s="3"/>
      <c r="AB326" s="3"/>
      <c r="AC326" s="3"/>
      <c r="AD326" s="3"/>
      <c r="AE326" s="3"/>
      <c r="AF326" s="3"/>
      <c r="AG326" s="3"/>
      <c r="AH326" s="3"/>
      <c r="AI326" s="3"/>
      <c r="AJ326" s="3"/>
      <c r="AK326" s="3"/>
      <c r="AL326" s="3"/>
      <c r="AM326" s="3"/>
      <c r="AN326" s="3"/>
      <c r="AO326" s="3"/>
    </row>
    <row r="327" spans="1:41" x14ac:dyDescent="0.2">
      <c r="A327" s="624"/>
      <c r="B327" s="3"/>
      <c r="C327" s="3"/>
      <c r="D327" s="3"/>
      <c r="E327" s="3"/>
      <c r="F327" s="3"/>
      <c r="G327" s="3"/>
      <c r="H327" s="3"/>
      <c r="I327" s="3"/>
      <c r="J327" s="3"/>
      <c r="K327" s="3"/>
      <c r="L327" s="3"/>
      <c r="M327" s="3"/>
      <c r="N327" s="3"/>
      <c r="O327" s="3"/>
      <c r="P327" s="3"/>
      <c r="Q327" s="3"/>
      <c r="R327" s="3"/>
      <c r="S327" s="3"/>
      <c r="T327" s="3"/>
      <c r="U327" s="3"/>
      <c r="W327" s="3"/>
      <c r="X327" s="3"/>
      <c r="Y327" s="3"/>
      <c r="Z327" s="3"/>
      <c r="AA327" s="3"/>
      <c r="AB327" s="3"/>
      <c r="AC327" s="3"/>
      <c r="AD327" s="3"/>
      <c r="AE327" s="3"/>
      <c r="AF327" s="3"/>
      <c r="AG327" s="3"/>
      <c r="AH327" s="3"/>
      <c r="AI327" s="3"/>
      <c r="AJ327" s="3"/>
      <c r="AK327" s="3"/>
      <c r="AL327" s="3"/>
      <c r="AM327" s="3"/>
      <c r="AN327" s="3"/>
      <c r="AO327" s="3"/>
    </row>
    <row r="328" spans="1:41" x14ac:dyDescent="0.2">
      <c r="A328" s="624"/>
      <c r="B328" s="3"/>
      <c r="C328" s="3"/>
      <c r="D328" s="3"/>
      <c r="E328" s="3"/>
      <c r="F328" s="3"/>
      <c r="G328" s="3"/>
      <c r="H328" s="3"/>
      <c r="I328" s="3"/>
      <c r="J328" s="3"/>
      <c r="K328" s="3"/>
      <c r="L328" s="3"/>
      <c r="M328" s="3"/>
      <c r="N328" s="3"/>
      <c r="O328" s="3"/>
      <c r="P328" s="3"/>
      <c r="Q328" s="3"/>
      <c r="R328" s="3"/>
      <c r="S328" s="3"/>
      <c r="T328" s="3"/>
      <c r="U328" s="3"/>
      <c r="W328" s="3"/>
      <c r="X328" s="3"/>
      <c r="Y328" s="3"/>
      <c r="Z328" s="3"/>
      <c r="AA328" s="3"/>
      <c r="AB328" s="3"/>
      <c r="AC328" s="3"/>
      <c r="AD328" s="3"/>
      <c r="AE328" s="3"/>
      <c r="AF328" s="3"/>
      <c r="AG328" s="3"/>
      <c r="AH328" s="3"/>
      <c r="AI328" s="3"/>
      <c r="AJ328" s="3"/>
      <c r="AK328" s="3"/>
      <c r="AL328" s="3"/>
      <c r="AM328" s="3"/>
      <c r="AN328" s="3"/>
      <c r="AO328" s="3"/>
    </row>
    <row r="329" spans="1:41" x14ac:dyDescent="0.2">
      <c r="A329" s="624"/>
      <c r="B329" s="3"/>
      <c r="C329" s="3"/>
      <c r="D329" s="3"/>
      <c r="E329" s="3"/>
      <c r="F329" s="3"/>
      <c r="G329" s="3"/>
      <c r="H329" s="3"/>
      <c r="I329" s="3"/>
      <c r="J329" s="3"/>
      <c r="K329" s="3"/>
      <c r="L329" s="3"/>
      <c r="M329" s="3"/>
      <c r="N329" s="3"/>
      <c r="O329" s="3"/>
      <c r="P329" s="3"/>
      <c r="Q329" s="3"/>
      <c r="R329" s="3"/>
      <c r="S329" s="3"/>
      <c r="T329" s="3"/>
      <c r="U329" s="3"/>
      <c r="W329" s="3"/>
      <c r="X329" s="3"/>
      <c r="Y329" s="3"/>
      <c r="Z329" s="3"/>
      <c r="AA329" s="3"/>
      <c r="AB329" s="3"/>
      <c r="AC329" s="3"/>
      <c r="AD329" s="3"/>
      <c r="AE329" s="3"/>
      <c r="AF329" s="3"/>
      <c r="AG329" s="3"/>
      <c r="AH329" s="3"/>
      <c r="AI329" s="3"/>
      <c r="AJ329" s="3"/>
      <c r="AK329" s="3"/>
      <c r="AL329" s="3"/>
      <c r="AM329" s="3"/>
      <c r="AN329" s="3"/>
      <c r="AO329" s="3"/>
    </row>
    <row r="330" spans="1:41" x14ac:dyDescent="0.2">
      <c r="A330" s="624"/>
      <c r="B330" s="3"/>
      <c r="C330" s="3"/>
      <c r="D330" s="3"/>
      <c r="E330" s="3"/>
      <c r="F330" s="3"/>
      <c r="G330" s="3"/>
      <c r="H330" s="3"/>
      <c r="I330" s="3"/>
      <c r="J330" s="3"/>
      <c r="K330" s="3"/>
      <c r="L330" s="3"/>
      <c r="M330" s="3"/>
      <c r="N330" s="3"/>
      <c r="O330" s="3"/>
      <c r="P330" s="3"/>
      <c r="Q330" s="3"/>
      <c r="R330" s="3"/>
      <c r="S330" s="3"/>
      <c r="T330" s="3"/>
      <c r="U330" s="3"/>
      <c r="W330" s="3"/>
      <c r="X330" s="3"/>
      <c r="Y330" s="3"/>
      <c r="Z330" s="3"/>
      <c r="AA330" s="3"/>
      <c r="AB330" s="3"/>
      <c r="AC330" s="3"/>
      <c r="AD330" s="3"/>
      <c r="AE330" s="3"/>
      <c r="AF330" s="3"/>
      <c r="AG330" s="3"/>
      <c r="AH330" s="3"/>
      <c r="AI330" s="3"/>
      <c r="AJ330" s="3"/>
      <c r="AK330" s="3"/>
      <c r="AL330" s="3"/>
      <c r="AM330" s="3"/>
      <c r="AN330" s="3"/>
      <c r="AO330" s="3"/>
    </row>
    <row r="331" spans="1:41" x14ac:dyDescent="0.2">
      <c r="A331" s="624"/>
      <c r="B331" s="3"/>
      <c r="C331" s="3"/>
      <c r="D331" s="3"/>
      <c r="E331" s="3"/>
      <c r="F331" s="3"/>
      <c r="G331" s="3"/>
      <c r="H331" s="3"/>
      <c r="I331" s="3"/>
      <c r="J331" s="3"/>
      <c r="K331" s="3"/>
      <c r="L331" s="3"/>
      <c r="M331" s="3"/>
      <c r="N331" s="3"/>
      <c r="O331" s="3"/>
      <c r="P331" s="3"/>
      <c r="Q331" s="3"/>
      <c r="R331" s="3"/>
      <c r="S331" s="3"/>
      <c r="T331" s="3"/>
      <c r="U331" s="3"/>
      <c r="W331" s="3"/>
      <c r="X331" s="3"/>
      <c r="Y331" s="3"/>
      <c r="Z331" s="3"/>
      <c r="AA331" s="3"/>
      <c r="AB331" s="3"/>
      <c r="AC331" s="3"/>
      <c r="AD331" s="3"/>
      <c r="AE331" s="3"/>
      <c r="AF331" s="3"/>
      <c r="AG331" s="3"/>
      <c r="AH331" s="3"/>
      <c r="AI331" s="3"/>
      <c r="AJ331" s="3"/>
      <c r="AK331" s="3"/>
      <c r="AL331" s="3"/>
      <c r="AM331" s="3"/>
      <c r="AN331" s="3"/>
      <c r="AO331" s="3"/>
    </row>
    <row r="332" spans="1:41" x14ac:dyDescent="0.2">
      <c r="A332" s="624"/>
      <c r="B332" s="3"/>
      <c r="C332" s="3"/>
      <c r="D332" s="3"/>
      <c r="E332" s="3"/>
      <c r="F332" s="3"/>
      <c r="G332" s="3"/>
      <c r="H332" s="3"/>
      <c r="I332" s="3"/>
      <c r="J332" s="3"/>
      <c r="K332" s="3"/>
      <c r="L332" s="3"/>
      <c r="M332" s="3"/>
      <c r="N332" s="3"/>
      <c r="O332" s="3"/>
      <c r="P332" s="3"/>
      <c r="Q332" s="3"/>
      <c r="R332" s="3"/>
      <c r="S332" s="3"/>
      <c r="T332" s="3"/>
      <c r="U332" s="3"/>
      <c r="W332" s="3"/>
      <c r="X332" s="3"/>
      <c r="Y332" s="3"/>
      <c r="Z332" s="3"/>
      <c r="AA332" s="3"/>
      <c r="AB332" s="3"/>
      <c r="AC332" s="3"/>
      <c r="AD332" s="3"/>
      <c r="AE332" s="3"/>
      <c r="AF332" s="3"/>
      <c r="AG332" s="3"/>
      <c r="AH332" s="3"/>
      <c r="AI332" s="3"/>
      <c r="AJ332" s="3"/>
      <c r="AK332" s="3"/>
      <c r="AL332" s="3"/>
      <c r="AM332" s="3"/>
      <c r="AN332" s="3"/>
      <c r="AO332" s="3"/>
    </row>
    <row r="333" spans="1:41" x14ac:dyDescent="0.2">
      <c r="A333" s="624"/>
      <c r="B333" s="3"/>
      <c r="C333" s="3"/>
      <c r="D333" s="3"/>
      <c r="E333" s="3"/>
      <c r="F333" s="3"/>
      <c r="G333" s="3"/>
      <c r="H333" s="3"/>
      <c r="I333" s="3"/>
      <c r="J333" s="3"/>
      <c r="K333" s="3"/>
      <c r="L333" s="3"/>
      <c r="M333" s="3"/>
      <c r="N333" s="3"/>
      <c r="O333" s="3"/>
      <c r="P333" s="3"/>
      <c r="Q333" s="3"/>
      <c r="R333" s="3"/>
      <c r="S333" s="3"/>
      <c r="T333" s="3"/>
      <c r="U333" s="3"/>
      <c r="W333" s="3"/>
      <c r="X333" s="3"/>
      <c r="Y333" s="3"/>
      <c r="Z333" s="3"/>
      <c r="AA333" s="3"/>
      <c r="AB333" s="3"/>
      <c r="AC333" s="3"/>
      <c r="AD333" s="3"/>
      <c r="AE333" s="3"/>
      <c r="AF333" s="3"/>
      <c r="AG333" s="3"/>
      <c r="AH333" s="3"/>
      <c r="AI333" s="3"/>
      <c r="AJ333" s="3"/>
      <c r="AK333" s="3"/>
      <c r="AL333" s="3"/>
      <c r="AM333" s="3"/>
      <c r="AN333" s="3"/>
      <c r="AO333" s="3"/>
    </row>
    <row r="334" spans="1:41" x14ac:dyDescent="0.2">
      <c r="A334" s="624"/>
      <c r="B334" s="3"/>
      <c r="C334" s="3"/>
      <c r="D334" s="3"/>
      <c r="E334" s="3"/>
      <c r="F334" s="3"/>
      <c r="G334" s="3"/>
      <c r="H334" s="3"/>
      <c r="I334" s="3"/>
      <c r="J334" s="3"/>
      <c r="K334" s="3"/>
      <c r="L334" s="3"/>
      <c r="M334" s="3"/>
      <c r="N334" s="3"/>
      <c r="O334" s="3"/>
      <c r="P334" s="3"/>
      <c r="Q334" s="3"/>
      <c r="R334" s="3"/>
      <c r="S334" s="3"/>
      <c r="T334" s="3"/>
      <c r="U334" s="3"/>
      <c r="W334" s="3"/>
      <c r="X334" s="3"/>
      <c r="Y334" s="3"/>
      <c r="Z334" s="3"/>
      <c r="AA334" s="3"/>
      <c r="AB334" s="3"/>
      <c r="AC334" s="3"/>
      <c r="AD334" s="3"/>
      <c r="AE334" s="3"/>
      <c r="AF334" s="3"/>
      <c r="AG334" s="3"/>
      <c r="AH334" s="3"/>
      <c r="AI334" s="3"/>
      <c r="AJ334" s="3"/>
      <c r="AK334" s="3"/>
      <c r="AL334" s="3"/>
      <c r="AM334" s="3"/>
      <c r="AN334" s="3"/>
      <c r="AO334" s="3"/>
    </row>
    <row r="335" spans="1:41" x14ac:dyDescent="0.2">
      <c r="A335" s="624"/>
      <c r="B335" s="3"/>
      <c r="C335" s="3"/>
      <c r="D335" s="3"/>
      <c r="E335" s="3"/>
      <c r="F335" s="3"/>
      <c r="G335" s="3"/>
      <c r="H335" s="3"/>
      <c r="I335" s="3"/>
      <c r="J335" s="3"/>
      <c r="K335" s="3"/>
      <c r="L335" s="3"/>
      <c r="M335" s="3"/>
      <c r="N335" s="3"/>
      <c r="O335" s="3"/>
      <c r="P335" s="3"/>
      <c r="Q335" s="3"/>
      <c r="R335" s="3"/>
      <c r="S335" s="3"/>
      <c r="T335" s="3"/>
      <c r="U335" s="3"/>
      <c r="W335" s="3"/>
      <c r="X335" s="3"/>
      <c r="Y335" s="3"/>
      <c r="Z335" s="3"/>
      <c r="AA335" s="3"/>
      <c r="AB335" s="3"/>
      <c r="AC335" s="3"/>
      <c r="AD335" s="3"/>
      <c r="AE335" s="3"/>
      <c r="AF335" s="3"/>
      <c r="AG335" s="3"/>
      <c r="AH335" s="3"/>
      <c r="AI335" s="3"/>
      <c r="AJ335" s="3"/>
      <c r="AK335" s="3"/>
      <c r="AL335" s="3"/>
      <c r="AM335" s="3"/>
      <c r="AN335" s="3"/>
      <c r="AO335" s="3"/>
    </row>
    <row r="336" spans="1:41" x14ac:dyDescent="0.2">
      <c r="A336" s="624"/>
      <c r="B336" s="3"/>
      <c r="C336" s="3"/>
      <c r="D336" s="3"/>
      <c r="E336" s="3"/>
      <c r="F336" s="3"/>
      <c r="G336" s="3"/>
      <c r="H336" s="3"/>
      <c r="I336" s="3"/>
      <c r="J336" s="3"/>
      <c r="K336" s="3"/>
      <c r="L336" s="3"/>
      <c r="M336" s="3"/>
      <c r="N336" s="3"/>
      <c r="O336" s="3"/>
      <c r="P336" s="3"/>
      <c r="Q336" s="3"/>
      <c r="R336" s="3"/>
      <c r="S336" s="3"/>
      <c r="T336" s="3"/>
      <c r="U336" s="3"/>
      <c r="W336" s="3"/>
      <c r="X336" s="3"/>
      <c r="Y336" s="3"/>
      <c r="Z336" s="3"/>
      <c r="AA336" s="3"/>
      <c r="AB336" s="3"/>
      <c r="AC336" s="3"/>
      <c r="AD336" s="3"/>
      <c r="AE336" s="3"/>
      <c r="AF336" s="3"/>
      <c r="AG336" s="3"/>
      <c r="AH336" s="3"/>
      <c r="AI336" s="3"/>
      <c r="AJ336" s="3"/>
      <c r="AK336" s="3"/>
      <c r="AL336" s="3"/>
      <c r="AM336" s="3"/>
      <c r="AN336" s="3"/>
      <c r="AO336" s="3"/>
    </row>
    <row r="337" spans="1:41" x14ac:dyDescent="0.2">
      <c r="A337" s="624"/>
      <c r="B337" s="3"/>
      <c r="C337" s="3"/>
      <c r="D337" s="3"/>
      <c r="E337" s="3"/>
      <c r="F337" s="3"/>
      <c r="G337" s="3"/>
      <c r="H337" s="3"/>
      <c r="I337" s="3"/>
      <c r="J337" s="3"/>
      <c r="K337" s="3"/>
      <c r="L337" s="3"/>
      <c r="M337" s="3"/>
      <c r="N337" s="3"/>
      <c r="O337" s="3"/>
      <c r="P337" s="3"/>
      <c r="Q337" s="3"/>
      <c r="R337" s="3"/>
      <c r="S337" s="3"/>
      <c r="T337" s="3"/>
      <c r="U337" s="3"/>
      <c r="W337" s="3"/>
      <c r="X337" s="3"/>
      <c r="Y337" s="3"/>
      <c r="Z337" s="3"/>
      <c r="AA337" s="3"/>
      <c r="AB337" s="3"/>
      <c r="AC337" s="3"/>
      <c r="AD337" s="3"/>
      <c r="AE337" s="3"/>
      <c r="AF337" s="3"/>
      <c r="AG337" s="3"/>
      <c r="AH337" s="3"/>
      <c r="AI337" s="3"/>
      <c r="AJ337" s="3"/>
      <c r="AK337" s="3"/>
      <c r="AL337" s="3"/>
      <c r="AM337" s="3"/>
      <c r="AN337" s="3"/>
      <c r="AO337" s="3"/>
    </row>
    <row r="338" spans="1:41" x14ac:dyDescent="0.2">
      <c r="A338" s="624"/>
      <c r="B338" s="3"/>
      <c r="C338" s="3"/>
      <c r="D338" s="3"/>
      <c r="E338" s="3"/>
      <c r="F338" s="3"/>
      <c r="G338" s="3"/>
      <c r="H338" s="3"/>
      <c r="I338" s="3"/>
      <c r="J338" s="3"/>
      <c r="K338" s="3"/>
      <c r="L338" s="3"/>
      <c r="M338" s="3"/>
      <c r="N338" s="3"/>
      <c r="O338" s="3"/>
      <c r="P338" s="3"/>
      <c r="Q338" s="3"/>
      <c r="R338" s="3"/>
      <c r="S338" s="3"/>
      <c r="T338" s="3"/>
      <c r="U338" s="3"/>
      <c r="W338" s="3"/>
      <c r="X338" s="3"/>
      <c r="Y338" s="3"/>
      <c r="Z338" s="3"/>
      <c r="AA338" s="3"/>
      <c r="AB338" s="3"/>
      <c r="AC338" s="3"/>
      <c r="AD338" s="3"/>
      <c r="AE338" s="3"/>
      <c r="AF338" s="3"/>
      <c r="AG338" s="3"/>
      <c r="AH338" s="3"/>
      <c r="AI338" s="3"/>
      <c r="AJ338" s="3"/>
      <c r="AK338" s="3"/>
      <c r="AL338" s="3"/>
      <c r="AM338" s="3"/>
      <c r="AN338" s="3"/>
      <c r="AO338" s="3"/>
    </row>
    <row r="339" spans="1:41" x14ac:dyDescent="0.2">
      <c r="A339" s="624"/>
      <c r="B339" s="3"/>
      <c r="C339" s="3"/>
      <c r="D339" s="3"/>
      <c r="E339" s="3"/>
      <c r="F339" s="3"/>
      <c r="G339" s="3"/>
      <c r="H339" s="3"/>
      <c r="I339" s="3"/>
      <c r="J339" s="3"/>
      <c r="K339" s="3"/>
      <c r="L339" s="3"/>
      <c r="M339" s="3"/>
      <c r="N339" s="3"/>
      <c r="O339" s="3"/>
      <c r="P339" s="3"/>
      <c r="Q339" s="3"/>
      <c r="R339" s="3"/>
      <c r="S339" s="3"/>
      <c r="T339" s="3"/>
      <c r="U339" s="3"/>
      <c r="W339" s="3"/>
      <c r="X339" s="3"/>
      <c r="Y339" s="3"/>
      <c r="Z339" s="3"/>
      <c r="AA339" s="3"/>
      <c r="AB339" s="3"/>
      <c r="AC339" s="3"/>
      <c r="AD339" s="3"/>
      <c r="AE339" s="3"/>
      <c r="AF339" s="3"/>
      <c r="AG339" s="3"/>
      <c r="AH339" s="3"/>
      <c r="AI339" s="3"/>
      <c r="AJ339" s="3"/>
      <c r="AK339" s="3"/>
      <c r="AL339" s="3"/>
      <c r="AM339" s="3"/>
      <c r="AN339" s="3"/>
      <c r="AO339" s="3"/>
    </row>
    <row r="340" spans="1:41" x14ac:dyDescent="0.2">
      <c r="A340" s="624"/>
      <c r="B340" s="3"/>
      <c r="C340" s="3"/>
      <c r="D340" s="3"/>
      <c r="E340" s="3"/>
      <c r="F340" s="3"/>
      <c r="G340" s="3"/>
      <c r="H340" s="3"/>
      <c r="I340" s="3"/>
      <c r="J340" s="3"/>
      <c r="K340" s="3"/>
      <c r="L340" s="3"/>
      <c r="M340" s="3"/>
      <c r="N340" s="3"/>
      <c r="O340" s="3"/>
      <c r="P340" s="3"/>
      <c r="Q340" s="3"/>
      <c r="R340" s="3"/>
      <c r="S340" s="3"/>
      <c r="T340" s="3"/>
      <c r="U340" s="3"/>
      <c r="W340" s="3"/>
      <c r="X340" s="3"/>
      <c r="Y340" s="3"/>
      <c r="Z340" s="3"/>
      <c r="AA340" s="3"/>
      <c r="AB340" s="3"/>
      <c r="AC340" s="3"/>
      <c r="AD340" s="3"/>
      <c r="AE340" s="3"/>
      <c r="AF340" s="3"/>
      <c r="AG340" s="3"/>
      <c r="AH340" s="3"/>
      <c r="AI340" s="3"/>
      <c r="AJ340" s="3"/>
      <c r="AK340" s="3"/>
      <c r="AL340" s="3"/>
      <c r="AM340" s="3"/>
      <c r="AN340" s="3"/>
      <c r="AO340" s="3"/>
    </row>
    <row r="341" spans="1:41" x14ac:dyDescent="0.2">
      <c r="A341" s="624"/>
      <c r="B341" s="3"/>
      <c r="C341" s="3"/>
      <c r="D341" s="3"/>
      <c r="E341" s="3"/>
      <c r="F341" s="3"/>
      <c r="G341" s="3"/>
      <c r="H341" s="3"/>
      <c r="I341" s="3"/>
      <c r="J341" s="3"/>
      <c r="K341" s="3"/>
      <c r="L341" s="3"/>
      <c r="M341" s="3"/>
      <c r="N341" s="3"/>
      <c r="O341" s="3"/>
      <c r="P341" s="3"/>
      <c r="Q341" s="3"/>
      <c r="R341" s="3"/>
      <c r="S341" s="3"/>
      <c r="T341" s="3"/>
      <c r="U341" s="3"/>
      <c r="W341" s="3"/>
      <c r="X341" s="3"/>
      <c r="Y341" s="3"/>
      <c r="Z341" s="3"/>
      <c r="AA341" s="3"/>
      <c r="AB341" s="3"/>
      <c r="AC341" s="3"/>
      <c r="AD341" s="3"/>
      <c r="AE341" s="3"/>
      <c r="AF341" s="3"/>
      <c r="AG341" s="3"/>
      <c r="AH341" s="3"/>
      <c r="AI341" s="3"/>
      <c r="AJ341" s="3"/>
      <c r="AK341" s="3"/>
      <c r="AL341" s="3"/>
      <c r="AM341" s="3"/>
      <c r="AN341" s="3"/>
      <c r="AO341" s="3"/>
    </row>
    <row r="342" spans="1:41" x14ac:dyDescent="0.2">
      <c r="A342" s="624"/>
      <c r="B342" s="3"/>
      <c r="C342" s="3"/>
      <c r="D342" s="3"/>
      <c r="E342" s="3"/>
      <c r="F342" s="3"/>
      <c r="G342" s="3"/>
      <c r="H342" s="3"/>
      <c r="I342" s="3"/>
      <c r="J342" s="3"/>
      <c r="K342" s="3"/>
      <c r="L342" s="3"/>
      <c r="M342" s="3"/>
      <c r="N342" s="3"/>
      <c r="O342" s="3"/>
      <c r="P342" s="3"/>
      <c r="Q342" s="3"/>
      <c r="R342" s="3"/>
      <c r="S342" s="3"/>
      <c r="T342" s="3"/>
      <c r="U342" s="3"/>
      <c r="W342" s="3"/>
      <c r="X342" s="3"/>
      <c r="Y342" s="3"/>
      <c r="Z342" s="3"/>
      <c r="AA342" s="3"/>
      <c r="AB342" s="3"/>
      <c r="AC342" s="3"/>
      <c r="AD342" s="3"/>
      <c r="AE342" s="3"/>
      <c r="AF342" s="3"/>
      <c r="AG342" s="3"/>
      <c r="AH342" s="3"/>
      <c r="AI342" s="3"/>
      <c r="AJ342" s="3"/>
      <c r="AK342" s="3"/>
      <c r="AL342" s="3"/>
      <c r="AM342" s="3"/>
      <c r="AN342" s="3"/>
      <c r="AO342" s="3"/>
    </row>
    <row r="343" spans="1:41" x14ac:dyDescent="0.2">
      <c r="A343" s="624"/>
      <c r="B343" s="3"/>
      <c r="C343" s="3"/>
      <c r="D343" s="3"/>
      <c r="E343" s="3"/>
      <c r="F343" s="3"/>
      <c r="G343" s="3"/>
      <c r="H343" s="3"/>
      <c r="I343" s="3"/>
      <c r="J343" s="3"/>
      <c r="K343" s="3"/>
      <c r="L343" s="3"/>
      <c r="M343" s="3"/>
      <c r="N343" s="3"/>
      <c r="O343" s="3"/>
      <c r="P343" s="3"/>
      <c r="Q343" s="3"/>
      <c r="R343" s="3"/>
      <c r="S343" s="3"/>
      <c r="T343" s="3"/>
      <c r="U343" s="3"/>
      <c r="W343" s="3"/>
      <c r="X343" s="3"/>
      <c r="Y343" s="3"/>
      <c r="Z343" s="3"/>
      <c r="AA343" s="3"/>
      <c r="AB343" s="3"/>
      <c r="AC343" s="3"/>
      <c r="AD343" s="3"/>
      <c r="AE343" s="3"/>
      <c r="AF343" s="3"/>
      <c r="AG343" s="3"/>
      <c r="AH343" s="3"/>
      <c r="AI343" s="3"/>
      <c r="AJ343" s="3"/>
      <c r="AK343" s="3"/>
      <c r="AL343" s="3"/>
      <c r="AM343" s="3"/>
      <c r="AN343" s="3"/>
      <c r="AO343" s="3"/>
    </row>
    <row r="344" spans="1:41" x14ac:dyDescent="0.2">
      <c r="A344" s="624"/>
      <c r="B344" s="3"/>
      <c r="C344" s="3"/>
      <c r="D344" s="3"/>
      <c r="E344" s="3"/>
      <c r="F344" s="3"/>
      <c r="G344" s="3"/>
      <c r="H344" s="3"/>
      <c r="I344" s="3"/>
      <c r="J344" s="3"/>
      <c r="K344" s="3"/>
      <c r="L344" s="3"/>
      <c r="M344" s="3"/>
      <c r="N344" s="3"/>
      <c r="O344" s="3"/>
      <c r="P344" s="3"/>
      <c r="Q344" s="3"/>
      <c r="R344" s="3"/>
      <c r="S344" s="3"/>
      <c r="T344" s="3"/>
      <c r="U344" s="3"/>
      <c r="W344" s="3"/>
      <c r="X344" s="3"/>
      <c r="Y344" s="3"/>
      <c r="Z344" s="3"/>
      <c r="AA344" s="3"/>
      <c r="AB344" s="3"/>
      <c r="AC344" s="3"/>
      <c r="AD344" s="3"/>
      <c r="AE344" s="3"/>
      <c r="AF344" s="3"/>
      <c r="AG344" s="3"/>
      <c r="AH344" s="3"/>
      <c r="AI344" s="3"/>
      <c r="AJ344" s="3"/>
      <c r="AK344" s="3"/>
      <c r="AL344" s="3"/>
      <c r="AM344" s="3"/>
      <c r="AN344" s="3"/>
      <c r="AO344" s="3"/>
    </row>
    <row r="345" spans="1:41" x14ac:dyDescent="0.2">
      <c r="A345" s="624"/>
      <c r="B345" s="3"/>
      <c r="C345" s="3"/>
      <c r="D345" s="3"/>
      <c r="E345" s="3"/>
      <c r="F345" s="3"/>
      <c r="G345" s="3"/>
      <c r="H345" s="3"/>
      <c r="I345" s="3"/>
      <c r="J345" s="3"/>
      <c r="K345" s="3"/>
      <c r="L345" s="3"/>
      <c r="M345" s="3"/>
      <c r="N345" s="3"/>
      <c r="O345" s="3"/>
      <c r="P345" s="3"/>
      <c r="Q345" s="3"/>
      <c r="R345" s="3"/>
      <c r="S345" s="3"/>
      <c r="T345" s="3"/>
      <c r="U345" s="3"/>
      <c r="W345" s="3"/>
      <c r="X345" s="3"/>
      <c r="Y345" s="3"/>
      <c r="Z345" s="3"/>
      <c r="AA345" s="3"/>
      <c r="AB345" s="3"/>
      <c r="AC345" s="3"/>
      <c r="AD345" s="3"/>
      <c r="AE345" s="3"/>
      <c r="AF345" s="3"/>
      <c r="AG345" s="3"/>
      <c r="AH345" s="3"/>
      <c r="AI345" s="3"/>
      <c r="AJ345" s="3"/>
      <c r="AK345" s="3"/>
      <c r="AL345" s="3"/>
      <c r="AM345" s="3"/>
      <c r="AN345" s="3"/>
      <c r="AO345" s="3"/>
    </row>
    <row r="346" spans="1:41" x14ac:dyDescent="0.2">
      <c r="A346" s="624"/>
      <c r="B346" s="3"/>
      <c r="C346" s="3"/>
      <c r="D346" s="3"/>
      <c r="E346" s="3"/>
      <c r="F346" s="3"/>
      <c r="G346" s="3"/>
      <c r="H346" s="3"/>
      <c r="I346" s="3"/>
      <c r="J346" s="3"/>
      <c r="K346" s="3"/>
      <c r="L346" s="3"/>
      <c r="M346" s="3"/>
      <c r="N346" s="3"/>
      <c r="O346" s="3"/>
      <c r="P346" s="3"/>
      <c r="Q346" s="3"/>
      <c r="R346" s="3"/>
      <c r="S346" s="3"/>
      <c r="T346" s="3"/>
      <c r="U346" s="3"/>
      <c r="W346" s="3"/>
      <c r="X346" s="3"/>
      <c r="Y346" s="3"/>
      <c r="Z346" s="3"/>
      <c r="AA346" s="3"/>
      <c r="AB346" s="3"/>
      <c r="AC346" s="3"/>
      <c r="AD346" s="3"/>
      <c r="AE346" s="3"/>
      <c r="AF346" s="3"/>
      <c r="AG346" s="3"/>
      <c r="AH346" s="3"/>
      <c r="AI346" s="3"/>
      <c r="AJ346" s="3"/>
      <c r="AK346" s="3"/>
      <c r="AL346" s="3"/>
      <c r="AM346" s="3"/>
      <c r="AN346" s="3"/>
      <c r="AO346" s="3"/>
    </row>
    <row r="347" spans="1:41" x14ac:dyDescent="0.2">
      <c r="A347" s="624"/>
      <c r="B347" s="3"/>
      <c r="C347" s="3"/>
      <c r="D347" s="3"/>
      <c r="E347" s="3"/>
      <c r="F347" s="3"/>
      <c r="G347" s="3"/>
      <c r="H347" s="3"/>
      <c r="I347" s="3"/>
      <c r="J347" s="3"/>
      <c r="K347" s="3"/>
      <c r="L347" s="3"/>
      <c r="M347" s="3"/>
      <c r="N347" s="3"/>
      <c r="O347" s="3"/>
      <c r="P347" s="3"/>
      <c r="Q347" s="3"/>
      <c r="R347" s="3"/>
      <c r="S347" s="3"/>
      <c r="T347" s="3"/>
      <c r="U347" s="3"/>
      <c r="W347" s="3"/>
      <c r="X347" s="3"/>
      <c r="Y347" s="3"/>
      <c r="Z347" s="3"/>
      <c r="AA347" s="3"/>
      <c r="AB347" s="3"/>
      <c r="AC347" s="3"/>
      <c r="AD347" s="3"/>
      <c r="AE347" s="3"/>
      <c r="AF347" s="3"/>
      <c r="AG347" s="3"/>
      <c r="AH347" s="3"/>
      <c r="AI347" s="3"/>
      <c r="AJ347" s="3"/>
      <c r="AK347" s="3"/>
      <c r="AL347" s="3"/>
      <c r="AM347" s="3"/>
      <c r="AN347" s="3"/>
      <c r="AO347" s="3"/>
    </row>
    <row r="348" spans="1:41" x14ac:dyDescent="0.2">
      <c r="A348" s="624"/>
      <c r="B348" s="3"/>
      <c r="C348" s="3"/>
      <c r="D348" s="3"/>
      <c r="E348" s="3"/>
      <c r="F348" s="3"/>
      <c r="G348" s="3"/>
      <c r="H348" s="3"/>
      <c r="I348" s="3"/>
      <c r="J348" s="3"/>
      <c r="K348" s="3"/>
      <c r="L348" s="3"/>
      <c r="M348" s="3"/>
      <c r="N348" s="3"/>
      <c r="O348" s="3"/>
      <c r="P348" s="3"/>
      <c r="Q348" s="3"/>
      <c r="R348" s="3"/>
      <c r="S348" s="3"/>
      <c r="T348" s="3"/>
      <c r="U348" s="3"/>
      <c r="W348" s="3"/>
      <c r="X348" s="3"/>
      <c r="Y348" s="3"/>
      <c r="Z348" s="3"/>
      <c r="AA348" s="3"/>
      <c r="AB348" s="3"/>
      <c r="AC348" s="3"/>
      <c r="AD348" s="3"/>
      <c r="AE348" s="3"/>
      <c r="AF348" s="3"/>
      <c r="AG348" s="3"/>
      <c r="AH348" s="3"/>
      <c r="AI348" s="3"/>
      <c r="AJ348" s="3"/>
      <c r="AK348" s="3"/>
      <c r="AL348" s="3"/>
      <c r="AM348" s="3"/>
      <c r="AN348" s="3"/>
      <c r="AO348" s="3"/>
    </row>
    <row r="349" spans="1:41" x14ac:dyDescent="0.2">
      <c r="A349" s="624"/>
      <c r="B349" s="3"/>
      <c r="C349" s="3"/>
      <c r="D349" s="3"/>
      <c r="E349" s="3"/>
      <c r="F349" s="3"/>
      <c r="G349" s="3"/>
      <c r="H349" s="3"/>
      <c r="I349" s="3"/>
      <c r="J349" s="3"/>
      <c r="K349" s="3"/>
      <c r="L349" s="3"/>
      <c r="M349" s="3"/>
      <c r="N349" s="3"/>
      <c r="O349" s="3"/>
      <c r="P349" s="3"/>
      <c r="Q349" s="3"/>
      <c r="R349" s="3"/>
      <c r="S349" s="3"/>
      <c r="T349" s="3"/>
      <c r="U349" s="3"/>
      <c r="W349" s="3"/>
      <c r="X349" s="3"/>
      <c r="Y349" s="3"/>
      <c r="Z349" s="3"/>
      <c r="AA349" s="3"/>
      <c r="AB349" s="3"/>
      <c r="AC349" s="3"/>
      <c r="AD349" s="3"/>
      <c r="AE349" s="3"/>
      <c r="AF349" s="3"/>
      <c r="AG349" s="3"/>
      <c r="AH349" s="3"/>
      <c r="AI349" s="3"/>
      <c r="AJ349" s="3"/>
      <c r="AK349" s="3"/>
      <c r="AL349" s="3"/>
      <c r="AM349" s="3"/>
      <c r="AN349" s="3"/>
      <c r="AO349" s="3"/>
    </row>
    <row r="350" spans="1:41" x14ac:dyDescent="0.2">
      <c r="A350" s="624"/>
      <c r="B350" s="3"/>
      <c r="C350" s="3"/>
      <c r="D350" s="3"/>
      <c r="E350" s="3"/>
      <c r="F350" s="3"/>
      <c r="G350" s="3"/>
      <c r="H350" s="3"/>
      <c r="I350" s="3"/>
      <c r="J350" s="3"/>
      <c r="K350" s="3"/>
      <c r="L350" s="3"/>
      <c r="M350" s="3"/>
      <c r="N350" s="3"/>
      <c r="O350" s="3"/>
      <c r="P350" s="3"/>
      <c r="Q350" s="3"/>
      <c r="R350" s="3"/>
      <c r="S350" s="3"/>
      <c r="T350" s="3"/>
      <c r="U350" s="3"/>
      <c r="W350" s="3"/>
      <c r="X350" s="3"/>
      <c r="Y350" s="3"/>
      <c r="Z350" s="3"/>
      <c r="AA350" s="3"/>
      <c r="AB350" s="3"/>
      <c r="AC350" s="3"/>
      <c r="AD350" s="3"/>
      <c r="AE350" s="3"/>
      <c r="AF350" s="3"/>
      <c r="AG350" s="3"/>
      <c r="AH350" s="3"/>
      <c r="AI350" s="3"/>
      <c r="AJ350" s="3"/>
      <c r="AK350" s="3"/>
      <c r="AL350" s="3"/>
      <c r="AM350" s="3"/>
      <c r="AN350" s="3"/>
      <c r="AO350" s="3"/>
    </row>
    <row r="351" spans="1:41" x14ac:dyDescent="0.2">
      <c r="A351" s="624"/>
      <c r="B351" s="3"/>
      <c r="C351" s="3"/>
      <c r="D351" s="3"/>
      <c r="E351" s="3"/>
      <c r="F351" s="3"/>
      <c r="G351" s="3"/>
      <c r="H351" s="3"/>
      <c r="I351" s="3"/>
      <c r="J351" s="3"/>
      <c r="K351" s="3"/>
      <c r="L351" s="3"/>
      <c r="M351" s="3"/>
      <c r="N351" s="3"/>
      <c r="O351" s="3"/>
      <c r="P351" s="3"/>
      <c r="Q351" s="3"/>
      <c r="R351" s="3"/>
      <c r="S351" s="3"/>
      <c r="T351" s="3"/>
      <c r="U351" s="3"/>
      <c r="W351" s="3"/>
      <c r="X351" s="3"/>
      <c r="Y351" s="3"/>
      <c r="Z351" s="3"/>
      <c r="AA351" s="3"/>
      <c r="AB351" s="3"/>
      <c r="AC351" s="3"/>
      <c r="AD351" s="3"/>
      <c r="AE351" s="3"/>
      <c r="AF351" s="3"/>
      <c r="AG351" s="3"/>
      <c r="AH351" s="3"/>
      <c r="AI351" s="3"/>
      <c r="AJ351" s="3"/>
      <c r="AK351" s="3"/>
      <c r="AL351" s="3"/>
      <c r="AM351" s="3"/>
      <c r="AN351" s="3"/>
      <c r="AO351" s="3"/>
    </row>
    <row r="352" spans="1:41" x14ac:dyDescent="0.2">
      <c r="A352" s="624"/>
      <c r="B352" s="3"/>
      <c r="C352" s="3"/>
      <c r="D352" s="3"/>
      <c r="E352" s="3"/>
      <c r="F352" s="3"/>
      <c r="G352" s="3"/>
      <c r="H352" s="3"/>
      <c r="I352" s="3"/>
      <c r="J352" s="3"/>
      <c r="K352" s="3"/>
      <c r="L352" s="3"/>
      <c r="M352" s="3"/>
      <c r="N352" s="3"/>
      <c r="O352" s="3"/>
      <c r="P352" s="3"/>
      <c r="Q352" s="3"/>
      <c r="R352" s="3"/>
      <c r="S352" s="3"/>
      <c r="T352" s="3"/>
      <c r="U352" s="3"/>
      <c r="W352" s="3"/>
      <c r="X352" s="3"/>
      <c r="Y352" s="3"/>
      <c r="Z352" s="3"/>
      <c r="AA352" s="3"/>
      <c r="AB352" s="3"/>
      <c r="AC352" s="3"/>
      <c r="AD352" s="3"/>
      <c r="AE352" s="3"/>
      <c r="AF352" s="3"/>
      <c r="AG352" s="3"/>
      <c r="AH352" s="3"/>
      <c r="AI352" s="3"/>
      <c r="AJ352" s="3"/>
      <c r="AK352" s="3"/>
      <c r="AL352" s="3"/>
      <c r="AM352" s="3"/>
      <c r="AN352" s="3"/>
      <c r="AO352" s="3"/>
    </row>
    <row r="353" spans="1:41" x14ac:dyDescent="0.2">
      <c r="A353" s="624"/>
      <c r="B353" s="3"/>
      <c r="C353" s="3"/>
      <c r="D353" s="3"/>
      <c r="E353" s="3"/>
      <c r="F353" s="3"/>
      <c r="G353" s="3"/>
      <c r="H353" s="3"/>
      <c r="I353" s="3"/>
      <c r="J353" s="3"/>
      <c r="K353" s="3"/>
      <c r="L353" s="3"/>
      <c r="M353" s="3"/>
      <c r="N353" s="3"/>
      <c r="O353" s="3"/>
      <c r="P353" s="3"/>
      <c r="Q353" s="3"/>
      <c r="R353" s="3"/>
      <c r="S353" s="3"/>
      <c r="T353" s="3"/>
      <c r="U353" s="3"/>
      <c r="W353" s="3"/>
      <c r="X353" s="3"/>
      <c r="Y353" s="3"/>
      <c r="Z353" s="3"/>
      <c r="AA353" s="3"/>
      <c r="AB353" s="3"/>
      <c r="AC353" s="3"/>
      <c r="AD353" s="3"/>
      <c r="AE353" s="3"/>
      <c r="AF353" s="3"/>
      <c r="AG353" s="3"/>
      <c r="AH353" s="3"/>
      <c r="AI353" s="3"/>
      <c r="AJ353" s="3"/>
      <c r="AK353" s="3"/>
      <c r="AL353" s="3"/>
      <c r="AM353" s="3"/>
      <c r="AN353" s="3"/>
      <c r="AO353" s="3"/>
    </row>
    <row r="354" spans="1:41" x14ac:dyDescent="0.2">
      <c r="A354" s="624"/>
      <c r="B354" s="3"/>
      <c r="C354" s="3"/>
      <c r="D354" s="3"/>
      <c r="E354" s="3"/>
      <c r="F354" s="3"/>
      <c r="G354" s="3"/>
      <c r="H354" s="3"/>
      <c r="I354" s="3"/>
      <c r="J354" s="3"/>
      <c r="K354" s="3"/>
      <c r="L354" s="3"/>
      <c r="M354" s="3"/>
      <c r="N354" s="3"/>
      <c r="O354" s="3"/>
      <c r="P354" s="3"/>
      <c r="Q354" s="3"/>
      <c r="R354" s="3"/>
      <c r="S354" s="3"/>
      <c r="T354" s="3"/>
      <c r="U354" s="3"/>
      <c r="W354" s="3"/>
      <c r="X354" s="3"/>
      <c r="Y354" s="3"/>
      <c r="Z354" s="3"/>
      <c r="AA354" s="3"/>
      <c r="AB354" s="3"/>
      <c r="AC354" s="3"/>
      <c r="AD354" s="3"/>
      <c r="AE354" s="3"/>
      <c r="AF354" s="3"/>
      <c r="AG354" s="3"/>
      <c r="AH354" s="3"/>
      <c r="AI354" s="3"/>
      <c r="AJ354" s="3"/>
      <c r="AK354" s="3"/>
      <c r="AL354" s="3"/>
      <c r="AM354" s="3"/>
      <c r="AN354" s="3"/>
      <c r="AO354" s="3"/>
    </row>
    <row r="355" spans="1:41" x14ac:dyDescent="0.2">
      <c r="A355" s="624"/>
      <c r="B355" s="3"/>
      <c r="C355" s="3"/>
      <c r="D355" s="3"/>
      <c r="E355" s="3"/>
      <c r="F355" s="3"/>
      <c r="G355" s="3"/>
      <c r="H355" s="3"/>
      <c r="I355" s="3"/>
      <c r="J355" s="3"/>
      <c r="K355" s="3"/>
      <c r="L355" s="3"/>
      <c r="M355" s="3"/>
      <c r="N355" s="3"/>
      <c r="O355" s="3"/>
      <c r="P355" s="3"/>
      <c r="Q355" s="3"/>
      <c r="R355" s="3"/>
      <c r="S355" s="3"/>
      <c r="T355" s="3"/>
      <c r="U355" s="3"/>
      <c r="W355" s="3"/>
      <c r="X355" s="3"/>
      <c r="Y355" s="3"/>
      <c r="Z355" s="3"/>
      <c r="AA355" s="3"/>
      <c r="AB355" s="3"/>
      <c r="AC355" s="3"/>
      <c r="AD355" s="3"/>
      <c r="AE355" s="3"/>
      <c r="AF355" s="3"/>
      <c r="AG355" s="3"/>
      <c r="AH355" s="3"/>
      <c r="AI355" s="3"/>
      <c r="AJ355" s="3"/>
      <c r="AK355" s="3"/>
      <c r="AL355" s="3"/>
      <c r="AM355" s="3"/>
      <c r="AN355" s="3"/>
      <c r="AO355" s="3"/>
    </row>
    <row r="356" spans="1:41" x14ac:dyDescent="0.2">
      <c r="A356" s="624"/>
      <c r="B356" s="3"/>
      <c r="C356" s="3"/>
      <c r="D356" s="3"/>
      <c r="E356" s="3"/>
      <c r="F356" s="3"/>
      <c r="G356" s="3"/>
      <c r="H356" s="3"/>
      <c r="I356" s="3"/>
      <c r="J356" s="3"/>
      <c r="K356" s="3"/>
      <c r="L356" s="3"/>
      <c r="M356" s="3"/>
      <c r="N356" s="3"/>
      <c r="O356" s="3"/>
      <c r="P356" s="3"/>
      <c r="Q356" s="3"/>
      <c r="R356" s="3"/>
      <c r="S356" s="3"/>
      <c r="T356" s="3"/>
      <c r="U356" s="3"/>
      <c r="W356" s="3"/>
      <c r="X356" s="3"/>
      <c r="Y356" s="3"/>
      <c r="Z356" s="3"/>
      <c r="AA356" s="3"/>
      <c r="AB356" s="3"/>
      <c r="AC356" s="3"/>
      <c r="AD356" s="3"/>
      <c r="AE356" s="3"/>
      <c r="AF356" s="3"/>
      <c r="AG356" s="3"/>
      <c r="AH356" s="3"/>
      <c r="AI356" s="3"/>
      <c r="AJ356" s="3"/>
      <c r="AK356" s="3"/>
      <c r="AL356" s="3"/>
      <c r="AM356" s="3"/>
      <c r="AN356" s="3"/>
      <c r="AO356" s="3"/>
    </row>
    <row r="357" spans="1:41" x14ac:dyDescent="0.2">
      <c r="A357" s="624"/>
      <c r="B357" s="3"/>
      <c r="C357" s="3"/>
      <c r="D357" s="3"/>
      <c r="E357" s="3"/>
      <c r="F357" s="3"/>
      <c r="G357" s="3"/>
      <c r="H357" s="3"/>
      <c r="I357" s="3"/>
      <c r="J357" s="3"/>
      <c r="K357" s="3"/>
      <c r="L357" s="3"/>
      <c r="M357" s="3"/>
      <c r="N357" s="3"/>
      <c r="O357" s="3"/>
      <c r="P357" s="3"/>
      <c r="Q357" s="3"/>
      <c r="R357" s="3"/>
      <c r="S357" s="3"/>
      <c r="T357" s="3"/>
      <c r="U357" s="3"/>
      <c r="W357" s="3"/>
      <c r="X357" s="3"/>
      <c r="Y357" s="3"/>
      <c r="Z357" s="3"/>
      <c r="AA357" s="3"/>
      <c r="AB357" s="3"/>
      <c r="AC357" s="3"/>
      <c r="AD357" s="3"/>
      <c r="AE357" s="3"/>
      <c r="AF357" s="3"/>
      <c r="AG357" s="3"/>
      <c r="AH357" s="3"/>
      <c r="AI357" s="3"/>
      <c r="AJ357" s="3"/>
      <c r="AK357" s="3"/>
      <c r="AL357" s="3"/>
      <c r="AM357" s="3"/>
      <c r="AN357" s="3"/>
      <c r="AO357" s="3"/>
    </row>
  </sheetData>
  <sheetProtection algorithmName="SHA-512" hashValue="5Z1MtRfj6bZJrRkKTxw2Tuj9OCVSJLSTQFfU4h7Q7FYNZLT9gE+7ifnBv41z/VhbzBHe/E2fqW9o6iRcje0FRg==" saltValue="O/BfY5wyU5MZN0LKeGe+bQ==" spinCount="100000" sheet="1" formatColumns="0" formatRows="0"/>
  <mergeCells count="1">
    <mergeCell ref="C24:D24"/>
  </mergeCells>
  <hyperlinks>
    <hyperlink ref="W46" r:id="rId1"/>
    <hyperlink ref="W51" r:id="rId2"/>
    <hyperlink ref="B23" r:id="rId3"/>
    <hyperlink ref="B27" r:id="rId4"/>
  </hyperlinks>
  <pageMargins left="0.7" right="0.7" top="0.75" bottom="0.75" header="0.3" footer="0.3"/>
  <pageSetup paperSize="9" scale="58" orientation="landscape" r:id="rId5"/>
  <headerFooter>
    <oddHeader>&amp;C&amp;"Calibri"&amp;10&amp;KFF0000 UNOFFICIAL&amp;1#_x000D_</oddHeader>
    <oddFooter>&amp;C_x000D_&amp;1#&amp;"Calibri"&amp;10&amp;KFF0000 UNOFFICIAL</oddFooter>
  </headerFooter>
  <extLst>
    <ext xmlns:x14="http://schemas.microsoft.com/office/spreadsheetml/2009/9/main" uri="{78C0D931-6437-407d-A8EE-F0AAD7539E65}">
      <x14:conditionalFormattings>
        <x14:conditionalFormatting xmlns:xm="http://schemas.microsoft.com/office/excel/2006/main">
          <x14:cfRule type="expression" priority="104" id="{EF7DFE9C-CD99-4F2C-AFEB-932B16BCA2C7}">
            <xm:f>'WS1-Application'!$D$33="minimum rate increase"</xm:f>
            <x14:dxf>
              <font>
                <b/>
                <i val="0"/>
                <color rgb="FF974706"/>
              </font>
            </x14:dxf>
          </x14:cfRule>
          <xm:sqref>B48 E42 E62 B50 B53 B57 B65:B66 B69:B70 B73:B74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5"/>
  <sheetViews>
    <sheetView showGridLines="0" topLeftCell="A82" zoomScaleNormal="100" workbookViewId="0">
      <selection activeCell="O55" sqref="O55"/>
    </sheetView>
  </sheetViews>
  <sheetFormatPr defaultRowHeight="12" x14ac:dyDescent="0.2"/>
  <cols>
    <col min="1" max="1" width="2.7109375" style="621" customWidth="1"/>
    <col min="2" max="2" width="98.7109375" bestFit="1" customWidth="1"/>
    <col min="3" max="3" width="6.42578125" customWidth="1"/>
    <col min="4" max="4" width="12" customWidth="1"/>
    <col min="5" max="5" width="15.85546875" customWidth="1"/>
    <col min="6" max="6" width="12.85546875" customWidth="1"/>
    <col min="7" max="7" width="13.140625" customWidth="1"/>
    <col min="8" max="8" width="13.42578125" customWidth="1"/>
    <col min="9" max="9" width="11.42578125" customWidth="1"/>
  </cols>
  <sheetData>
    <row r="1" spans="1:9" ht="12.75" thickBot="1" x14ac:dyDescent="0.25">
      <c r="A1" s="621">
        <v>12</v>
      </c>
    </row>
    <row r="2" spans="1:9" ht="15.75" x14ac:dyDescent="0.25">
      <c r="B2" s="1590" t="str">
        <f>'WS1-Application'!B2</f>
        <v>APPLICATION FOR SPECIAL VARIATION - WILLOUGHBY CITY COUNCIL</v>
      </c>
      <c r="C2" s="1615"/>
      <c r="D2" s="1615"/>
      <c r="E2" s="1615"/>
      <c r="F2" s="1615"/>
      <c r="G2" s="1615"/>
      <c r="H2" s="1615"/>
      <c r="I2" s="1616"/>
    </row>
    <row r="3" spans="1:9" ht="15.75" x14ac:dyDescent="0.25">
      <c r="B3" s="1617"/>
      <c r="C3" s="1566"/>
      <c r="D3" s="1568"/>
      <c r="E3" s="1568"/>
      <c r="F3" s="1568"/>
      <c r="G3" s="1568"/>
      <c r="H3" s="1568"/>
      <c r="I3" s="1569"/>
    </row>
    <row r="4" spans="1:9" ht="16.5" thickBot="1" x14ac:dyDescent="0.3">
      <c r="B4" s="1553" t="str">
        <f>"WORKSHEET "&amp;A1&amp;": OTHER DATA"</f>
        <v>WORKSHEET 12: OTHER DATA</v>
      </c>
      <c r="C4" s="1593"/>
      <c r="D4" s="1593"/>
      <c r="E4" s="1593"/>
      <c r="F4" s="1593"/>
      <c r="G4" s="1593"/>
      <c r="H4" s="1593"/>
      <c r="I4" s="1594"/>
    </row>
    <row r="5" spans="1:9" ht="12" customHeight="1" x14ac:dyDescent="0.2"/>
    <row r="6" spans="1:9" ht="12" customHeight="1" x14ac:dyDescent="0.2"/>
    <row r="7" spans="1:9" ht="12.75" x14ac:dyDescent="0.2">
      <c r="B7" s="461" t="s">
        <v>496</v>
      </c>
    </row>
    <row r="8" spans="1:9" ht="12.75" x14ac:dyDescent="0.2">
      <c r="B8" s="1371"/>
      <c r="C8" s="675"/>
      <c r="D8" s="675"/>
      <c r="E8" s="675"/>
      <c r="F8" s="675"/>
      <c r="G8" s="675"/>
      <c r="H8" s="675"/>
      <c r="I8" s="676"/>
    </row>
    <row r="9" spans="1:9" x14ac:dyDescent="0.2">
      <c r="B9" s="299" t="s">
        <v>920</v>
      </c>
      <c r="C9" s="3"/>
      <c r="D9" s="3"/>
      <c r="E9" s="3"/>
      <c r="F9" s="3"/>
      <c r="G9" s="3"/>
      <c r="H9" s="3"/>
      <c r="I9" s="568"/>
    </row>
    <row r="10" spans="1:9" x14ac:dyDescent="0.2">
      <c r="B10" s="299" t="s">
        <v>921</v>
      </c>
      <c r="C10" s="3"/>
      <c r="D10" s="3"/>
      <c r="E10" s="3"/>
      <c r="F10" s="3"/>
      <c r="G10" s="3"/>
      <c r="H10" s="3"/>
      <c r="I10" s="568"/>
    </row>
    <row r="11" spans="1:9" x14ac:dyDescent="0.2">
      <c r="B11" s="299" t="str">
        <f>"(2) Completion of rateable and non-rateable assessments at row "&amp;ROW(B82)&amp;" is optional"</f>
        <v>(2) Completion of rateable and non-rateable assessments at row 82 is optional</v>
      </c>
      <c r="C11" s="3"/>
      <c r="D11" s="3"/>
      <c r="E11" s="3"/>
      <c r="F11" s="3"/>
      <c r="G11" s="3"/>
      <c r="H11" s="3"/>
      <c r="I11" s="568"/>
    </row>
    <row r="12" spans="1:9" x14ac:dyDescent="0.2">
      <c r="B12" s="677" t="str">
        <f>"(3) Optional space is provided from row "&amp;ROW(B94)&amp;" for the council to provide any other additional relevant data not already provided in this application form or the Part B application form."</f>
        <v>(3) Optional space is provided from row 94 for the council to provide any other additional relevant data not already provided in this application form or the Part B application form.</v>
      </c>
      <c r="I12" s="669"/>
    </row>
    <row r="13" spans="1:9" x14ac:dyDescent="0.2">
      <c r="B13" s="679"/>
      <c r="C13" s="571"/>
      <c r="D13" s="571"/>
      <c r="E13" s="571"/>
      <c r="F13" s="571"/>
      <c r="G13" s="571"/>
      <c r="H13" s="571"/>
      <c r="I13" s="680"/>
    </row>
    <row r="14" spans="1:9" ht="12" customHeight="1" x14ac:dyDescent="0.2"/>
    <row r="15" spans="1:9" ht="12" customHeight="1" x14ac:dyDescent="0.2"/>
    <row r="16" spans="1:9" ht="12.75" x14ac:dyDescent="0.2">
      <c r="A16" s="642" t="s">
        <v>902</v>
      </c>
      <c r="B16" s="461" t="str">
        <f>"Table "&amp;A1&amp;A16&amp;": Overdue notices, rebate and hardship"</f>
        <v>Table 12.1: Overdue notices, rebate and hardship</v>
      </c>
    </row>
    <row r="17" spans="2:9" x14ac:dyDescent="0.2">
      <c r="B17" s="674"/>
      <c r="C17" s="666"/>
      <c r="D17" s="666"/>
      <c r="E17" s="1421" t="str">
        <f>'WS0 - Input data'!E55</f>
        <v>Hist yr -5</v>
      </c>
      <c r="F17" s="1421" t="str">
        <f>'WS0 - Input data'!F55</f>
        <v>Hist yr -4</v>
      </c>
      <c r="G17" s="1421" t="str">
        <f>'WS0 - Input data'!G55</f>
        <v>Hist yr -3</v>
      </c>
      <c r="H17" s="1421" t="str">
        <f>'WS0 - Input data'!H55</f>
        <v>Hist yr -2</v>
      </c>
      <c r="I17" s="1245" t="str">
        <f>'WS0 - Input data'!I55</f>
        <v>Hist yr -1</v>
      </c>
    </row>
    <row r="18" spans="2:9" x14ac:dyDescent="0.2">
      <c r="B18" s="1274"/>
      <c r="C18" s="606"/>
      <c r="D18" s="606" t="s">
        <v>641</v>
      </c>
      <c r="E18" s="1422" t="str">
        <f>'WS0 - Input data'!E58</f>
        <v>2018-19</v>
      </c>
      <c r="F18" s="1422" t="str">
        <f>'WS0 - Input data'!F58</f>
        <v>2019-20</v>
      </c>
      <c r="G18" s="1422" t="str">
        <f>'WS0 - Input data'!G58</f>
        <v>2020-21</v>
      </c>
      <c r="H18" s="1422" t="str">
        <f>'WS0 - Input data'!H58</f>
        <v>2021-22</v>
      </c>
      <c r="I18" s="1420" t="str">
        <f>'WS0 - Input data'!I58</f>
        <v>2022-23</v>
      </c>
    </row>
    <row r="19" spans="2:9" x14ac:dyDescent="0.2">
      <c r="B19" s="1415" t="s">
        <v>922</v>
      </c>
      <c r="C19" s="38"/>
      <c r="D19" s="38"/>
      <c r="E19" s="1423"/>
      <c r="F19" s="1423"/>
      <c r="G19" s="1423"/>
      <c r="H19" s="1423"/>
      <c r="I19" s="720"/>
    </row>
    <row r="20" spans="2:9" ht="5.25" customHeight="1" x14ac:dyDescent="0.2">
      <c r="B20" s="668"/>
      <c r="C20" s="38"/>
      <c r="D20" s="38"/>
      <c r="E20" s="1423"/>
      <c r="F20" s="1423"/>
      <c r="G20" s="1423"/>
      <c r="H20" s="1423"/>
      <c r="I20" s="720"/>
    </row>
    <row r="21" spans="2:9" x14ac:dyDescent="0.2">
      <c r="B21" s="690" t="s">
        <v>923</v>
      </c>
      <c r="E21" s="1240"/>
      <c r="F21" s="1240"/>
      <c r="G21" s="1240"/>
      <c r="H21" s="1240"/>
      <c r="I21" s="669"/>
    </row>
    <row r="22" spans="2:9" x14ac:dyDescent="0.2">
      <c r="B22" s="653" t="s">
        <v>579</v>
      </c>
      <c r="D22" t="s">
        <v>924</v>
      </c>
      <c r="E22" s="1232">
        <v>28784</v>
      </c>
      <c r="F22" s="1232">
        <v>29088</v>
      </c>
      <c r="G22" s="1232">
        <v>29137</v>
      </c>
      <c r="H22" s="1232">
        <v>29279</v>
      </c>
      <c r="I22" s="1222">
        <v>29313</v>
      </c>
    </row>
    <row r="23" spans="2:9" x14ac:dyDescent="0.2">
      <c r="B23" s="653" t="s">
        <v>581</v>
      </c>
      <c r="D23" t="s">
        <v>924</v>
      </c>
      <c r="E23" s="1232">
        <v>3003</v>
      </c>
      <c r="F23" s="1232">
        <v>3006</v>
      </c>
      <c r="G23" s="1232">
        <v>2996</v>
      </c>
      <c r="H23" s="1232">
        <v>3004</v>
      </c>
      <c r="I23" s="1222">
        <v>3002</v>
      </c>
    </row>
    <row r="24" spans="2:9" x14ac:dyDescent="0.2">
      <c r="B24" s="653" t="s">
        <v>925</v>
      </c>
      <c r="D24" t="s">
        <v>924</v>
      </c>
      <c r="E24" s="1232"/>
      <c r="F24" s="1232"/>
      <c r="G24" s="1232"/>
      <c r="H24" s="1232"/>
      <c r="I24" s="1222"/>
    </row>
    <row r="25" spans="2:9" x14ac:dyDescent="0.2">
      <c r="B25" s="653" t="s">
        <v>585</v>
      </c>
      <c r="D25" t="s">
        <v>924</v>
      </c>
      <c r="E25" s="1232"/>
      <c r="F25" s="1232"/>
      <c r="G25" s="1232"/>
      <c r="H25" s="1232"/>
      <c r="I25" s="1222"/>
    </row>
    <row r="26" spans="2:9" x14ac:dyDescent="0.2">
      <c r="B26" s="677" t="s">
        <v>926</v>
      </c>
      <c r="D26" t="s">
        <v>924</v>
      </c>
      <c r="E26" s="1481">
        <f>SUM(E22:E25)</f>
        <v>31787</v>
      </c>
      <c r="F26" s="1240">
        <f t="shared" ref="F26:I26" si="0">SUM(F22:F25)</f>
        <v>32094</v>
      </c>
      <c r="G26" s="1240">
        <f t="shared" si="0"/>
        <v>32133</v>
      </c>
      <c r="H26" s="1240">
        <f t="shared" si="0"/>
        <v>32283</v>
      </c>
      <c r="I26" s="669">
        <f t="shared" si="0"/>
        <v>32315</v>
      </c>
    </row>
    <row r="27" spans="2:9" ht="5.25" customHeight="1" x14ac:dyDescent="0.2">
      <c r="B27" s="677"/>
      <c r="E27" s="1425"/>
      <c r="F27" s="1425"/>
      <c r="G27" s="1425"/>
      <c r="H27" s="1425"/>
      <c r="I27" s="1416"/>
    </row>
    <row r="28" spans="2:9" ht="12" customHeight="1" x14ac:dyDescent="0.2">
      <c r="B28" s="690" t="s">
        <v>927</v>
      </c>
      <c r="E28" s="1425"/>
      <c r="F28" s="1425"/>
      <c r="G28" s="1425"/>
      <c r="H28" s="1425"/>
      <c r="I28" s="1416"/>
    </row>
    <row r="29" spans="2:9" x14ac:dyDescent="0.2">
      <c r="B29" s="653" t="str">
        <f>B22</f>
        <v>Residential</v>
      </c>
      <c r="D29" t="s">
        <v>924</v>
      </c>
      <c r="E29" s="1232">
        <v>1185</v>
      </c>
      <c r="F29" s="1232">
        <v>1179</v>
      </c>
      <c r="G29" s="1232">
        <v>1263</v>
      </c>
      <c r="H29" s="1232">
        <v>1138</v>
      </c>
      <c r="I29" s="1222">
        <v>1334</v>
      </c>
    </row>
    <row r="30" spans="2:9" x14ac:dyDescent="0.2">
      <c r="B30" s="653" t="str">
        <f>B23</f>
        <v>Business</v>
      </c>
      <c r="D30" t="s">
        <v>924</v>
      </c>
      <c r="E30" s="1232">
        <v>153</v>
      </c>
      <c r="F30" s="1232">
        <v>311</v>
      </c>
      <c r="G30" s="1232">
        <v>233</v>
      </c>
      <c r="H30" s="1232">
        <v>246</v>
      </c>
      <c r="I30" s="1222">
        <v>220</v>
      </c>
    </row>
    <row r="31" spans="2:9" x14ac:dyDescent="0.2">
      <c r="B31" s="653" t="str">
        <f>B24</f>
        <v xml:space="preserve">Farmland </v>
      </c>
      <c r="D31" t="s">
        <v>924</v>
      </c>
      <c r="E31" s="1232"/>
      <c r="F31" s="1232"/>
      <c r="G31" s="1232"/>
      <c r="H31" s="1232"/>
      <c r="I31" s="1222"/>
    </row>
    <row r="32" spans="2:9" x14ac:dyDescent="0.2">
      <c r="B32" s="653" t="str">
        <f>B25</f>
        <v>Mining</v>
      </c>
      <c r="D32" t="s">
        <v>924</v>
      </c>
      <c r="E32" s="1232"/>
      <c r="F32" s="1232"/>
      <c r="G32" s="1232"/>
      <c r="H32" s="1232"/>
      <c r="I32" s="1222"/>
    </row>
    <row r="33" spans="2:9" x14ac:dyDescent="0.2">
      <c r="B33" s="657" t="s">
        <v>969</v>
      </c>
      <c r="D33" t="s">
        <v>924</v>
      </c>
      <c r="E33" s="1481">
        <f>SUM(E29:E32)</f>
        <v>1338</v>
      </c>
      <c r="F33" s="1240">
        <f t="shared" ref="F33:I33" si="1">SUM(F29:F32)</f>
        <v>1490</v>
      </c>
      <c r="G33" s="1240">
        <f t="shared" si="1"/>
        <v>1496</v>
      </c>
      <c r="H33" s="1240">
        <f t="shared" si="1"/>
        <v>1384</v>
      </c>
      <c r="I33" s="669">
        <f t="shared" si="1"/>
        <v>1554</v>
      </c>
    </row>
    <row r="34" spans="2:9" x14ac:dyDescent="0.2">
      <c r="B34" s="657" t="s">
        <v>928</v>
      </c>
      <c r="D34" t="s">
        <v>108</v>
      </c>
      <c r="E34" s="1623">
        <f>IFERROR(E33/E26,".")</f>
        <v>4.2092679397237862E-2</v>
      </c>
      <c r="F34" s="1623">
        <f>IFERROR(F33/F26,".")</f>
        <v>4.6426123262915189E-2</v>
      </c>
      <c r="G34" s="1623">
        <f>IFERROR(G33/G26,".")</f>
        <v>4.6556499548750505E-2</v>
      </c>
      <c r="H34" s="1623">
        <f>IFERROR(H33/H26,".")</f>
        <v>4.28708608245826E-2</v>
      </c>
      <c r="I34" s="1624">
        <f>IFERROR(I33/I26,".")</f>
        <v>4.8089122698437257E-2</v>
      </c>
    </row>
    <row r="35" spans="2:9" ht="5.25" customHeight="1" x14ac:dyDescent="0.2">
      <c r="B35" s="657"/>
      <c r="E35" s="1240"/>
      <c r="F35" s="1240"/>
      <c r="G35" s="1240"/>
      <c r="H35" s="1240"/>
      <c r="I35" s="669"/>
    </row>
    <row r="36" spans="2:9" x14ac:dyDescent="0.2">
      <c r="B36" s="1417" t="s">
        <v>929</v>
      </c>
      <c r="E36" s="1240"/>
      <c r="F36" s="1240"/>
      <c r="G36" s="1240"/>
      <c r="H36" s="1240"/>
      <c r="I36" s="669"/>
    </row>
    <row r="37" spans="2:9" x14ac:dyDescent="0.2">
      <c r="B37" s="653" t="str">
        <f>B22</f>
        <v>Residential</v>
      </c>
      <c r="D37" t="s">
        <v>930</v>
      </c>
      <c r="E37" s="1232">
        <v>29247758.711216003</v>
      </c>
      <c r="F37" s="1232">
        <v>30292121.652785003</v>
      </c>
      <c r="G37" s="1232">
        <v>31120820.360533997</v>
      </c>
      <c r="H37" s="1232">
        <v>31818134.058870003</v>
      </c>
      <c r="I37" s="1222">
        <v>30742677.851438999</v>
      </c>
    </row>
    <row r="38" spans="2:9" x14ac:dyDescent="0.2">
      <c r="B38" s="653" t="str">
        <f>B23</f>
        <v>Business</v>
      </c>
      <c r="D38" t="s">
        <v>930</v>
      </c>
      <c r="E38" s="1232">
        <v>20843557.229612</v>
      </c>
      <c r="F38" s="1232">
        <v>21357765.516295403</v>
      </c>
      <c r="G38" s="1232">
        <v>21931205.256735098</v>
      </c>
      <c r="H38" s="1232">
        <v>22364911.843795046</v>
      </c>
      <c r="I38" s="1222">
        <v>21660759.010592699</v>
      </c>
    </row>
    <row r="39" spans="2:9" x14ac:dyDescent="0.2">
      <c r="B39" s="653" t="str">
        <f>B24</f>
        <v xml:space="preserve">Farmland </v>
      </c>
      <c r="D39" t="s">
        <v>930</v>
      </c>
      <c r="E39" s="1232"/>
      <c r="F39" s="1232"/>
      <c r="G39" s="1232"/>
      <c r="H39" s="1232"/>
      <c r="I39" s="1222"/>
    </row>
    <row r="40" spans="2:9" x14ac:dyDescent="0.2">
      <c r="B40" s="653" t="str">
        <f>B25</f>
        <v>Mining</v>
      </c>
      <c r="D40" t="s">
        <v>930</v>
      </c>
      <c r="E40" s="1232"/>
      <c r="F40" s="1232"/>
      <c r="G40" s="1232"/>
      <c r="H40" s="1232"/>
      <c r="I40" s="1222"/>
    </row>
    <row r="41" spans="2:9" x14ac:dyDescent="0.2">
      <c r="B41" s="657" t="s">
        <v>931</v>
      </c>
      <c r="D41" t="s">
        <v>930</v>
      </c>
      <c r="E41" s="1481">
        <f>SUM(E37:E40)</f>
        <v>50091315.940828003</v>
      </c>
      <c r="F41" s="1240">
        <f t="shared" ref="F41:I41" si="2">SUM(F37:F40)</f>
        <v>51649887.169080406</v>
      </c>
      <c r="G41" s="1240">
        <f t="shared" si="2"/>
        <v>53052025.617269099</v>
      </c>
      <c r="H41" s="1240">
        <f t="shared" si="2"/>
        <v>54183045.902665049</v>
      </c>
      <c r="I41" s="669">
        <f t="shared" si="2"/>
        <v>52403436.862031698</v>
      </c>
    </row>
    <row r="42" spans="2:9" ht="5.25" customHeight="1" x14ac:dyDescent="0.2">
      <c r="B42" s="657"/>
      <c r="E42" s="1240"/>
      <c r="F42" s="1240"/>
      <c r="G42" s="1240"/>
      <c r="H42" s="1240"/>
      <c r="I42" s="669"/>
    </row>
    <row r="43" spans="2:9" ht="12" customHeight="1" x14ac:dyDescent="0.2">
      <c r="B43" s="1417" t="s">
        <v>932</v>
      </c>
      <c r="E43" s="1240"/>
      <c r="F43" s="1240"/>
      <c r="G43" s="1240"/>
      <c r="H43" s="1240"/>
      <c r="I43" s="669"/>
    </row>
    <row r="44" spans="2:9" x14ac:dyDescent="0.2">
      <c r="B44" s="653" t="str">
        <f>B29</f>
        <v>Residential</v>
      </c>
      <c r="D44" t="s">
        <v>930</v>
      </c>
      <c r="E44" s="1232">
        <v>514248.8</v>
      </c>
      <c r="F44" s="1232">
        <v>620584.99</v>
      </c>
      <c r="G44" s="1232">
        <v>764373.74</v>
      </c>
      <c r="H44" s="1232">
        <v>860021</v>
      </c>
      <c r="I44" s="1222">
        <v>906243.79</v>
      </c>
    </row>
    <row r="45" spans="2:9" x14ac:dyDescent="0.2">
      <c r="B45" s="653" t="str">
        <f>B30</f>
        <v>Business</v>
      </c>
      <c r="D45" t="s">
        <v>930</v>
      </c>
      <c r="E45" s="1232">
        <v>294927.56</v>
      </c>
      <c r="F45" s="1232">
        <v>456832.68000000005</v>
      </c>
      <c r="G45" s="1232">
        <v>379026.95</v>
      </c>
      <c r="H45" s="1232">
        <v>569328.72000000009</v>
      </c>
      <c r="I45" s="1222">
        <v>404307.54</v>
      </c>
    </row>
    <row r="46" spans="2:9" x14ac:dyDescent="0.2">
      <c r="B46" s="653" t="str">
        <f>B31</f>
        <v xml:space="preserve">Farmland </v>
      </c>
      <c r="D46" t="s">
        <v>930</v>
      </c>
      <c r="E46" s="1232"/>
      <c r="F46" s="1232"/>
      <c r="G46" s="1232"/>
      <c r="H46" s="1232"/>
      <c r="I46" s="1222"/>
    </row>
    <row r="47" spans="2:9" x14ac:dyDescent="0.2">
      <c r="B47" s="653" t="str">
        <f>B32</f>
        <v>Mining</v>
      </c>
      <c r="D47" t="s">
        <v>930</v>
      </c>
      <c r="E47" s="1232"/>
      <c r="F47" s="1232"/>
      <c r="G47" s="1232"/>
      <c r="H47" s="1232"/>
      <c r="I47" s="1222"/>
    </row>
    <row r="48" spans="2:9" x14ac:dyDescent="0.2">
      <c r="B48" s="657" t="s">
        <v>933</v>
      </c>
      <c r="D48" t="s">
        <v>930</v>
      </c>
      <c r="E48" s="1481">
        <f>SUM(E44:E47)</f>
        <v>809176.36</v>
      </c>
      <c r="F48" s="1240">
        <f t="shared" ref="F48:I48" si="3">SUM(F44:F47)</f>
        <v>1077417.67</v>
      </c>
      <c r="G48" s="1240">
        <f t="shared" si="3"/>
        <v>1143400.69</v>
      </c>
      <c r="H48" s="1240">
        <f t="shared" si="3"/>
        <v>1429349.7200000002</v>
      </c>
      <c r="I48" s="669">
        <f t="shared" si="3"/>
        <v>1310551.33</v>
      </c>
    </row>
    <row r="49" spans="2:9" x14ac:dyDescent="0.2">
      <c r="B49" s="677"/>
      <c r="E49" s="1240"/>
      <c r="F49" s="1240"/>
      <c r="G49" s="1240"/>
      <c r="H49" s="1240"/>
      <c r="I49" s="669"/>
    </row>
    <row r="50" spans="2:9" x14ac:dyDescent="0.2">
      <c r="B50" s="1266" t="s">
        <v>934</v>
      </c>
      <c r="E50" s="1240"/>
      <c r="F50" s="1240"/>
      <c r="G50" s="1240"/>
      <c r="H50" s="1240"/>
      <c r="I50" s="669"/>
    </row>
    <row r="51" spans="2:9" ht="5.25" customHeight="1" x14ac:dyDescent="0.2">
      <c r="B51" s="690"/>
      <c r="E51" s="1240"/>
      <c r="F51" s="1240"/>
      <c r="G51" s="1240"/>
      <c r="H51" s="1240"/>
      <c r="I51" s="669"/>
    </row>
    <row r="52" spans="2:9" x14ac:dyDescent="0.2">
      <c r="B52" s="657" t="s">
        <v>935</v>
      </c>
      <c r="D52" t="s">
        <v>924</v>
      </c>
      <c r="E52" s="1232">
        <v>1797</v>
      </c>
      <c r="F52" s="1232">
        <v>1806</v>
      </c>
      <c r="G52" s="1232">
        <v>1790</v>
      </c>
      <c r="H52" s="1232">
        <v>1781</v>
      </c>
      <c r="I52" s="1222">
        <v>1673</v>
      </c>
    </row>
    <row r="53" spans="2:9" x14ac:dyDescent="0.2">
      <c r="B53" s="657" t="s">
        <v>936</v>
      </c>
      <c r="D53" t="s">
        <v>108</v>
      </c>
      <c r="E53" s="1623">
        <f>IFERROR(E52/E$22,".")</f>
        <v>6.2430516953863258E-2</v>
      </c>
      <c r="F53" s="1623">
        <f t="shared" ref="F53" si="4">IFERROR(F52/F$22,".")</f>
        <v>6.2087458745874589E-2</v>
      </c>
      <c r="G53" s="1623">
        <f t="shared" ref="G53" si="5">IFERROR(G52/G$22,".")</f>
        <v>6.1433915639908021E-2</v>
      </c>
      <c r="H53" s="1623">
        <f t="shared" ref="H53" si="6">IFERROR(H52/H$22,".")</f>
        <v>6.0828580211072784E-2</v>
      </c>
      <c r="I53" s="1624">
        <f t="shared" ref="I53" si="7">IFERROR(I52/I$22,".")</f>
        <v>5.7073653327875007E-2</v>
      </c>
    </row>
    <row r="54" spans="2:9" ht="5.25" customHeight="1" x14ac:dyDescent="0.2">
      <c r="B54" s="677"/>
      <c r="E54" s="1240"/>
      <c r="F54" s="1240"/>
      <c r="G54" s="1240"/>
      <c r="H54" s="1240"/>
      <c r="I54" s="669"/>
    </row>
    <row r="55" spans="2:9" x14ac:dyDescent="0.2">
      <c r="B55" s="1266" t="s">
        <v>937</v>
      </c>
      <c r="E55" s="1240"/>
      <c r="F55" s="1240"/>
      <c r="G55" s="1240"/>
      <c r="H55" s="1240"/>
      <c r="I55" s="669"/>
    </row>
    <row r="56" spans="2:9" ht="5.25" customHeight="1" x14ac:dyDescent="0.2">
      <c r="B56" s="685"/>
      <c r="E56" s="1240"/>
      <c r="F56" s="1240"/>
      <c r="G56" s="1240"/>
      <c r="H56" s="1240"/>
      <c r="I56" s="669"/>
    </row>
    <row r="57" spans="2:9" x14ac:dyDescent="0.2">
      <c r="B57" s="690" t="s">
        <v>938</v>
      </c>
      <c r="E57" s="1240"/>
      <c r="F57" s="1240"/>
      <c r="G57" s="1240"/>
      <c r="H57" s="1240"/>
      <c r="I57" s="669"/>
    </row>
    <row r="58" spans="2:9" x14ac:dyDescent="0.2">
      <c r="B58" s="653" t="str">
        <f>B44</f>
        <v>Residential</v>
      </c>
      <c r="D58" t="s">
        <v>924</v>
      </c>
      <c r="E58" s="1232">
        <v>0</v>
      </c>
      <c r="F58" s="1232">
        <v>0</v>
      </c>
      <c r="G58" s="1232">
        <v>0</v>
      </c>
      <c r="H58" s="1232">
        <v>0</v>
      </c>
      <c r="I58" s="1222">
        <v>0</v>
      </c>
    </row>
    <row r="59" spans="2:9" x14ac:dyDescent="0.2">
      <c r="B59" s="653" t="str">
        <f t="shared" ref="B59:B61" si="8">B45</f>
        <v>Business</v>
      </c>
      <c r="D59" t="s">
        <v>924</v>
      </c>
      <c r="E59" s="1232">
        <v>0</v>
      </c>
      <c r="F59" s="1232">
        <v>0</v>
      </c>
      <c r="G59" s="1232">
        <v>0</v>
      </c>
      <c r="H59" s="1232">
        <v>0</v>
      </c>
      <c r="I59" s="1222">
        <v>0</v>
      </c>
    </row>
    <row r="60" spans="2:9" x14ac:dyDescent="0.2">
      <c r="B60" s="653" t="str">
        <f t="shared" si="8"/>
        <v xml:space="preserve">Farmland </v>
      </c>
      <c r="D60" t="s">
        <v>924</v>
      </c>
      <c r="E60" s="1232"/>
      <c r="F60" s="1232"/>
      <c r="G60" s="1232"/>
      <c r="H60" s="1232"/>
      <c r="I60" s="1222"/>
    </row>
    <row r="61" spans="2:9" x14ac:dyDescent="0.2">
      <c r="B61" s="653" t="str">
        <f t="shared" si="8"/>
        <v>Mining</v>
      </c>
      <c r="D61" t="s">
        <v>924</v>
      </c>
      <c r="E61" s="1232"/>
      <c r="F61" s="1232"/>
      <c r="G61" s="1232"/>
      <c r="H61" s="1232"/>
      <c r="I61" s="1222"/>
    </row>
    <row r="62" spans="2:9" x14ac:dyDescent="0.2">
      <c r="B62" s="677" t="s">
        <v>939</v>
      </c>
      <c r="E62" s="1481">
        <f>SUM(E58:E61)</f>
        <v>0</v>
      </c>
      <c r="F62" s="1240">
        <f t="shared" ref="F62:I62" si="9">SUM(F58:F61)</f>
        <v>0</v>
      </c>
      <c r="G62" s="1240">
        <f t="shared" si="9"/>
        <v>0</v>
      </c>
      <c r="H62" s="1240">
        <f t="shared" si="9"/>
        <v>0</v>
      </c>
      <c r="I62" s="669">
        <f t="shared" si="9"/>
        <v>0</v>
      </c>
    </row>
    <row r="63" spans="2:9" ht="5.25" customHeight="1" x14ac:dyDescent="0.2">
      <c r="B63" s="690"/>
      <c r="E63" s="1424"/>
      <c r="F63" s="1424"/>
      <c r="G63" s="1424"/>
      <c r="H63" s="1424"/>
      <c r="I63" s="1418"/>
    </row>
    <row r="64" spans="2:9" ht="5.25" customHeight="1" x14ac:dyDescent="0.2">
      <c r="B64" s="690"/>
      <c r="E64" s="1240"/>
      <c r="F64" s="1240"/>
      <c r="G64" s="1240"/>
      <c r="H64" s="1240"/>
      <c r="I64" s="669"/>
    </row>
    <row r="65" spans="2:9" ht="12" customHeight="1" x14ac:dyDescent="0.2">
      <c r="B65" s="690" t="s">
        <v>940</v>
      </c>
      <c r="E65" s="1240"/>
      <c r="F65" s="1240"/>
      <c r="G65" s="1240"/>
      <c r="H65" s="1240"/>
      <c r="I65" s="669"/>
    </row>
    <row r="66" spans="2:9" x14ac:dyDescent="0.2">
      <c r="B66" s="677" t="s">
        <v>941</v>
      </c>
      <c r="E66" s="1425"/>
      <c r="F66" s="1425"/>
      <c r="G66" s="1425"/>
      <c r="H66" s="1425"/>
      <c r="I66" s="1416"/>
    </row>
    <row r="67" spans="2:9" x14ac:dyDescent="0.2">
      <c r="B67" s="653" t="str">
        <f>B58</f>
        <v>Residential</v>
      </c>
      <c r="D67" t="s">
        <v>924</v>
      </c>
      <c r="E67" s="1232">
        <v>0</v>
      </c>
      <c r="F67" s="1232">
        <v>0</v>
      </c>
      <c r="G67" s="1232">
        <v>0</v>
      </c>
      <c r="H67" s="1232">
        <v>0</v>
      </c>
      <c r="I67" s="1222">
        <v>0</v>
      </c>
    </row>
    <row r="68" spans="2:9" x14ac:dyDescent="0.2">
      <c r="B68" s="653" t="str">
        <f t="shared" ref="B68:B70" si="10">B59</f>
        <v>Business</v>
      </c>
      <c r="D68" t="s">
        <v>924</v>
      </c>
      <c r="E68" s="1232">
        <v>0</v>
      </c>
      <c r="F68" s="1232">
        <v>0</v>
      </c>
      <c r="G68" s="1232">
        <v>0</v>
      </c>
      <c r="H68" s="1232">
        <v>0</v>
      </c>
      <c r="I68" s="1222">
        <v>0</v>
      </c>
    </row>
    <row r="69" spans="2:9" x14ac:dyDescent="0.2">
      <c r="B69" s="653" t="str">
        <f t="shared" si="10"/>
        <v xml:space="preserve">Farmland </v>
      </c>
      <c r="D69" t="s">
        <v>924</v>
      </c>
      <c r="E69" s="1232"/>
      <c r="F69" s="1232"/>
      <c r="G69" s="1232"/>
      <c r="H69" s="1232"/>
      <c r="I69" s="1222"/>
    </row>
    <row r="70" spans="2:9" x14ac:dyDescent="0.2">
      <c r="B70" s="653" t="str">
        <f t="shared" si="10"/>
        <v>Mining</v>
      </c>
      <c r="D70" t="s">
        <v>924</v>
      </c>
      <c r="E70" s="1232"/>
      <c r="F70" s="1232"/>
      <c r="G70" s="1232"/>
      <c r="H70" s="1232"/>
      <c r="I70" s="1222"/>
    </row>
    <row r="71" spans="2:9" x14ac:dyDescent="0.2">
      <c r="B71" s="1419" t="s">
        <v>942</v>
      </c>
      <c r="E71" s="1481">
        <f>SUM(E67:E70)</f>
        <v>0</v>
      </c>
      <c r="F71" s="1240">
        <f t="shared" ref="F71:I71" si="11">SUM(F67:F70)</f>
        <v>0</v>
      </c>
      <c r="G71" s="1240">
        <f t="shared" si="11"/>
        <v>0</v>
      </c>
      <c r="H71" s="1240">
        <f t="shared" si="11"/>
        <v>0</v>
      </c>
      <c r="I71" s="669">
        <f t="shared" si="11"/>
        <v>0</v>
      </c>
    </row>
    <row r="72" spans="2:9" ht="5.25" customHeight="1" x14ac:dyDescent="0.2">
      <c r="B72" s="677"/>
      <c r="E72" s="1240"/>
      <c r="F72" s="1240"/>
      <c r="G72" s="1240"/>
      <c r="H72" s="1240"/>
      <c r="I72" s="669"/>
    </row>
    <row r="73" spans="2:9" x14ac:dyDescent="0.2">
      <c r="B73" s="690" t="s">
        <v>943</v>
      </c>
      <c r="E73" s="1240"/>
      <c r="F73" s="1240"/>
      <c r="G73" s="1240"/>
      <c r="H73" s="1240"/>
      <c r="I73" s="669"/>
    </row>
    <row r="74" spans="2:9" x14ac:dyDescent="0.2">
      <c r="B74" s="653" t="str">
        <f>B67</f>
        <v>Residential</v>
      </c>
      <c r="D74" t="s">
        <v>930</v>
      </c>
      <c r="E74" s="1232">
        <v>0</v>
      </c>
      <c r="F74" s="1232">
        <v>0</v>
      </c>
      <c r="G74" s="1232">
        <v>0</v>
      </c>
      <c r="H74" s="1232">
        <v>0</v>
      </c>
      <c r="I74" s="1222">
        <v>0</v>
      </c>
    </row>
    <row r="75" spans="2:9" x14ac:dyDescent="0.2">
      <c r="B75" s="653" t="str">
        <f t="shared" ref="B75:B77" si="12">B68</f>
        <v>Business</v>
      </c>
      <c r="D75" t="s">
        <v>930</v>
      </c>
      <c r="E75" s="1232">
        <v>0</v>
      </c>
      <c r="F75" s="1232">
        <v>0</v>
      </c>
      <c r="G75" s="1232">
        <v>0</v>
      </c>
      <c r="H75" s="1232">
        <v>0</v>
      </c>
      <c r="I75" s="1222">
        <v>0</v>
      </c>
    </row>
    <row r="76" spans="2:9" x14ac:dyDescent="0.2">
      <c r="B76" s="653" t="str">
        <f t="shared" si="12"/>
        <v xml:space="preserve">Farmland </v>
      </c>
      <c r="D76" t="s">
        <v>930</v>
      </c>
      <c r="E76" s="1232"/>
      <c r="F76" s="1232"/>
      <c r="G76" s="1232"/>
      <c r="H76" s="1232"/>
      <c r="I76" s="1222"/>
    </row>
    <row r="77" spans="2:9" x14ac:dyDescent="0.2">
      <c r="B77" s="653" t="str">
        <f t="shared" si="12"/>
        <v>Mining</v>
      </c>
      <c r="D77" t="s">
        <v>930</v>
      </c>
      <c r="E77" s="1232"/>
      <c r="F77" s="1232"/>
      <c r="G77" s="1232"/>
      <c r="H77" s="1232"/>
      <c r="I77" s="1222"/>
    </row>
    <row r="78" spans="2:9" x14ac:dyDescent="0.2">
      <c r="B78" s="677" t="s">
        <v>943</v>
      </c>
      <c r="E78" s="1481">
        <f>SUM(E74:E77)</f>
        <v>0</v>
      </c>
      <c r="F78" s="1481">
        <f t="shared" ref="F78:I78" si="13">SUM(F74:F77)</f>
        <v>0</v>
      </c>
      <c r="G78" s="1481">
        <f t="shared" si="13"/>
        <v>0</v>
      </c>
      <c r="H78" s="1481">
        <f t="shared" si="13"/>
        <v>0</v>
      </c>
      <c r="I78" s="1481">
        <f t="shared" si="13"/>
        <v>0</v>
      </c>
    </row>
    <row r="79" spans="2:9" x14ac:dyDescent="0.2">
      <c r="B79" s="679"/>
      <c r="C79" s="571"/>
      <c r="D79" s="571"/>
      <c r="E79" s="1426"/>
      <c r="F79" s="1426"/>
      <c r="G79" s="1426"/>
      <c r="H79" s="1426"/>
      <c r="I79" s="680"/>
    </row>
    <row r="80" spans="2:9" ht="12" customHeight="1" x14ac:dyDescent="0.2"/>
    <row r="81" spans="1:17" ht="12" customHeight="1" x14ac:dyDescent="0.2"/>
    <row r="82" spans="1:17" ht="12.75" x14ac:dyDescent="0.2">
      <c r="A82" s="642" t="s">
        <v>914</v>
      </c>
      <c r="B82" s="461" t="str">
        <f>"Table "&amp;A1&amp;A82&amp;": Rateable and non-ratable assessments"</f>
        <v>Table 12.2: Rateable and non-ratable assessments</v>
      </c>
    </row>
    <row r="83" spans="1:17" x14ac:dyDescent="0.2">
      <c r="B83" s="674"/>
      <c r="C83" s="666"/>
      <c r="D83" s="666"/>
      <c r="E83" s="1421" t="str">
        <f t="shared" ref="E83:I84" si="14">E17</f>
        <v>Hist yr -5</v>
      </c>
      <c r="F83" s="1421" t="str">
        <f t="shared" si="14"/>
        <v>Hist yr -4</v>
      </c>
      <c r="G83" s="1421" t="str">
        <f t="shared" si="14"/>
        <v>Hist yr -3</v>
      </c>
      <c r="H83" s="1421" t="str">
        <f t="shared" si="14"/>
        <v>Hist yr -2</v>
      </c>
      <c r="I83" s="1421" t="str">
        <f t="shared" si="14"/>
        <v>Hist yr -1</v>
      </c>
      <c r="J83" s="1421" t="str">
        <f>'WS0 - Input data'!J55</f>
        <v>Year 0</v>
      </c>
      <c r="K83" s="1421" t="str">
        <f>'WS0 - Input data'!K55</f>
        <v>Year 1</v>
      </c>
      <c r="L83" s="1421" t="str">
        <f>'WS0 - Input data'!L55</f>
        <v>Year 2</v>
      </c>
      <c r="M83" s="1421" t="str">
        <f>'WS0 - Input data'!M55</f>
        <v>Year 3</v>
      </c>
      <c r="N83" s="1421" t="str">
        <f>'WS0 - Input data'!N55</f>
        <v>Year 4</v>
      </c>
      <c r="O83" s="1421" t="str">
        <f>'WS0 - Input data'!O55</f>
        <v>Year 5</v>
      </c>
      <c r="P83" s="1421" t="str">
        <f>'WS0 - Input data'!P55</f>
        <v>Year 6</v>
      </c>
      <c r="Q83" s="1245" t="str">
        <f>'WS0 - Input data'!Q55</f>
        <v>Year 7</v>
      </c>
    </row>
    <row r="84" spans="1:17" x14ac:dyDescent="0.2">
      <c r="B84" s="1274"/>
      <c r="C84" s="606"/>
      <c r="D84" s="580" t="s">
        <v>641</v>
      </c>
      <c r="E84" s="1422" t="str">
        <f t="shared" si="14"/>
        <v>2018-19</v>
      </c>
      <c r="F84" s="1422" t="str">
        <f t="shared" si="14"/>
        <v>2019-20</v>
      </c>
      <c r="G84" s="1422" t="str">
        <f t="shared" si="14"/>
        <v>2020-21</v>
      </c>
      <c r="H84" s="1422" t="str">
        <f t="shared" si="14"/>
        <v>2021-22</v>
      </c>
      <c r="I84" s="1422" t="str">
        <f t="shared" si="14"/>
        <v>2022-23</v>
      </c>
      <c r="J84" s="1422" t="str">
        <f>'WS0 - Input data'!J58</f>
        <v>2023-24</v>
      </c>
      <c r="K84" s="1422" t="str">
        <f>'WS0 - Input data'!K58</f>
        <v>2024-25</v>
      </c>
      <c r="L84" s="1422" t="str">
        <f>'WS0 - Input data'!L58</f>
        <v>2025-26</v>
      </c>
      <c r="M84" s="1422" t="str">
        <f>'WS0 - Input data'!M58</f>
        <v>2026-27</v>
      </c>
      <c r="N84" s="1422" t="str">
        <f>'WS0 - Input data'!N58</f>
        <v>2027-28</v>
      </c>
      <c r="O84" s="1422" t="str">
        <f>'WS0 - Input data'!O58</f>
        <v>2028-29</v>
      </c>
      <c r="P84" s="1422" t="str">
        <f>'WS0 - Input data'!P58</f>
        <v>2029-30</v>
      </c>
      <c r="Q84" s="1420" t="str">
        <f>'WS0 - Input data'!Q58</f>
        <v>2030-31</v>
      </c>
    </row>
    <row r="85" spans="1:17" x14ac:dyDescent="0.2">
      <c r="B85" s="677" t="s">
        <v>970</v>
      </c>
      <c r="D85" t="s">
        <v>924</v>
      </c>
      <c r="E85" s="1428">
        <v>31787</v>
      </c>
      <c r="F85" s="1428">
        <v>32094</v>
      </c>
      <c r="G85" s="1428">
        <v>32133</v>
      </c>
      <c r="H85" s="1428">
        <v>32283</v>
      </c>
      <c r="I85" s="1428">
        <v>32315</v>
      </c>
      <c r="J85" s="1428">
        <v>32457</v>
      </c>
      <c r="K85" s="1428">
        <v>32457</v>
      </c>
      <c r="L85" s="1428">
        <v>32457</v>
      </c>
      <c r="M85" s="1428">
        <v>32457</v>
      </c>
      <c r="N85" s="1428">
        <v>32457</v>
      </c>
      <c r="O85" s="1428">
        <v>32457</v>
      </c>
      <c r="P85" s="1428">
        <v>32457</v>
      </c>
      <c r="Q85" s="1427">
        <v>32457</v>
      </c>
    </row>
    <row r="86" spans="1:17" x14ac:dyDescent="0.2">
      <c r="B86" s="657" t="s">
        <v>944</v>
      </c>
      <c r="D86" t="s">
        <v>924</v>
      </c>
      <c r="E86" s="1428">
        <v>697</v>
      </c>
      <c r="F86" s="1428">
        <v>699</v>
      </c>
      <c r="G86" s="1428">
        <v>708</v>
      </c>
      <c r="H86" s="1428">
        <v>707</v>
      </c>
      <c r="I86" s="1428">
        <v>688</v>
      </c>
      <c r="J86" s="1428">
        <v>690</v>
      </c>
      <c r="K86" s="1428">
        <v>690</v>
      </c>
      <c r="L86" s="1428">
        <v>690</v>
      </c>
      <c r="M86" s="1428">
        <v>690</v>
      </c>
      <c r="N86" s="1428">
        <v>690</v>
      </c>
      <c r="O86" s="1428">
        <v>690</v>
      </c>
      <c r="P86" s="1428">
        <v>690</v>
      </c>
      <c r="Q86" s="1427">
        <v>690</v>
      </c>
    </row>
    <row r="87" spans="1:17" x14ac:dyDescent="0.2">
      <c r="B87" s="679"/>
      <c r="C87" s="571"/>
      <c r="D87" s="571"/>
      <c r="E87" s="1426"/>
      <c r="F87" s="1426"/>
      <c r="G87" s="1426"/>
      <c r="H87" s="1426"/>
      <c r="I87" s="1426"/>
      <c r="J87" s="1426"/>
      <c r="K87" s="1426"/>
      <c r="L87" s="1426"/>
      <c r="M87" s="1426"/>
      <c r="N87" s="1426"/>
      <c r="O87" s="1426"/>
      <c r="P87" s="1426"/>
      <c r="Q87" s="680"/>
    </row>
    <row r="88" spans="1:17" ht="12" customHeight="1" x14ac:dyDescent="0.2"/>
    <row r="89" spans="1:17" ht="12" customHeight="1" x14ac:dyDescent="0.2"/>
    <row r="90" spans="1:17" ht="12.75" x14ac:dyDescent="0.2">
      <c r="A90" s="642" t="s">
        <v>866</v>
      </c>
      <c r="B90" s="461" t="str">
        <f>"Table "&amp;A1&amp;A90&amp;": Optional blank table for council to use - please do not remove year headings in rows "&amp;ROW(B92)&amp;" and "&amp;ROW(B93)</f>
        <v>Table 12.3: Optional blank table for council to use - please do not remove year headings in rows 92 and 93</v>
      </c>
    </row>
    <row r="91" spans="1:17" x14ac:dyDescent="0.2">
      <c r="B91" s="689"/>
      <c r="C91" s="141"/>
      <c r="D91" s="695" t="s">
        <v>641</v>
      </c>
      <c r="E91" s="1435" t="s">
        <v>945</v>
      </c>
      <c r="F91" s="1429"/>
      <c r="G91" s="1429"/>
      <c r="H91" s="1429"/>
      <c r="I91" s="1430"/>
      <c r="J91" s="1429" t="s">
        <v>946</v>
      </c>
      <c r="K91" s="1429"/>
      <c r="L91" s="1429"/>
      <c r="M91" s="1429"/>
      <c r="N91" s="1429"/>
      <c r="O91" s="1429"/>
      <c r="P91" s="1429"/>
      <c r="Q91" s="1430"/>
    </row>
    <row r="92" spans="1:17" x14ac:dyDescent="0.2">
      <c r="B92" s="677"/>
      <c r="E92" s="677" t="str">
        <f>'WS0 - Input data'!E55</f>
        <v>Hist yr -5</v>
      </c>
      <c r="F92" t="str">
        <f>'WS0 - Input data'!F55</f>
        <v>Hist yr -4</v>
      </c>
      <c r="G92" t="str">
        <f>'WS0 - Input data'!G55</f>
        <v>Hist yr -3</v>
      </c>
      <c r="H92" t="str">
        <f>'WS0 - Input data'!H55</f>
        <v>Hist yr -2</v>
      </c>
      <c r="I92" s="669" t="str">
        <f>'WS0 - Input data'!I55</f>
        <v>Hist yr -1</v>
      </c>
      <c r="J92" t="str">
        <f>'WS0 - Input data'!J55</f>
        <v>Year 0</v>
      </c>
      <c r="K92" t="str">
        <f>'WS0 - Input data'!K55</f>
        <v>Year 1</v>
      </c>
      <c r="L92" t="str">
        <f>'WS0 - Input data'!L55</f>
        <v>Year 2</v>
      </c>
      <c r="M92" t="str">
        <f>'WS0 - Input data'!M55</f>
        <v>Year 3</v>
      </c>
      <c r="N92" t="str">
        <f>'WS0 - Input data'!N55</f>
        <v>Year 4</v>
      </c>
      <c r="O92" t="str">
        <f>'WS0 - Input data'!O55</f>
        <v>Year 5</v>
      </c>
      <c r="P92" t="str">
        <f>'WS0 - Input data'!P55</f>
        <v>Year 6</v>
      </c>
      <c r="Q92" s="669" t="str">
        <f>'WS0 - Input data'!Q55</f>
        <v>Year 7</v>
      </c>
    </row>
    <row r="93" spans="1:17" x14ac:dyDescent="0.2">
      <c r="B93" s="679"/>
      <c r="C93" s="571"/>
      <c r="D93" s="571" t="s">
        <v>641</v>
      </c>
      <c r="E93" s="1436" t="str">
        <f>'WS0 - Input data'!E58</f>
        <v>2018-19</v>
      </c>
      <c r="F93" s="1433" t="str">
        <f>'WS0 - Input data'!F58</f>
        <v>2019-20</v>
      </c>
      <c r="G93" s="1433" t="str">
        <f>'WS0 - Input data'!G58</f>
        <v>2020-21</v>
      </c>
      <c r="H93" s="1433" t="str">
        <f>'WS0 - Input data'!H58</f>
        <v>2021-22</v>
      </c>
      <c r="I93" s="1434" t="str">
        <f>'WS0 - Input data'!I58</f>
        <v>2022-23</v>
      </c>
      <c r="J93" s="1433" t="str">
        <f>'WS0 - Input data'!J58</f>
        <v>2023-24</v>
      </c>
      <c r="K93" s="1433" t="str">
        <f>'WS0 - Input data'!K58</f>
        <v>2024-25</v>
      </c>
      <c r="L93" s="1433" t="str">
        <f>'WS0 - Input data'!L58</f>
        <v>2025-26</v>
      </c>
      <c r="M93" s="1433" t="str">
        <f>'WS0 - Input data'!M58</f>
        <v>2026-27</v>
      </c>
      <c r="N93" s="1433" t="str">
        <f>'WS0 - Input data'!N58</f>
        <v>2027-28</v>
      </c>
      <c r="O93" s="1433" t="str">
        <f>'WS0 - Input data'!O58</f>
        <v>2028-29</v>
      </c>
      <c r="P93" s="1433" t="str">
        <f>'WS0 - Input data'!P58</f>
        <v>2029-30</v>
      </c>
      <c r="Q93" s="1434" t="str">
        <f>'WS0 - Input data'!Q58</f>
        <v>2030-31</v>
      </c>
    </row>
    <row r="94" spans="1:17" x14ac:dyDescent="0.2">
      <c r="B94" s="677"/>
      <c r="E94" s="677"/>
      <c r="I94" s="669"/>
      <c r="Q94" s="669"/>
    </row>
    <row r="95" spans="1:17" x14ac:dyDescent="0.2">
      <c r="B95" s="1477" t="s">
        <v>947</v>
      </c>
      <c r="C95" s="583"/>
      <c r="D95" s="583"/>
      <c r="E95" s="1437"/>
      <c r="F95" s="582"/>
      <c r="G95" s="582"/>
      <c r="H95" s="582"/>
      <c r="I95" s="1432"/>
      <c r="J95" s="582"/>
      <c r="K95" s="582"/>
      <c r="L95" s="582"/>
      <c r="M95" s="582"/>
      <c r="N95" s="582"/>
      <c r="O95" s="582"/>
      <c r="P95" s="582"/>
      <c r="Q95" s="1432"/>
    </row>
    <row r="96" spans="1:17" x14ac:dyDescent="0.2">
      <c r="B96" s="1431"/>
      <c r="C96" s="583"/>
      <c r="D96" s="583"/>
      <c r="E96" s="1437"/>
      <c r="F96" s="582"/>
      <c r="G96" s="582"/>
      <c r="H96" s="582"/>
      <c r="I96" s="1432"/>
      <c r="J96" s="582"/>
      <c r="K96" s="582"/>
      <c r="L96" s="582"/>
      <c r="M96" s="582"/>
      <c r="N96" s="582"/>
      <c r="O96" s="582"/>
      <c r="P96" s="582"/>
      <c r="Q96" s="1432"/>
    </row>
    <row r="97" spans="2:17" x14ac:dyDescent="0.2">
      <c r="B97" s="1431"/>
      <c r="C97" s="583"/>
      <c r="D97" s="583"/>
      <c r="E97" s="1437"/>
      <c r="F97" s="582"/>
      <c r="G97" s="582"/>
      <c r="H97" s="582"/>
      <c r="I97" s="1432"/>
      <c r="J97" s="582"/>
      <c r="K97" s="582"/>
      <c r="L97" s="582"/>
      <c r="M97" s="582"/>
      <c r="N97" s="582"/>
      <c r="O97" s="582"/>
      <c r="P97" s="582"/>
      <c r="Q97" s="1432"/>
    </row>
    <row r="98" spans="2:17" x14ac:dyDescent="0.2">
      <c r="B98" s="1431"/>
      <c r="C98" s="583"/>
      <c r="D98" s="583"/>
      <c r="E98" s="1437"/>
      <c r="F98" s="582"/>
      <c r="G98" s="582"/>
      <c r="H98" s="582"/>
      <c r="I98" s="1432"/>
      <c r="J98" s="582"/>
      <c r="K98" s="582"/>
      <c r="L98" s="582"/>
      <c r="M98" s="582"/>
      <c r="N98" s="582"/>
      <c r="O98" s="582"/>
      <c r="P98" s="582"/>
      <c r="Q98" s="1432"/>
    </row>
    <row r="99" spans="2:17" x14ac:dyDescent="0.2">
      <c r="B99" s="1431"/>
      <c r="C99" s="583"/>
      <c r="D99" s="583"/>
      <c r="E99" s="1437"/>
      <c r="F99" s="582"/>
      <c r="G99" s="582"/>
      <c r="H99" s="582"/>
      <c r="I99" s="1432"/>
      <c r="J99" s="582"/>
      <c r="K99" s="582"/>
      <c r="L99" s="582"/>
      <c r="M99" s="582"/>
      <c r="N99" s="582"/>
      <c r="O99" s="582"/>
      <c r="P99" s="582"/>
      <c r="Q99" s="1432"/>
    </row>
    <row r="100" spans="2:17" x14ac:dyDescent="0.2">
      <c r="B100" s="1431"/>
      <c r="C100" s="583"/>
      <c r="D100" s="583"/>
      <c r="E100" s="1437"/>
      <c r="F100" s="582"/>
      <c r="G100" s="582"/>
      <c r="H100" s="582"/>
      <c r="I100" s="1432"/>
      <c r="J100" s="582"/>
      <c r="K100" s="582"/>
      <c r="L100" s="582"/>
      <c r="M100" s="582"/>
      <c r="N100" s="582"/>
      <c r="O100" s="582"/>
      <c r="P100" s="582"/>
      <c r="Q100" s="1432"/>
    </row>
    <row r="101" spans="2:17" x14ac:dyDescent="0.2">
      <c r="B101" s="1431"/>
      <c r="C101" s="583"/>
      <c r="D101" s="583"/>
      <c r="E101" s="1437"/>
      <c r="F101" s="582"/>
      <c r="G101" s="582"/>
      <c r="H101" s="582"/>
      <c r="I101" s="1432"/>
      <c r="J101" s="582"/>
      <c r="K101" s="582"/>
      <c r="L101" s="582"/>
      <c r="M101" s="582"/>
      <c r="N101" s="582"/>
      <c r="O101" s="582"/>
      <c r="P101" s="582"/>
      <c r="Q101" s="1432"/>
    </row>
    <row r="102" spans="2:17" x14ac:dyDescent="0.2">
      <c r="B102" s="1431"/>
      <c r="C102" s="583"/>
      <c r="D102" s="583"/>
      <c r="E102" s="1437"/>
      <c r="F102" s="582"/>
      <c r="G102" s="582"/>
      <c r="H102" s="582"/>
      <c r="I102" s="1432"/>
      <c r="J102" s="582"/>
      <c r="K102" s="582"/>
      <c r="L102" s="582"/>
      <c r="M102" s="582"/>
      <c r="N102" s="582"/>
      <c r="O102" s="582"/>
      <c r="P102" s="582"/>
      <c r="Q102" s="1432"/>
    </row>
    <row r="103" spans="2:17" x14ac:dyDescent="0.2">
      <c r="B103" s="1431"/>
      <c r="C103" s="583"/>
      <c r="D103" s="583"/>
      <c r="E103" s="1437"/>
      <c r="F103" s="582"/>
      <c r="G103" s="582"/>
      <c r="H103" s="582"/>
      <c r="I103" s="1432"/>
      <c r="J103" s="582"/>
      <c r="K103" s="582"/>
      <c r="L103" s="582"/>
      <c r="M103" s="582"/>
      <c r="N103" s="582"/>
      <c r="O103" s="582"/>
      <c r="P103" s="582"/>
      <c r="Q103" s="1432"/>
    </row>
    <row r="104" spans="2:17" x14ac:dyDescent="0.2">
      <c r="B104" s="1431"/>
      <c r="C104" s="583"/>
      <c r="D104" s="583"/>
      <c r="E104" s="1437"/>
      <c r="F104" s="582"/>
      <c r="G104" s="582"/>
      <c r="H104" s="582"/>
      <c r="I104" s="1432"/>
      <c r="J104" s="582"/>
      <c r="K104" s="582"/>
      <c r="L104" s="582"/>
      <c r="M104" s="582"/>
      <c r="N104" s="582"/>
      <c r="O104" s="582"/>
      <c r="P104" s="582"/>
      <c r="Q104" s="1432"/>
    </row>
    <row r="105" spans="2:17" x14ac:dyDescent="0.2">
      <c r="B105" s="1431"/>
      <c r="C105" s="583"/>
      <c r="D105" s="583"/>
      <c r="E105" s="1437"/>
      <c r="F105" s="582"/>
      <c r="G105" s="582"/>
      <c r="H105" s="582"/>
      <c r="I105" s="1432"/>
      <c r="J105" s="582"/>
      <c r="K105" s="582"/>
      <c r="L105" s="582"/>
      <c r="M105" s="582"/>
      <c r="N105" s="582"/>
      <c r="O105" s="582"/>
      <c r="P105" s="582"/>
      <c r="Q105" s="1432"/>
    </row>
    <row r="106" spans="2:17" x14ac:dyDescent="0.2">
      <c r="B106" s="1431"/>
      <c r="C106" s="583"/>
      <c r="D106" s="583"/>
      <c r="E106" s="1437"/>
      <c r="F106" s="582"/>
      <c r="G106" s="582"/>
      <c r="H106" s="582"/>
      <c r="I106" s="1432"/>
      <c r="J106" s="582"/>
      <c r="K106" s="582"/>
      <c r="L106" s="582"/>
      <c r="M106" s="582"/>
      <c r="N106" s="582"/>
      <c r="O106" s="582"/>
      <c r="P106" s="582"/>
      <c r="Q106" s="1432"/>
    </row>
    <row r="107" spans="2:17" x14ac:dyDescent="0.2">
      <c r="B107" s="1431"/>
      <c r="C107" s="583"/>
      <c r="D107" s="583"/>
      <c r="E107" s="1437"/>
      <c r="F107" s="582"/>
      <c r="G107" s="582"/>
      <c r="H107" s="582"/>
      <c r="I107" s="1432"/>
      <c r="J107" s="582"/>
      <c r="K107" s="582"/>
      <c r="L107" s="582"/>
      <c r="M107" s="582"/>
      <c r="N107" s="582"/>
      <c r="O107" s="582"/>
      <c r="P107" s="582"/>
      <c r="Q107" s="1432"/>
    </row>
    <row r="108" spans="2:17" x14ac:dyDescent="0.2">
      <c r="B108" s="1431"/>
      <c r="C108" s="583"/>
      <c r="D108" s="583"/>
      <c r="E108" s="1437"/>
      <c r="F108" s="582"/>
      <c r="G108" s="582"/>
      <c r="H108" s="582"/>
      <c r="I108" s="1432"/>
      <c r="J108" s="582"/>
      <c r="K108" s="582"/>
      <c r="L108" s="582"/>
      <c r="M108" s="582"/>
      <c r="N108" s="582"/>
      <c r="O108" s="582"/>
      <c r="P108" s="582"/>
      <c r="Q108" s="1432"/>
    </row>
    <row r="109" spans="2:17" x14ac:dyDescent="0.2">
      <c r="B109" s="1431"/>
      <c r="C109" s="583"/>
      <c r="D109" s="583"/>
      <c r="E109" s="1437"/>
      <c r="F109" s="582"/>
      <c r="G109" s="582"/>
      <c r="H109" s="582"/>
      <c r="I109" s="1432"/>
      <c r="J109" s="582"/>
      <c r="K109" s="582"/>
      <c r="L109" s="582"/>
      <c r="M109" s="582"/>
      <c r="N109" s="582"/>
      <c r="O109" s="582"/>
      <c r="P109" s="582"/>
      <c r="Q109" s="1432"/>
    </row>
    <row r="110" spans="2:17" x14ac:dyDescent="0.2">
      <c r="B110" s="1431"/>
      <c r="C110" s="583"/>
      <c r="D110" s="583"/>
      <c r="E110" s="1437"/>
      <c r="F110" s="582"/>
      <c r="G110" s="582"/>
      <c r="H110" s="582"/>
      <c r="I110" s="1432"/>
      <c r="J110" s="582"/>
      <c r="K110" s="582"/>
      <c r="L110" s="582"/>
      <c r="M110" s="582"/>
      <c r="N110" s="582"/>
      <c r="O110" s="582"/>
      <c r="P110" s="582"/>
      <c r="Q110" s="1432"/>
    </row>
    <row r="111" spans="2:17" x14ac:dyDescent="0.2">
      <c r="B111" s="1431"/>
      <c r="C111" s="583"/>
      <c r="D111" s="583"/>
      <c r="E111" s="1437"/>
      <c r="F111" s="582"/>
      <c r="G111" s="582"/>
      <c r="H111" s="582"/>
      <c r="I111" s="1432"/>
      <c r="J111" s="582"/>
      <c r="K111" s="582"/>
      <c r="L111" s="582"/>
      <c r="M111" s="582"/>
      <c r="N111" s="582"/>
      <c r="O111" s="582"/>
      <c r="P111" s="582"/>
      <c r="Q111" s="1432"/>
    </row>
    <row r="112" spans="2:17" x14ac:dyDescent="0.2">
      <c r="B112" s="1431"/>
      <c r="C112" s="583"/>
      <c r="D112" s="583"/>
      <c r="E112" s="1437"/>
      <c r="F112" s="582"/>
      <c r="G112" s="582"/>
      <c r="H112" s="582"/>
      <c r="I112" s="1432"/>
      <c r="J112" s="582"/>
      <c r="K112" s="582"/>
      <c r="L112" s="582"/>
      <c r="M112" s="582"/>
      <c r="N112" s="582"/>
      <c r="O112" s="582"/>
      <c r="P112" s="582"/>
      <c r="Q112" s="1432"/>
    </row>
    <row r="113" spans="2:17" x14ac:dyDescent="0.2">
      <c r="B113" s="1431"/>
      <c r="C113" s="583"/>
      <c r="D113" s="583"/>
      <c r="E113" s="1437"/>
      <c r="F113" s="582"/>
      <c r="G113" s="582"/>
      <c r="H113" s="582"/>
      <c r="I113" s="1432"/>
      <c r="J113" s="582"/>
      <c r="K113" s="582"/>
      <c r="L113" s="582"/>
      <c r="M113" s="582"/>
      <c r="N113" s="582"/>
      <c r="O113" s="582"/>
      <c r="P113" s="582"/>
      <c r="Q113" s="1432"/>
    </row>
    <row r="114" spans="2:17" x14ac:dyDescent="0.2">
      <c r="B114" s="1431"/>
      <c r="C114" s="583"/>
      <c r="D114" s="583"/>
      <c r="E114" s="1437"/>
      <c r="F114" s="582"/>
      <c r="G114" s="582"/>
      <c r="H114" s="582"/>
      <c r="I114" s="1432"/>
      <c r="J114" s="582"/>
      <c r="K114" s="582"/>
      <c r="L114" s="582"/>
      <c r="M114" s="582"/>
      <c r="N114" s="582"/>
      <c r="O114" s="582"/>
      <c r="P114" s="582"/>
      <c r="Q114" s="1432"/>
    </row>
    <row r="115" spans="2:17" x14ac:dyDescent="0.2">
      <c r="B115" s="1431"/>
      <c r="C115" s="583"/>
      <c r="D115" s="583"/>
      <c r="E115" s="1437"/>
      <c r="F115" s="582"/>
      <c r="G115" s="582"/>
      <c r="H115" s="582"/>
      <c r="I115" s="1432"/>
      <c r="J115" s="582"/>
      <c r="K115" s="582"/>
      <c r="L115" s="582"/>
      <c r="M115" s="582"/>
      <c r="N115" s="582"/>
      <c r="O115" s="582"/>
      <c r="P115" s="582"/>
      <c r="Q115" s="1432"/>
    </row>
    <row r="116" spans="2:17" x14ac:dyDescent="0.2">
      <c r="B116" s="1431"/>
      <c r="C116" s="583"/>
      <c r="D116" s="583"/>
      <c r="E116" s="1437"/>
      <c r="F116" s="582"/>
      <c r="G116" s="582"/>
      <c r="H116" s="582"/>
      <c r="I116" s="1432"/>
      <c r="J116" s="582"/>
      <c r="K116" s="582"/>
      <c r="L116" s="582"/>
      <c r="M116" s="582"/>
      <c r="N116" s="582"/>
      <c r="O116" s="582"/>
      <c r="P116" s="582"/>
      <c r="Q116" s="1432"/>
    </row>
    <row r="117" spans="2:17" x14ac:dyDescent="0.2">
      <c r="B117" s="1431"/>
      <c r="C117" s="583"/>
      <c r="D117" s="583"/>
      <c r="E117" s="1437"/>
      <c r="F117" s="582"/>
      <c r="G117" s="582"/>
      <c r="H117" s="582"/>
      <c r="I117" s="1432"/>
      <c r="J117" s="582"/>
      <c r="K117" s="582"/>
      <c r="L117" s="582"/>
      <c r="M117" s="582"/>
      <c r="N117" s="582"/>
      <c r="O117" s="582"/>
      <c r="P117" s="582"/>
      <c r="Q117" s="1432"/>
    </row>
    <row r="118" spans="2:17" x14ac:dyDescent="0.2">
      <c r="B118" s="1431"/>
      <c r="C118" s="583"/>
      <c r="D118" s="583"/>
      <c r="E118" s="1437"/>
      <c r="F118" s="582"/>
      <c r="G118" s="582"/>
      <c r="H118" s="582"/>
      <c r="I118" s="1432"/>
      <c r="J118" s="582"/>
      <c r="K118" s="582"/>
      <c r="L118" s="582"/>
      <c r="M118" s="582"/>
      <c r="N118" s="582"/>
      <c r="O118" s="582"/>
      <c r="P118" s="582"/>
      <c r="Q118" s="1432"/>
    </row>
    <row r="119" spans="2:17" x14ac:dyDescent="0.2">
      <c r="B119" s="1431"/>
      <c r="C119" s="583"/>
      <c r="D119" s="583"/>
      <c r="E119" s="1437"/>
      <c r="F119" s="582"/>
      <c r="G119" s="582"/>
      <c r="H119" s="582"/>
      <c r="I119" s="1432"/>
      <c r="J119" s="582"/>
      <c r="K119" s="582"/>
      <c r="L119" s="582"/>
      <c r="M119" s="582"/>
      <c r="N119" s="582"/>
      <c r="O119" s="582"/>
      <c r="P119" s="582"/>
      <c r="Q119" s="1432"/>
    </row>
    <row r="120" spans="2:17" x14ac:dyDescent="0.2">
      <c r="B120" s="1431"/>
      <c r="C120" s="583"/>
      <c r="D120" s="583"/>
      <c r="E120" s="1437"/>
      <c r="F120" s="582"/>
      <c r="G120" s="582"/>
      <c r="H120" s="582"/>
      <c r="I120" s="1432"/>
      <c r="J120" s="582"/>
      <c r="K120" s="582"/>
      <c r="L120" s="582"/>
      <c r="M120" s="582"/>
      <c r="N120" s="582"/>
      <c r="O120" s="582"/>
      <c r="P120" s="582"/>
      <c r="Q120" s="1432"/>
    </row>
    <row r="121" spans="2:17" x14ac:dyDescent="0.2">
      <c r="B121" s="1431"/>
      <c r="C121" s="583"/>
      <c r="D121" s="583"/>
      <c r="E121" s="1437"/>
      <c r="F121" s="582"/>
      <c r="G121" s="582"/>
      <c r="H121" s="582"/>
      <c r="I121" s="1432"/>
      <c r="J121" s="582"/>
      <c r="K121" s="582"/>
      <c r="L121" s="582"/>
      <c r="M121" s="582"/>
      <c r="N121" s="582"/>
      <c r="O121" s="582"/>
      <c r="P121" s="582"/>
      <c r="Q121" s="1432"/>
    </row>
    <row r="122" spans="2:17" x14ac:dyDescent="0.2">
      <c r="B122" s="1431"/>
      <c r="C122" s="583"/>
      <c r="D122" s="583"/>
      <c r="E122" s="1437"/>
      <c r="F122" s="582"/>
      <c r="G122" s="582"/>
      <c r="H122" s="582"/>
      <c r="I122" s="1432"/>
      <c r="J122" s="582"/>
      <c r="K122" s="582"/>
      <c r="L122" s="582"/>
      <c r="M122" s="582"/>
      <c r="N122" s="582"/>
      <c r="O122" s="582"/>
      <c r="P122" s="582"/>
      <c r="Q122" s="1432"/>
    </row>
    <row r="123" spans="2:17" x14ac:dyDescent="0.2">
      <c r="B123" s="1431"/>
      <c r="C123" s="583"/>
      <c r="D123" s="583"/>
      <c r="E123" s="1437"/>
      <c r="F123" s="582"/>
      <c r="G123" s="582"/>
      <c r="H123" s="582"/>
      <c r="I123" s="1432"/>
      <c r="J123" s="582"/>
      <c r="K123" s="582"/>
      <c r="L123" s="582"/>
      <c r="M123" s="582"/>
      <c r="N123" s="582"/>
      <c r="O123" s="582"/>
      <c r="P123" s="582"/>
      <c r="Q123" s="1432"/>
    </row>
    <row r="124" spans="2:17" x14ac:dyDescent="0.2">
      <c r="B124" s="1431"/>
      <c r="C124" s="583"/>
      <c r="D124" s="583"/>
      <c r="E124" s="1437"/>
      <c r="F124" s="582"/>
      <c r="G124" s="582"/>
      <c r="H124" s="582"/>
      <c r="I124" s="1432"/>
      <c r="J124" s="582"/>
      <c r="K124" s="582"/>
      <c r="L124" s="582"/>
      <c r="M124" s="582"/>
      <c r="N124" s="582"/>
      <c r="O124" s="582"/>
      <c r="P124" s="582"/>
      <c r="Q124" s="1432"/>
    </row>
    <row r="125" spans="2:17" x14ac:dyDescent="0.2">
      <c r="B125" s="679"/>
      <c r="C125" s="571"/>
      <c r="D125" s="571"/>
      <c r="E125" s="679"/>
      <c r="F125" s="571"/>
      <c r="G125" s="571"/>
      <c r="H125" s="571"/>
      <c r="I125" s="680"/>
      <c r="J125" s="571"/>
      <c r="K125" s="571"/>
      <c r="L125" s="571"/>
      <c r="M125" s="571"/>
      <c r="N125" s="571"/>
      <c r="O125" s="571"/>
      <c r="P125" s="571"/>
      <c r="Q125" s="680"/>
    </row>
  </sheetData>
  <sheetProtection algorithmName="SHA-512" hashValue="dLRWgbksMdCz/d81k/4xXxvcI5PP5Cn6f7/AjBUkYPhlkFOkmGlHk7rueWqvhZ1E99GR/7kE2RvPirKgaVsjSQ==" saltValue="FKF9GAdtgC+sDGQpTcWiiA==" spinCount="100000" sheet="1" formatColumns="0" formatRows="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autoPageBreaks="0"/>
  </sheetPr>
  <dimension ref="B1:AJ788"/>
  <sheetViews>
    <sheetView showGridLines="0" zoomScaleNormal="100" workbookViewId="0"/>
  </sheetViews>
  <sheetFormatPr defaultColWidth="9.140625" defaultRowHeight="12" outlineLevelRow="1" x14ac:dyDescent="0.2"/>
  <cols>
    <col min="1" max="1" width="2.42578125" customWidth="1"/>
    <col min="2" max="2" width="64.140625" customWidth="1"/>
    <col min="3" max="3" width="28.28515625" customWidth="1"/>
    <col min="4" max="4" width="22" bestFit="1" customWidth="1"/>
    <col min="5" max="5" width="15" customWidth="1"/>
    <col min="6" max="6" width="10.42578125" customWidth="1"/>
    <col min="10" max="10" width="14.85546875" customWidth="1"/>
    <col min="11" max="11" width="11.7109375" customWidth="1"/>
    <col min="12" max="12" width="14.42578125" customWidth="1"/>
    <col min="13" max="20" width="11.7109375" customWidth="1"/>
    <col min="21" max="21" width="15" customWidth="1"/>
    <col min="22" max="22" width="14.85546875" customWidth="1"/>
    <col min="23" max="23" width="11.42578125" customWidth="1"/>
    <col min="24" max="24" width="13" customWidth="1"/>
    <col min="26" max="26" width="10.85546875" bestFit="1" customWidth="1"/>
    <col min="27" max="27" width="9.140625" customWidth="1"/>
  </cols>
  <sheetData>
    <row r="1" spans="2:31" x14ac:dyDescent="0.2">
      <c r="B1" s="287" t="s">
        <v>955</v>
      </c>
      <c r="C1" s="286"/>
      <c r="D1" s="3"/>
      <c r="E1" s="3"/>
      <c r="F1" s="3"/>
      <c r="G1" s="3"/>
      <c r="H1" s="3"/>
      <c r="I1" s="3"/>
      <c r="J1" s="3"/>
      <c r="K1" s="3"/>
      <c r="L1" s="3"/>
      <c r="M1" s="3"/>
      <c r="N1" s="3"/>
      <c r="O1" s="3"/>
      <c r="P1" s="3"/>
      <c r="Q1" s="3"/>
      <c r="R1" s="3"/>
      <c r="S1" s="3"/>
      <c r="T1" s="3"/>
      <c r="U1" s="3"/>
      <c r="V1" s="3"/>
      <c r="W1" s="3"/>
      <c r="X1" s="3"/>
      <c r="Y1" s="3"/>
      <c r="Z1" s="3"/>
      <c r="AA1" s="3"/>
      <c r="AB1" s="3"/>
      <c r="AC1" s="3"/>
      <c r="AD1" s="3"/>
      <c r="AE1" s="3"/>
    </row>
    <row r="2" spans="2:31" x14ac:dyDescent="0.2">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2:31" ht="15.75" x14ac:dyDescent="0.25">
      <c r="B3" s="36" t="s">
        <v>70</v>
      </c>
      <c r="C3" s="3"/>
      <c r="D3" s="3"/>
      <c r="E3" s="3"/>
      <c r="F3" s="3"/>
      <c r="H3" s="3"/>
      <c r="I3" s="3"/>
      <c r="J3" s="3"/>
      <c r="K3" s="3"/>
      <c r="L3" s="3"/>
      <c r="M3" s="3"/>
      <c r="N3" s="3"/>
      <c r="O3" s="3"/>
      <c r="P3" s="3"/>
      <c r="Q3" s="3"/>
      <c r="R3" s="3"/>
      <c r="S3" s="3"/>
      <c r="T3" s="3"/>
      <c r="U3" s="3"/>
      <c r="V3" s="3"/>
      <c r="W3" s="3"/>
      <c r="X3" s="3"/>
      <c r="Y3" s="3"/>
      <c r="Z3" s="3"/>
      <c r="AA3" s="3"/>
      <c r="AB3" s="3"/>
      <c r="AC3" s="3"/>
      <c r="AD3" s="3"/>
      <c r="AE3" s="3"/>
    </row>
    <row r="4" spans="2:31" x14ac:dyDescent="0.2">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2:31" x14ac:dyDescent="0.2">
      <c r="B5" s="207"/>
      <c r="C5" s="166"/>
      <c r="D5" s="3"/>
      <c r="E5" s="3"/>
      <c r="F5" s="3"/>
      <c r="G5" s="3"/>
      <c r="H5" s="3"/>
      <c r="I5" s="3"/>
      <c r="J5" s="3"/>
      <c r="K5" s="3"/>
      <c r="L5" s="3"/>
      <c r="M5" s="3"/>
      <c r="N5" s="3"/>
      <c r="O5" s="3"/>
      <c r="P5" s="3"/>
      <c r="Q5" s="3"/>
      <c r="R5" s="3"/>
      <c r="S5" s="3"/>
      <c r="T5" s="3"/>
      <c r="U5" s="3"/>
      <c r="V5" s="3"/>
      <c r="W5" s="3"/>
      <c r="X5" s="3"/>
      <c r="Y5" s="3"/>
      <c r="Z5" s="3"/>
      <c r="AA5" s="3"/>
      <c r="AB5" s="3"/>
      <c r="AC5" s="3"/>
      <c r="AD5" s="3"/>
      <c r="AE5" s="3"/>
    </row>
    <row r="6" spans="2:31" x14ac:dyDescent="0.2">
      <c r="B6" s="334" t="str">
        <f>'WS1-Application'!B23</f>
        <v>Council Name:</v>
      </c>
      <c r="C6" s="282"/>
      <c r="D6" s="401"/>
      <c r="E6" s="285" t="str">
        <f>IF(ISBLANK('WS1-Application'!D24),'WS1-Application'!D23,'WS1-Application'!D24)</f>
        <v>Willoughby City Council</v>
      </c>
      <c r="F6" s="285"/>
      <c r="G6" s="282"/>
      <c r="H6" s="348"/>
      <c r="I6" s="3"/>
      <c r="J6" s="3"/>
      <c r="K6" s="3"/>
      <c r="L6" s="3"/>
      <c r="M6" s="3"/>
      <c r="N6" s="3"/>
      <c r="O6" s="3"/>
      <c r="P6" s="3"/>
      <c r="Q6" s="3"/>
      <c r="R6" s="3"/>
      <c r="S6" s="3"/>
      <c r="T6" s="3"/>
      <c r="U6" s="3"/>
      <c r="V6" s="3"/>
      <c r="W6" s="3"/>
      <c r="X6" s="3"/>
      <c r="Y6" s="3"/>
      <c r="Z6" s="3"/>
      <c r="AA6" s="3"/>
      <c r="AB6" s="3"/>
      <c r="AC6" s="3"/>
      <c r="AD6" s="3"/>
      <c r="AE6" s="3"/>
    </row>
    <row r="7" spans="2:31" x14ac:dyDescent="0.2">
      <c r="B7" s="218" t="s">
        <v>71</v>
      </c>
      <c r="C7" s="3"/>
      <c r="E7" s="255" t="str">
        <f>'WS2-Proposal'!K57</f>
        <v>s508(2)</v>
      </c>
      <c r="F7" s="255"/>
      <c r="G7" s="3"/>
      <c r="H7" s="31"/>
      <c r="I7" s="3"/>
      <c r="J7" s="3"/>
      <c r="K7" s="3"/>
      <c r="L7" s="3"/>
      <c r="M7" s="3"/>
      <c r="N7" s="3"/>
      <c r="O7" s="3"/>
      <c r="P7" s="3"/>
      <c r="Q7" s="3"/>
      <c r="R7" s="3"/>
      <c r="S7" s="3"/>
      <c r="T7" s="3"/>
      <c r="U7" s="3"/>
      <c r="V7" s="3"/>
      <c r="W7" s="3"/>
      <c r="X7" s="3"/>
      <c r="Y7" s="3"/>
      <c r="Z7" s="3"/>
      <c r="AA7" s="3"/>
      <c r="AB7" s="3"/>
      <c r="AC7" s="3"/>
      <c r="AD7" s="3"/>
      <c r="AE7" s="3"/>
    </row>
    <row r="8" spans="2:31" x14ac:dyDescent="0.2">
      <c r="B8" s="218" t="s">
        <v>72</v>
      </c>
      <c r="C8" s="3"/>
      <c r="E8" s="251" t="str">
        <f>'WS2-Proposal'!K40</f>
        <v>no</v>
      </c>
      <c r="F8" s="251"/>
      <c r="G8" s="3"/>
      <c r="H8" s="31"/>
      <c r="I8" s="3"/>
      <c r="J8" s="3"/>
      <c r="K8" s="3"/>
      <c r="L8" s="3"/>
      <c r="M8" s="3"/>
      <c r="N8" s="3"/>
      <c r="O8" s="3"/>
      <c r="P8" s="3"/>
      <c r="Q8" s="3"/>
      <c r="R8" s="3"/>
      <c r="S8" s="3"/>
      <c r="T8" s="3"/>
      <c r="U8" s="3"/>
      <c r="V8" s="3"/>
      <c r="W8" s="3"/>
      <c r="X8" s="3"/>
      <c r="Y8" s="3"/>
      <c r="Z8" s="3"/>
      <c r="AA8" s="3"/>
      <c r="AB8" s="3"/>
      <c r="AC8" s="3"/>
      <c r="AD8" s="3"/>
      <c r="AE8" s="3"/>
    </row>
    <row r="9" spans="2:31" x14ac:dyDescent="0.2">
      <c r="B9" s="54" t="s">
        <v>73</v>
      </c>
      <c r="C9" s="3"/>
      <c r="E9" s="251">
        <f>'WS2-Proposal'!W61</f>
        <v>1</v>
      </c>
      <c r="F9" s="251"/>
      <c r="G9" s="3"/>
      <c r="H9" s="31"/>
      <c r="I9" s="3"/>
      <c r="J9" s="3"/>
      <c r="K9" s="3"/>
      <c r="L9" s="3"/>
      <c r="M9" s="3"/>
      <c r="N9" s="3"/>
      <c r="O9" s="3"/>
      <c r="P9" s="3"/>
      <c r="Q9" s="3"/>
      <c r="R9" s="3"/>
      <c r="S9" s="3"/>
      <c r="T9" s="3"/>
      <c r="U9" s="3"/>
      <c r="V9" s="3"/>
      <c r="W9" s="3"/>
      <c r="X9" s="3"/>
      <c r="Y9" s="3"/>
      <c r="Z9" s="3"/>
      <c r="AA9" s="3"/>
      <c r="AB9" s="3"/>
      <c r="AC9" s="3"/>
      <c r="AD9" s="3"/>
      <c r="AE9" s="3"/>
    </row>
    <row r="10" spans="2:31" x14ac:dyDescent="0.2">
      <c r="B10" s="284" t="s">
        <v>74</v>
      </c>
      <c r="C10" s="3"/>
      <c r="E10" s="255" t="str">
        <f>'WS2-Proposal'!K59</f>
        <v>Permanent</v>
      </c>
      <c r="F10" s="255"/>
      <c r="G10" s="3"/>
      <c r="H10" s="31"/>
      <c r="J10" s="3"/>
      <c r="K10" s="3"/>
      <c r="L10" s="3"/>
      <c r="M10" s="3"/>
      <c r="N10" s="3"/>
      <c r="O10" s="3"/>
      <c r="P10" s="3"/>
      <c r="Q10" s="3"/>
      <c r="R10" s="3"/>
      <c r="S10" s="3"/>
      <c r="T10" s="3"/>
      <c r="U10" s="3"/>
      <c r="V10" s="3"/>
      <c r="W10" s="3"/>
      <c r="X10" s="3"/>
      <c r="Y10" s="3"/>
      <c r="Z10" s="3"/>
      <c r="AA10" s="3"/>
      <c r="AB10" s="3"/>
      <c r="AC10" s="3"/>
      <c r="AD10" s="3"/>
      <c r="AE10" s="3"/>
    </row>
    <row r="11" spans="2:31" x14ac:dyDescent="0.2">
      <c r="B11" s="54" t="s">
        <v>75</v>
      </c>
      <c r="C11" s="3"/>
      <c r="E11" s="360">
        <f>'WS2-Proposal'!K61</f>
        <v>0</v>
      </c>
      <c r="F11" s="360"/>
      <c r="G11" s="3"/>
      <c r="H11" s="31"/>
      <c r="I11" s="3"/>
      <c r="J11" s="3"/>
      <c r="K11" s="3"/>
      <c r="L11" s="3"/>
      <c r="M11" s="3"/>
      <c r="N11" s="3"/>
      <c r="O11" s="3"/>
      <c r="P11" s="3"/>
      <c r="Q11" s="3"/>
      <c r="R11" s="3"/>
      <c r="S11" s="3"/>
      <c r="T11" s="3"/>
      <c r="U11" s="3"/>
      <c r="V11" s="3"/>
      <c r="W11" s="3"/>
      <c r="X11" s="3"/>
      <c r="Y11" s="3"/>
      <c r="Z11" s="3"/>
      <c r="AA11" s="3"/>
      <c r="AB11" s="3"/>
      <c r="AC11" s="3"/>
      <c r="AD11" s="3"/>
      <c r="AE11" s="3"/>
    </row>
    <row r="12" spans="2:31" x14ac:dyDescent="0.2">
      <c r="B12" s="32"/>
      <c r="C12" s="30"/>
      <c r="D12" s="30"/>
      <c r="E12" s="30"/>
      <c r="F12" s="30"/>
      <c r="G12" s="30"/>
      <c r="H12" s="33"/>
      <c r="I12" s="3"/>
      <c r="J12" s="3"/>
      <c r="K12" s="3"/>
      <c r="L12" s="3"/>
      <c r="M12" s="3"/>
      <c r="N12" s="3"/>
      <c r="O12" s="3"/>
      <c r="P12" s="3"/>
      <c r="Q12" s="3"/>
      <c r="R12" s="3"/>
      <c r="S12" s="3"/>
      <c r="T12" s="3"/>
      <c r="U12" s="3"/>
      <c r="V12" s="3"/>
      <c r="W12" s="3"/>
      <c r="X12" s="3"/>
      <c r="Y12" s="3"/>
      <c r="Z12" s="3"/>
      <c r="AA12" s="3"/>
      <c r="AB12" s="3"/>
      <c r="AC12" s="3"/>
      <c r="AD12" s="3"/>
      <c r="AE12" s="3"/>
    </row>
    <row r="13" spans="2:31" x14ac:dyDescent="0.2">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2:31" x14ac:dyDescent="0.2">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2:31" x14ac:dyDescent="0.2">
      <c r="B15" s="207"/>
      <c r="C15" s="166"/>
      <c r="D15" s="3"/>
      <c r="E15" s="172"/>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2:31" x14ac:dyDescent="0.2">
      <c r="B16" s="312"/>
      <c r="C16" s="282"/>
      <c r="D16" s="401"/>
      <c r="E16" s="282" t="s">
        <v>76</v>
      </c>
      <c r="F16" s="282"/>
      <c r="G16" s="282"/>
      <c r="H16" s="348"/>
      <c r="I16" s="3"/>
      <c r="J16" s="3"/>
      <c r="K16" s="3"/>
      <c r="L16" s="3"/>
      <c r="M16" s="3"/>
      <c r="N16" s="3"/>
      <c r="O16" s="3"/>
      <c r="P16" s="3"/>
      <c r="Q16" s="3"/>
      <c r="R16" s="3"/>
      <c r="S16" s="3"/>
      <c r="T16" s="3"/>
      <c r="U16" s="3"/>
      <c r="V16" s="3"/>
      <c r="W16" s="3"/>
      <c r="X16" s="3"/>
      <c r="Y16" s="3"/>
      <c r="Z16" s="3"/>
      <c r="AA16" s="3"/>
      <c r="AB16" s="3"/>
      <c r="AC16" s="3"/>
      <c r="AD16" s="3"/>
      <c r="AE16" s="3"/>
    </row>
    <row r="17" spans="2:31" x14ac:dyDescent="0.2">
      <c r="B17" s="218" t="str">
        <f>'WS2-Proposal'!C43</f>
        <v xml:space="preserve">1st Expiring SV </v>
      </c>
      <c r="C17" s="3"/>
      <c r="E17" s="337" t="str">
        <f>'WS2-Proposal'!K43</f>
        <v>na</v>
      </c>
      <c r="F17" s="337"/>
      <c r="G17" s="3"/>
      <c r="H17" s="31"/>
      <c r="I17" s="338"/>
      <c r="J17" s="3"/>
      <c r="K17" s="338"/>
      <c r="L17" s="3"/>
      <c r="M17" s="125"/>
      <c r="N17" s="3"/>
      <c r="O17" s="3"/>
      <c r="P17" s="3"/>
      <c r="Q17" s="3"/>
      <c r="R17" s="3"/>
      <c r="S17" s="3"/>
      <c r="T17" s="3"/>
      <c r="U17" s="3"/>
      <c r="V17" s="3"/>
      <c r="W17" s="3"/>
      <c r="X17" s="3"/>
      <c r="Y17" s="3"/>
      <c r="Z17" s="3"/>
      <c r="AA17" s="3"/>
      <c r="AB17" s="3"/>
      <c r="AC17" s="3"/>
      <c r="AD17" s="3"/>
      <c r="AE17" s="3"/>
    </row>
    <row r="18" spans="2:31" x14ac:dyDescent="0.2">
      <c r="B18" s="218" t="str">
        <f>'WS2-Proposal'!C44</f>
        <v>2nd Expiring SV</v>
      </c>
      <c r="C18" s="3"/>
      <c r="E18" s="337" t="str">
        <f>'WS2-Proposal'!K44</f>
        <v>na</v>
      </c>
      <c r="F18" s="337"/>
      <c r="G18" s="3"/>
      <c r="H18" s="31"/>
      <c r="I18" s="338"/>
      <c r="J18" s="3"/>
      <c r="K18" s="338"/>
      <c r="L18" s="3"/>
      <c r="M18" s="125"/>
      <c r="N18" s="3"/>
      <c r="O18" s="3"/>
      <c r="P18" s="3"/>
      <c r="Q18" s="3"/>
      <c r="R18" s="3"/>
      <c r="S18" s="3"/>
      <c r="T18" s="3"/>
      <c r="U18" s="3"/>
      <c r="V18" s="3"/>
      <c r="W18" s="3"/>
      <c r="X18" s="3"/>
      <c r="Y18" s="3"/>
      <c r="Z18" s="3"/>
      <c r="AA18" s="3"/>
      <c r="AB18" s="3"/>
      <c r="AC18" s="3"/>
      <c r="AD18" s="3"/>
      <c r="AE18" s="3"/>
    </row>
    <row r="19" spans="2:31" x14ac:dyDescent="0.2">
      <c r="B19" s="32"/>
      <c r="C19" s="30"/>
      <c r="D19" s="404"/>
      <c r="E19" s="30"/>
      <c r="F19" s="30"/>
      <c r="G19" s="30"/>
      <c r="H19" s="33"/>
      <c r="I19" s="3"/>
      <c r="J19" s="3"/>
      <c r="K19" s="3"/>
      <c r="L19" s="3"/>
      <c r="M19" s="3"/>
      <c r="N19" s="3"/>
      <c r="O19" s="3"/>
      <c r="P19" s="3"/>
      <c r="Q19" s="3"/>
      <c r="R19" s="3"/>
      <c r="S19" s="3"/>
      <c r="T19" s="3"/>
      <c r="U19" s="3"/>
      <c r="V19" s="3"/>
      <c r="W19" s="3"/>
      <c r="X19" s="3"/>
      <c r="Y19" s="3"/>
      <c r="Z19" s="3"/>
      <c r="AA19" s="3"/>
      <c r="AB19" s="3"/>
      <c r="AC19" s="3"/>
      <c r="AD19" s="3"/>
      <c r="AE19" s="3"/>
    </row>
    <row r="20" spans="2:31"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row>
    <row r="21" spans="2:31" x14ac:dyDescent="0.2">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2:31" x14ac:dyDescent="0.2">
      <c r="B22" s="207"/>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2:31" x14ac:dyDescent="0.2">
      <c r="B23" s="208" t="str">
        <f>'WS2-Proposal'!B67</f>
        <v>b. Requested annual percentage increases and expiring SV amounts</v>
      </c>
      <c r="C23" s="2"/>
      <c r="E23" s="2"/>
      <c r="F23" s="2"/>
      <c r="G23" s="2"/>
      <c r="H23" s="2"/>
      <c r="I23" s="3"/>
      <c r="J23" s="3"/>
      <c r="K23" s="3"/>
      <c r="L23" s="3"/>
      <c r="M23" s="3"/>
      <c r="N23" s="3"/>
      <c r="O23" s="3"/>
      <c r="P23" s="3"/>
      <c r="Q23" s="3"/>
      <c r="R23" s="3"/>
      <c r="S23" s="3"/>
      <c r="T23" s="3"/>
      <c r="U23" s="3"/>
      <c r="V23" s="3"/>
      <c r="W23" s="3"/>
      <c r="X23" s="3"/>
      <c r="Y23" s="3"/>
      <c r="Z23" s="3"/>
      <c r="AA23" s="3"/>
      <c r="AB23" s="3"/>
      <c r="AC23" s="3"/>
      <c r="AD23" s="3"/>
      <c r="AE23" s="3"/>
    </row>
    <row r="24" spans="2:31" x14ac:dyDescent="0.2">
      <c r="B24" s="312"/>
      <c r="C24" s="282"/>
      <c r="D24" s="282"/>
      <c r="E24" s="282"/>
      <c r="F24" s="282"/>
      <c r="G24" s="282"/>
      <c r="H24" s="282"/>
      <c r="I24" s="348"/>
      <c r="J24" s="349" t="str">
        <f>'WS2-Proposal'!J71</f>
        <v>Year 0</v>
      </c>
      <c r="K24" s="315" t="str">
        <f>'WS2-Proposal'!K71</f>
        <v>Year 1</v>
      </c>
      <c r="L24" s="315" t="str">
        <f>'WS2-Proposal'!L71</f>
        <v>Year 2</v>
      </c>
      <c r="M24" s="315" t="str">
        <f>'WS2-Proposal'!M71</f>
        <v>Year 3</v>
      </c>
      <c r="N24" s="315" t="str">
        <f>'WS2-Proposal'!N71</f>
        <v>Year 4</v>
      </c>
      <c r="O24" s="315" t="str">
        <f>'WS2-Proposal'!O71</f>
        <v>Year 5</v>
      </c>
      <c r="P24" s="315" t="str">
        <f>'WS2-Proposal'!P71</f>
        <v>Year 6</v>
      </c>
      <c r="Q24" s="315" t="str">
        <f>'WS2-Proposal'!Q71</f>
        <v>Year 7</v>
      </c>
      <c r="R24" s="54"/>
      <c r="S24" s="3"/>
      <c r="T24" s="3"/>
      <c r="U24" s="3"/>
      <c r="V24" s="3"/>
      <c r="W24" s="3"/>
      <c r="X24" s="3"/>
      <c r="Y24" s="3"/>
      <c r="Z24" s="3"/>
      <c r="AA24" s="3"/>
      <c r="AB24" s="3"/>
      <c r="AC24" s="3"/>
      <c r="AD24" s="3"/>
      <c r="AE24" s="3"/>
    </row>
    <row r="25" spans="2:31" x14ac:dyDescent="0.2">
      <c r="B25" s="209" t="str">
        <f>'WS2-Proposal'!B72</f>
        <v>Financial year</v>
      </c>
      <c r="C25" s="30"/>
      <c r="D25" s="30"/>
      <c r="E25" s="30"/>
      <c r="F25" s="30"/>
      <c r="G25" s="30"/>
      <c r="H25" s="30"/>
      <c r="I25" s="33"/>
      <c r="J25" s="316" t="str">
        <f>'WS2-Proposal'!J72</f>
        <v>2023-24</v>
      </c>
      <c r="K25" s="316" t="str">
        <f>'WS2-Proposal'!K72</f>
        <v>2024-25</v>
      </c>
      <c r="L25" s="316" t="str">
        <f>'WS2-Proposal'!L72</f>
        <v>2025-26</v>
      </c>
      <c r="M25" s="316" t="str">
        <f>'WS2-Proposal'!M72</f>
        <v>2026-27</v>
      </c>
      <c r="N25" s="316" t="str">
        <f>'WS2-Proposal'!N72</f>
        <v>2027-28</v>
      </c>
      <c r="O25" s="316" t="str">
        <f>'WS2-Proposal'!O72</f>
        <v>2028-29</v>
      </c>
      <c r="P25" s="316" t="str">
        <f>'WS2-Proposal'!P72</f>
        <v>2029-30</v>
      </c>
      <c r="Q25" s="316" t="str">
        <f>'WS2-Proposal'!Q72</f>
        <v>2030-31</v>
      </c>
      <c r="R25" s="54"/>
      <c r="S25" s="3"/>
      <c r="T25" s="3"/>
      <c r="U25" s="3"/>
      <c r="V25" s="3"/>
      <c r="W25" s="3"/>
      <c r="X25" s="3"/>
      <c r="Y25" s="3"/>
      <c r="Z25" s="3"/>
      <c r="AA25" s="3"/>
      <c r="AB25" s="3"/>
      <c r="AC25" s="3"/>
      <c r="AD25" s="3"/>
      <c r="AE25" s="3"/>
    </row>
    <row r="26" spans="2:31" x14ac:dyDescent="0.2">
      <c r="B26" s="317" t="str">
        <f>'WS2-Proposal'!B73</f>
        <v>1= included in SV period</v>
      </c>
      <c r="C26" s="3"/>
      <c r="D26" s="3"/>
      <c r="E26" s="3"/>
      <c r="F26" s="3"/>
      <c r="G26" s="146"/>
      <c r="H26" s="146"/>
      <c r="I26" s="313"/>
      <c r="J26" s="146"/>
      <c r="K26" s="318">
        <f>'WS2-Proposal'!K73</f>
        <v>1</v>
      </c>
      <c r="L26" s="318">
        <f>'WS2-Proposal'!L73</f>
        <v>0</v>
      </c>
      <c r="M26" s="318">
        <f>'WS2-Proposal'!M73</f>
        <v>0</v>
      </c>
      <c r="N26" s="318">
        <f>'WS2-Proposal'!N73</f>
        <v>0</v>
      </c>
      <c r="O26" s="318">
        <f>'WS2-Proposal'!O73</f>
        <v>0</v>
      </c>
      <c r="P26" s="318">
        <f>'WS2-Proposal'!P73</f>
        <v>0</v>
      </c>
      <c r="Q26" s="318">
        <f>'WS2-Proposal'!Q73</f>
        <v>0</v>
      </c>
      <c r="R26" s="54"/>
      <c r="S26" s="3"/>
      <c r="T26" s="3"/>
      <c r="U26" s="3"/>
      <c r="V26" s="3"/>
      <c r="W26" s="3"/>
      <c r="X26" s="3"/>
      <c r="Y26" s="3"/>
      <c r="Z26" s="3"/>
      <c r="AA26" s="3"/>
      <c r="AB26" s="3"/>
      <c r="AC26" s="3"/>
      <c r="AD26" s="3"/>
      <c r="AE26" s="3"/>
    </row>
    <row r="27" spans="2:31" x14ac:dyDescent="0.2">
      <c r="B27" s="319" t="str">
        <f>'WS2-Proposal'!B74</f>
        <v>0 = beyond temporary SV period</v>
      </c>
      <c r="C27" s="140"/>
      <c r="D27" s="140"/>
      <c r="E27" s="140"/>
      <c r="F27" s="140"/>
      <c r="G27" s="288"/>
      <c r="H27" s="288"/>
      <c r="I27" s="314"/>
      <c r="J27" s="288"/>
      <c r="K27" s="320">
        <f>'WS2-Proposal'!K74</f>
        <v>1</v>
      </c>
      <c r="L27" s="320">
        <f>'WS2-Proposal'!L74</f>
        <v>1</v>
      </c>
      <c r="M27" s="320">
        <f>'WS2-Proposal'!M74</f>
        <v>1</v>
      </c>
      <c r="N27" s="320">
        <f>'WS2-Proposal'!N74</f>
        <v>1</v>
      </c>
      <c r="O27" s="320">
        <f>'WS2-Proposal'!O74</f>
        <v>1</v>
      </c>
      <c r="P27" s="320">
        <f>'WS2-Proposal'!P74</f>
        <v>1</v>
      </c>
      <c r="Q27" s="320">
        <f>'WS2-Proposal'!Q74</f>
        <v>1</v>
      </c>
      <c r="R27" s="54"/>
      <c r="S27" s="3"/>
      <c r="T27" s="3"/>
      <c r="U27" s="3"/>
      <c r="V27" s="3"/>
      <c r="W27" s="3"/>
      <c r="X27" s="3"/>
      <c r="Y27" s="3"/>
      <c r="Z27" s="3"/>
      <c r="AA27" s="3"/>
      <c r="AB27" s="3"/>
      <c r="AC27" s="3"/>
      <c r="AD27" s="3"/>
      <c r="AE27" s="3"/>
    </row>
    <row r="28" spans="2:31" ht="12.75" thickBot="1" x14ac:dyDescent="0.25">
      <c r="B28" s="219" t="str">
        <f>'WS2-Proposal'!B75</f>
        <v>Annual % increases</v>
      </c>
      <c r="C28" s="3"/>
      <c r="D28" s="3"/>
      <c r="E28" s="3"/>
      <c r="F28" s="3"/>
      <c r="G28" s="3"/>
      <c r="H28" s="3"/>
      <c r="I28" s="31"/>
      <c r="J28" s="3"/>
      <c r="K28" s="3"/>
      <c r="L28" s="3"/>
      <c r="M28" s="3"/>
      <c r="N28" s="3"/>
      <c r="O28" s="3"/>
      <c r="P28" s="3"/>
      <c r="Q28" s="3"/>
      <c r="R28" s="54"/>
      <c r="S28" s="3"/>
      <c r="T28" s="3"/>
      <c r="U28" s="3"/>
      <c r="V28" s="3"/>
      <c r="W28" s="3"/>
      <c r="X28" s="3"/>
      <c r="Y28" s="3"/>
      <c r="Z28" s="3"/>
      <c r="AA28" s="3"/>
      <c r="AB28" s="3"/>
      <c r="AC28" s="3"/>
      <c r="AD28" s="3"/>
      <c r="AE28" s="3"/>
    </row>
    <row r="29" spans="2:31" ht="13.5" thickTop="1" thickBot="1" x14ac:dyDescent="0.25">
      <c r="B29" s="218" t="str">
        <f>'WS2-Proposal'!B76</f>
        <v>na - leave blank</v>
      </c>
      <c r="C29" s="3"/>
      <c r="D29" s="99"/>
      <c r="E29" s="99"/>
      <c r="F29" s="99"/>
      <c r="G29" s="3"/>
      <c r="H29" s="3"/>
      <c r="I29" s="31"/>
      <c r="J29" s="99"/>
      <c r="K29" s="389">
        <f>IF($E$8="no",0,'WS2-Proposal'!K76)</f>
        <v>0</v>
      </c>
      <c r="L29" s="389">
        <f>IF($E$8="no",0,'WS2-Proposal'!L76)</f>
        <v>0</v>
      </c>
      <c r="M29" s="389">
        <f>IF($E$8="no",0,'WS2-Proposal'!M76)</f>
        <v>0</v>
      </c>
      <c r="N29" s="389">
        <f>IF($E$8="no",0,'WS2-Proposal'!N76)</f>
        <v>0</v>
      </c>
      <c r="O29" s="389">
        <f>IF($E$8="no",0,'WS2-Proposal'!O76)</f>
        <v>0</v>
      </c>
      <c r="P29" s="389">
        <f>IF($E$8="no",0,'WS2-Proposal'!P76)</f>
        <v>0</v>
      </c>
      <c r="Q29" s="389">
        <f>IF($E$8="no",0,'WS2-Proposal'!Q76)</f>
        <v>0</v>
      </c>
      <c r="R29" s="54"/>
      <c r="S29" s="3"/>
      <c r="T29" s="3"/>
      <c r="U29" s="3"/>
      <c r="V29" s="3"/>
      <c r="W29" s="3"/>
      <c r="X29" s="3"/>
      <c r="Y29" s="3"/>
      <c r="Z29" s="3"/>
      <c r="AA29" s="3"/>
      <c r="AB29" s="3"/>
      <c r="AC29" s="3"/>
      <c r="AD29" s="3"/>
      <c r="AE29" s="3"/>
    </row>
    <row r="30" spans="2:31" ht="11.25" customHeight="1" thickTop="1" x14ac:dyDescent="0.2">
      <c r="B30" s="54"/>
      <c r="C30" s="3"/>
      <c r="D30" s="99"/>
      <c r="E30" s="99"/>
      <c r="F30" s="99"/>
      <c r="G30" s="3"/>
      <c r="H30" s="3"/>
      <c r="I30" s="31"/>
      <c r="J30" s="98"/>
      <c r="K30" s="99"/>
      <c r="L30" s="99"/>
      <c r="M30" s="99"/>
      <c r="N30" s="99"/>
      <c r="O30" s="99"/>
      <c r="P30" s="99"/>
      <c r="Q30" s="99"/>
      <c r="R30" s="54"/>
      <c r="S30" s="3"/>
      <c r="T30" s="3"/>
      <c r="U30" s="3"/>
      <c r="V30" s="3"/>
      <c r="W30" s="3"/>
      <c r="X30" s="3"/>
      <c r="Y30" s="3"/>
      <c r="Z30" s="3"/>
      <c r="AA30" s="3"/>
      <c r="AB30" s="3"/>
      <c r="AC30" s="3"/>
      <c r="AD30" s="3"/>
      <c r="AE30" s="3"/>
    </row>
    <row r="31" spans="2:31" x14ac:dyDescent="0.2">
      <c r="B31" s="218" t="str">
        <f>'WS2-Proposal'!B79</f>
        <v>Rate peg only</v>
      </c>
      <c r="C31" s="3"/>
      <c r="D31" s="99"/>
      <c r="E31" s="99"/>
      <c r="F31" s="99"/>
      <c r="G31" s="3"/>
      <c r="H31" s="3"/>
      <c r="I31" s="31"/>
      <c r="J31" s="98"/>
      <c r="K31" s="250">
        <f>'WS2-Proposal'!K79</f>
        <v>0.05</v>
      </c>
      <c r="L31" s="250">
        <f>'WS2-Proposal'!L79</f>
        <v>0.03</v>
      </c>
      <c r="M31" s="250">
        <f>'WS2-Proposal'!M79</f>
        <v>0.03</v>
      </c>
      <c r="N31" s="250">
        <f>'WS2-Proposal'!N79</f>
        <v>0.03</v>
      </c>
      <c r="O31" s="250">
        <f>'WS2-Proposal'!O79</f>
        <v>0.03</v>
      </c>
      <c r="P31" s="250">
        <f>'WS2-Proposal'!P79</f>
        <v>0.03</v>
      </c>
      <c r="Q31" s="250">
        <f>'WS2-Proposal'!Q79</f>
        <v>0.03</v>
      </c>
      <c r="R31" s="54"/>
      <c r="S31" s="3"/>
      <c r="T31" s="3"/>
      <c r="U31" s="3"/>
      <c r="V31" s="3"/>
      <c r="W31" s="3"/>
      <c r="X31" s="3"/>
      <c r="Y31" s="3"/>
      <c r="Z31" s="3"/>
      <c r="AA31" s="3"/>
      <c r="AB31" s="3"/>
      <c r="AC31" s="3"/>
      <c r="AD31" s="3"/>
      <c r="AE31" s="3"/>
    </row>
    <row r="32" spans="2:31" x14ac:dyDescent="0.2">
      <c r="B32" s="493" t="str">
        <f>'WS2-Proposal'!B80</f>
        <v xml:space="preserve"> na - No existing SV above rate peg</v>
      </c>
      <c r="C32" s="207"/>
      <c r="D32" s="99"/>
      <c r="E32" s="99"/>
      <c r="F32" s="99"/>
      <c r="G32" s="3"/>
      <c r="H32" s="3"/>
      <c r="I32" s="31"/>
      <c r="J32" s="98"/>
      <c r="K32" s="250">
        <f>'WS2-Proposal'!K80</f>
        <v>0</v>
      </c>
      <c r="L32" s="250">
        <f>'WS2-Proposal'!L80</f>
        <v>0</v>
      </c>
      <c r="M32" s="250">
        <f>'WS2-Proposal'!M80</f>
        <v>0</v>
      </c>
      <c r="N32" s="250">
        <f>'WS2-Proposal'!N80</f>
        <v>0</v>
      </c>
      <c r="O32" s="250">
        <f>'WS2-Proposal'!O80</f>
        <v>0</v>
      </c>
      <c r="P32" s="250">
        <f>'WS2-Proposal'!P80</f>
        <v>0</v>
      </c>
      <c r="Q32" s="250">
        <f>'WS2-Proposal'!Q80</f>
        <v>0</v>
      </c>
      <c r="R32" s="54"/>
      <c r="S32" s="3"/>
      <c r="T32" s="3"/>
      <c r="U32" s="3"/>
      <c r="V32" s="3"/>
      <c r="W32" s="3"/>
      <c r="X32" s="3"/>
      <c r="Y32" s="3"/>
      <c r="Z32" s="3"/>
      <c r="AA32" s="3"/>
      <c r="AB32" s="3"/>
      <c r="AC32" s="3"/>
      <c r="AD32" s="3"/>
      <c r="AE32" s="3"/>
    </row>
    <row r="33" spans="2:31" ht="12.75" thickBot="1" x14ac:dyDescent="0.25">
      <c r="B33" s="493" t="str">
        <f>'WS2-Proposal'!B81</f>
        <v>Percentage above the rate peg</v>
      </c>
      <c r="C33" s="207"/>
      <c r="D33" s="99"/>
      <c r="E33" s="99"/>
      <c r="F33" s="99"/>
      <c r="G33" s="3"/>
      <c r="H33" s="3"/>
      <c r="I33" s="31"/>
      <c r="J33" s="98"/>
      <c r="K33" s="250">
        <f>'WS2-Proposal'!K81</f>
        <v>0.1</v>
      </c>
      <c r="L33" s="250">
        <f>'WS2-Proposal'!L81</f>
        <v>0</v>
      </c>
      <c r="M33" s="250">
        <f>'WS2-Proposal'!M81</f>
        <v>0</v>
      </c>
      <c r="N33" s="250">
        <f>'WS2-Proposal'!N81</f>
        <v>0</v>
      </c>
      <c r="O33" s="250">
        <f>'WS2-Proposal'!O81</f>
        <v>0</v>
      </c>
      <c r="P33" s="250">
        <f>'WS2-Proposal'!P81</f>
        <v>0</v>
      </c>
      <c r="Q33" s="250">
        <f>'WS2-Proposal'!Q81</f>
        <v>0</v>
      </c>
      <c r="R33" s="54"/>
      <c r="S33" s="3"/>
      <c r="T33" s="3"/>
      <c r="U33" s="3"/>
      <c r="V33" s="3"/>
      <c r="W33" s="3"/>
      <c r="X33" s="3"/>
      <c r="Y33" s="3"/>
      <c r="Z33" s="3"/>
      <c r="AA33" s="3"/>
      <c r="AB33" s="3"/>
      <c r="AC33" s="3"/>
      <c r="AD33" s="3"/>
      <c r="AE33" s="3"/>
    </row>
    <row r="34" spans="2:31" ht="13.5" thickTop="1" thickBot="1" x14ac:dyDescent="0.25">
      <c r="B34" s="493" t="str">
        <f>'WS2-Proposal'!B82</f>
        <v>Na - ignore this row - Not a combined SV</v>
      </c>
      <c r="C34" s="207"/>
      <c r="D34" s="99"/>
      <c r="E34" s="99"/>
      <c r="F34" s="99"/>
      <c r="G34" s="3"/>
      <c r="H34" s="3"/>
      <c r="I34" s="31"/>
      <c r="J34" s="98"/>
      <c r="K34" s="389">
        <f>CHOOSE('WS2-Proposal'!$W$65,'WS2-Proposal'!K82,0)</f>
        <v>0</v>
      </c>
      <c r="L34" s="389">
        <f>CHOOSE('WS2-Proposal'!$W$65,'WS2-Proposal'!L82,0)</f>
        <v>0</v>
      </c>
      <c r="M34" s="389">
        <f>CHOOSE('WS2-Proposal'!$W$65,'WS2-Proposal'!M82,0)</f>
        <v>0</v>
      </c>
      <c r="N34" s="389">
        <f>CHOOSE('WS2-Proposal'!$W$65,'WS2-Proposal'!N82,0)</f>
        <v>0</v>
      </c>
      <c r="O34" s="389">
        <f>CHOOSE('WS2-Proposal'!$W$65,'WS2-Proposal'!O82,0)</f>
        <v>0</v>
      </c>
      <c r="P34" s="389">
        <f>CHOOSE('WS2-Proposal'!$W$65,'WS2-Proposal'!P82,0)</f>
        <v>0</v>
      </c>
      <c r="Q34" s="389">
        <f>CHOOSE('WS2-Proposal'!$W$65,'WS2-Proposal'!Q82,0)</f>
        <v>0</v>
      </c>
      <c r="R34" s="54"/>
      <c r="S34" s="3"/>
      <c r="T34" s="3"/>
      <c r="U34" s="3"/>
      <c r="V34" s="3"/>
      <c r="W34" s="3"/>
      <c r="X34" s="3"/>
      <c r="Y34" s="3"/>
      <c r="Z34" s="3"/>
      <c r="AA34" s="3"/>
      <c r="AB34" s="3"/>
      <c r="AC34" s="3"/>
      <c r="AD34" s="3"/>
      <c r="AE34" s="3"/>
    </row>
    <row r="35" spans="2:31" ht="13.5" thickTop="1" thickBot="1" x14ac:dyDescent="0.25">
      <c r="B35" s="493" t="str">
        <f>'WS2-Proposal'!B83</f>
        <v>Crown Land adjustment</v>
      </c>
      <c r="C35" s="207"/>
      <c r="D35" s="3"/>
      <c r="E35" s="3"/>
      <c r="F35" s="3"/>
      <c r="G35" s="3"/>
      <c r="H35" s="3"/>
      <c r="I35" s="31"/>
      <c r="J35" s="54"/>
      <c r="K35" s="250">
        <f>'WS2-Proposal'!K83</f>
        <v>0</v>
      </c>
      <c r="L35" s="250">
        <f>'WS2-Proposal'!L83</f>
        <v>0</v>
      </c>
      <c r="M35" s="250">
        <f>'WS2-Proposal'!M83</f>
        <v>0</v>
      </c>
      <c r="N35" s="250">
        <f>'WS2-Proposal'!N83</f>
        <v>0</v>
      </c>
      <c r="O35" s="250">
        <f>'WS2-Proposal'!O83</f>
        <v>0</v>
      </c>
      <c r="P35" s="250">
        <f>'WS2-Proposal'!P83</f>
        <v>0</v>
      </c>
      <c r="Q35" s="250">
        <f>'WS2-Proposal'!Q83</f>
        <v>0</v>
      </c>
      <c r="R35" s="54"/>
      <c r="S35" s="3"/>
      <c r="T35" s="3"/>
      <c r="U35" s="3"/>
      <c r="V35" s="3"/>
      <c r="W35" s="3"/>
      <c r="X35" s="3"/>
      <c r="Y35" s="3"/>
      <c r="Z35" s="3"/>
      <c r="AA35" s="3"/>
      <c r="AB35" s="3"/>
      <c r="AC35" s="3"/>
      <c r="AD35" s="3"/>
      <c r="AE35" s="3"/>
    </row>
    <row r="36" spans="2:31" ht="13.5" thickTop="1" thickBot="1" x14ac:dyDescent="0.25">
      <c r="B36" s="218" t="str">
        <f>'WS2-Proposal'!B84</f>
        <v xml:space="preserve">Proposed SV </v>
      </c>
      <c r="C36" s="3"/>
      <c r="D36" s="3"/>
      <c r="E36" s="3"/>
      <c r="F36" s="3"/>
      <c r="G36" s="3"/>
      <c r="H36" s="3"/>
      <c r="I36" s="31"/>
      <c r="J36" s="54"/>
      <c r="K36" s="389">
        <f>IF(K27=0,0,IF(K26=0,K31+K32,'WS2-Proposal'!K84))</f>
        <v>0.15000000000000002</v>
      </c>
      <c r="L36" s="389">
        <f>IF(L27=0,0,IF(L26=0,L31+L32,'WS2-Proposal'!L84))</f>
        <v>0.03</v>
      </c>
      <c r="M36" s="389">
        <f>IF(M27=0,0,IF(M26=0,M31+M32,'WS2-Proposal'!M84))</f>
        <v>0.03</v>
      </c>
      <c r="N36" s="389">
        <f>IF(N27=0,0,IF(N26=0,N31+N32,'WS2-Proposal'!N84))</f>
        <v>0.03</v>
      </c>
      <c r="O36" s="389">
        <f>IF(O27=0,0,IF(O26=0,O31+O32,'WS2-Proposal'!O84))</f>
        <v>0.03</v>
      </c>
      <c r="P36" s="389">
        <f>IF(P27=0,0,IF(P26=0,P31+P32,'WS2-Proposal'!P84))</f>
        <v>0.03</v>
      </c>
      <c r="Q36" s="390">
        <f>IF(Q27=0,0,IF(Q26=0,Q31+Q32,'WS2-Proposal'!Q84))</f>
        <v>0.03</v>
      </c>
      <c r="R36" s="54"/>
      <c r="S36" s="3"/>
      <c r="T36" s="3"/>
      <c r="U36" s="3"/>
      <c r="V36" s="3"/>
      <c r="W36" s="3"/>
      <c r="X36" s="3"/>
      <c r="Y36" s="3"/>
      <c r="Z36" s="3"/>
      <c r="AA36" s="3"/>
      <c r="AB36" s="3"/>
      <c r="AC36" s="3"/>
      <c r="AD36" s="3"/>
      <c r="AE36" s="3"/>
    </row>
    <row r="37" spans="2:31" ht="12.75" thickTop="1" x14ac:dyDescent="0.2">
      <c r="B37" s="219" t="str">
        <f>'WS2-Proposal'!B85</f>
        <v>Cumulative % increase</v>
      </c>
      <c r="C37" s="3"/>
      <c r="D37" s="3"/>
      <c r="E37" s="3"/>
      <c r="F37" s="3"/>
      <c r="G37" s="3"/>
      <c r="H37" s="3"/>
      <c r="I37" s="31"/>
      <c r="J37" s="54"/>
      <c r="K37" s="3"/>
      <c r="L37" s="3"/>
      <c r="M37" s="3"/>
      <c r="N37" s="3"/>
      <c r="O37" s="3"/>
      <c r="P37" s="3"/>
      <c r="Q37" s="3"/>
      <c r="R37" s="54"/>
      <c r="S37" s="3"/>
      <c r="T37" s="3"/>
      <c r="U37" s="3"/>
      <c r="V37" s="3"/>
      <c r="W37" s="3"/>
      <c r="X37" s="3"/>
      <c r="Y37" s="3"/>
      <c r="Z37" s="3"/>
      <c r="AA37" s="3"/>
      <c r="AB37" s="3"/>
      <c r="AC37" s="3"/>
      <c r="AD37" s="3"/>
      <c r="AE37" s="3"/>
    </row>
    <row r="38" spans="2:31" x14ac:dyDescent="0.2">
      <c r="B38" s="218" t="str">
        <f>'WS2-Proposal'!B86</f>
        <v>Rate peg only</v>
      </c>
      <c r="C38" s="3"/>
      <c r="D38" s="3"/>
      <c r="E38" s="3"/>
      <c r="F38" s="3"/>
      <c r="G38" s="3"/>
      <c r="H38" s="3"/>
      <c r="I38" s="31"/>
      <c r="J38" s="54"/>
      <c r="K38" s="250">
        <f>'WS2-Proposal'!K86</f>
        <v>0.05</v>
      </c>
      <c r="L38" s="250">
        <f>'WS2-Proposal'!L86</f>
        <v>8.1500000000000128E-2</v>
      </c>
      <c r="M38" s="250">
        <f>'WS2-Proposal'!M86</f>
        <v>0.11394500000000019</v>
      </c>
      <c r="N38" s="250">
        <f>'WS2-Proposal'!N86</f>
        <v>0.14736335000000023</v>
      </c>
      <c r="O38" s="250">
        <f>'WS2-Proposal'!O86</f>
        <v>0.18178425050000024</v>
      </c>
      <c r="P38" s="250">
        <f>'WS2-Proposal'!P86</f>
        <v>0.21723777801500033</v>
      </c>
      <c r="Q38" s="250">
        <f>'WS2-Proposal'!Q86</f>
        <v>0.25375491135545047</v>
      </c>
      <c r="R38" s="54"/>
      <c r="S38" s="3"/>
      <c r="T38" s="3"/>
      <c r="U38" s="3"/>
      <c r="V38" s="3"/>
      <c r="W38" s="3"/>
      <c r="X38" s="3"/>
      <c r="Y38" s="3"/>
      <c r="Z38" s="3"/>
      <c r="AA38" s="3"/>
      <c r="AB38" s="3"/>
      <c r="AC38" s="3"/>
      <c r="AD38" s="3"/>
      <c r="AE38" s="3"/>
    </row>
    <row r="39" spans="2:31" x14ac:dyDescent="0.2">
      <c r="B39" s="382" t="str">
        <f>'WS2-Proposal'!B87</f>
        <v>Plus: additional increases</v>
      </c>
      <c r="C39" s="3"/>
      <c r="D39" s="3"/>
      <c r="E39" s="3"/>
      <c r="F39" s="3"/>
      <c r="G39" s="3"/>
      <c r="H39" s="3"/>
      <c r="I39" s="31"/>
      <c r="J39" s="54"/>
      <c r="K39" s="250">
        <f>'WS2-Proposal'!K87</f>
        <v>0.1</v>
      </c>
      <c r="L39" s="250">
        <f>'WS2-Proposal'!L87</f>
        <v>0</v>
      </c>
      <c r="M39" s="250">
        <f>'WS2-Proposal'!M87</f>
        <v>0</v>
      </c>
      <c r="N39" s="250">
        <f>'WS2-Proposal'!N87</f>
        <v>0</v>
      </c>
      <c r="O39" s="250">
        <f>'WS2-Proposal'!O87</f>
        <v>0</v>
      </c>
      <c r="P39" s="250">
        <f>'WS2-Proposal'!P87</f>
        <v>0</v>
      </c>
      <c r="Q39" s="250">
        <f>'WS2-Proposal'!Q87</f>
        <v>0</v>
      </c>
      <c r="R39" s="54"/>
      <c r="S39" s="3"/>
      <c r="T39" s="3"/>
      <c r="U39" s="3"/>
      <c r="V39" s="3"/>
      <c r="W39" s="3"/>
      <c r="X39" s="3"/>
      <c r="Y39" s="3"/>
      <c r="Z39" s="3"/>
      <c r="AA39" s="3"/>
      <c r="AB39" s="3"/>
      <c r="AC39" s="3"/>
      <c r="AD39" s="3"/>
      <c r="AE39" s="3"/>
    </row>
    <row r="40" spans="2:31" x14ac:dyDescent="0.2">
      <c r="B40" s="218" t="str">
        <f>'WS2-Proposal'!B88</f>
        <v xml:space="preserve">Proposed SV </v>
      </c>
      <c r="C40" s="3"/>
      <c r="D40" s="3"/>
      <c r="E40" s="3"/>
      <c r="F40" s="3"/>
      <c r="G40" s="3"/>
      <c r="H40" s="3"/>
      <c r="I40" s="31"/>
      <c r="J40" s="54"/>
      <c r="K40" s="250">
        <f>'WS2-Proposal'!K88</f>
        <v>0.15000000000000002</v>
      </c>
      <c r="L40" s="250">
        <f>'WS2-Proposal'!L88</f>
        <v>0.18449999999999989</v>
      </c>
      <c r="M40" s="250">
        <f>'WS2-Proposal'!M88</f>
        <v>0.22003499999999998</v>
      </c>
      <c r="N40" s="250">
        <f>'WS2-Proposal'!N88</f>
        <v>0.25663605</v>
      </c>
      <c r="O40" s="250">
        <f>'WS2-Proposal'!O88</f>
        <v>0.29433513150000001</v>
      </c>
      <c r="P40" s="250">
        <f>'WS2-Proposal'!P88</f>
        <v>0.33316518544499996</v>
      </c>
      <c r="Q40" s="250">
        <f>'WS2-Proposal'!Q88</f>
        <v>0.37316014100835004</v>
      </c>
      <c r="R40" s="54"/>
      <c r="S40" s="3"/>
      <c r="T40" s="3"/>
      <c r="U40" s="3"/>
      <c r="V40" s="3"/>
      <c r="W40" s="3"/>
      <c r="X40" s="3"/>
      <c r="Y40" s="3"/>
      <c r="Z40" s="3"/>
      <c r="AA40" s="3"/>
      <c r="AB40" s="3"/>
      <c r="AC40" s="3"/>
      <c r="AD40" s="3"/>
      <c r="AE40" s="3"/>
    </row>
    <row r="41" spans="2:31" x14ac:dyDescent="0.2">
      <c r="B41" s="54"/>
      <c r="C41" s="3"/>
      <c r="D41" s="3"/>
      <c r="E41" s="3"/>
      <c r="F41" s="3"/>
      <c r="G41" s="3"/>
      <c r="H41" s="3"/>
      <c r="I41" s="31"/>
      <c r="J41" s="54"/>
      <c r="K41" s="3"/>
      <c r="L41" s="3"/>
      <c r="M41" s="3"/>
      <c r="N41" s="3"/>
      <c r="O41" s="3"/>
      <c r="P41" s="3"/>
      <c r="Q41" s="3"/>
      <c r="R41" s="54"/>
      <c r="S41" s="3"/>
      <c r="T41" s="3"/>
      <c r="U41" s="3"/>
      <c r="V41" s="3"/>
      <c r="W41" s="3"/>
      <c r="X41" s="3"/>
      <c r="Y41" s="3"/>
      <c r="Z41" s="3"/>
      <c r="AA41" s="3"/>
      <c r="AB41" s="3"/>
      <c r="AC41" s="3"/>
      <c r="AD41" s="3"/>
      <c r="AE41" s="3"/>
    </row>
    <row r="42" spans="2:31" x14ac:dyDescent="0.2">
      <c r="B42" s="219" t="str">
        <f>'WS2-Proposal'!B90</f>
        <v>c. Expiring special variations (ESV)</v>
      </c>
      <c r="C42" s="3"/>
      <c r="D42" s="3"/>
      <c r="E42" s="3"/>
      <c r="F42" s="3"/>
      <c r="G42" s="3"/>
      <c r="H42" s="3"/>
      <c r="I42" s="31"/>
      <c r="J42" s="54"/>
      <c r="K42" s="112"/>
      <c r="L42" s="112"/>
      <c r="M42" s="112"/>
      <c r="N42" s="112"/>
      <c r="O42" s="112"/>
      <c r="P42" s="112"/>
      <c r="Q42" s="112"/>
      <c r="R42" s="54"/>
      <c r="S42" s="3"/>
      <c r="T42" s="3"/>
      <c r="U42" s="3"/>
      <c r="V42" s="3"/>
      <c r="W42" s="3"/>
      <c r="X42" s="3"/>
      <c r="Y42" s="3"/>
      <c r="Z42" s="3"/>
      <c r="AA42" s="3"/>
      <c r="AB42" s="3"/>
      <c r="AC42" s="3"/>
      <c r="AD42" s="3"/>
      <c r="AE42" s="3"/>
    </row>
    <row r="43" spans="2:31" x14ac:dyDescent="0.2">
      <c r="B43" s="218" t="str">
        <f>'WS2-Proposal'!B91</f>
        <v>$ value of ESV</v>
      </c>
      <c r="C43" s="3"/>
      <c r="D43" s="3"/>
      <c r="E43" s="3"/>
      <c r="F43" s="3"/>
      <c r="G43" s="3"/>
      <c r="H43" s="3"/>
      <c r="I43" s="31"/>
      <c r="J43" s="54"/>
      <c r="K43" s="112">
        <f>'WS2-Proposal'!K91</f>
        <v>0</v>
      </c>
      <c r="L43" s="112">
        <f>'WS2-Proposal'!L91</f>
        <v>0</v>
      </c>
      <c r="M43" s="112">
        <f>'WS2-Proposal'!M91</f>
        <v>0</v>
      </c>
      <c r="N43" s="112">
        <f>'WS2-Proposal'!N91</f>
        <v>0</v>
      </c>
      <c r="O43" s="112">
        <f>'WS2-Proposal'!O91</f>
        <v>0</v>
      </c>
      <c r="P43" s="112">
        <f>'WS2-Proposal'!P91</f>
        <v>0</v>
      </c>
      <c r="Q43" s="112">
        <f>'WS2-Proposal'!Q91</f>
        <v>0</v>
      </c>
      <c r="R43" s="54"/>
      <c r="S43" s="3"/>
      <c r="T43" s="3"/>
      <c r="U43" s="3"/>
      <c r="V43" s="3"/>
      <c r="W43" s="3"/>
      <c r="X43" s="3"/>
      <c r="Y43" s="3"/>
      <c r="Z43" s="3"/>
      <c r="AA43" s="3"/>
      <c r="AB43" s="3"/>
      <c r="AC43" s="3"/>
      <c r="AD43" s="3"/>
      <c r="AE43" s="3"/>
    </row>
    <row r="44" spans="2:31" x14ac:dyDescent="0.2">
      <c r="B44" s="218" t="str">
        <f>'WS2-Proposal'!B92</f>
        <v>% value of ESV</v>
      </c>
      <c r="C44" s="3"/>
      <c r="D44" s="3"/>
      <c r="E44" s="3"/>
      <c r="F44" s="3"/>
      <c r="G44" s="3"/>
      <c r="H44" s="3"/>
      <c r="I44" s="3"/>
      <c r="J44" s="54"/>
      <c r="K44" s="258">
        <f>'WS2-Proposal'!K92</f>
        <v>0</v>
      </c>
      <c r="L44" s="258">
        <f>'WS2-Proposal'!L92</f>
        <v>0</v>
      </c>
      <c r="M44" s="258">
        <f>'WS2-Proposal'!M92</f>
        <v>0</v>
      </c>
      <c r="N44" s="258">
        <f>'WS2-Proposal'!N92</f>
        <v>0</v>
      </c>
      <c r="O44" s="258">
        <f>'WS2-Proposal'!O92</f>
        <v>0</v>
      </c>
      <c r="P44" s="258">
        <f>'WS2-Proposal'!P92</f>
        <v>0</v>
      </c>
      <c r="Q44" s="397">
        <f>'WS2-Proposal'!Q92</f>
        <v>0</v>
      </c>
      <c r="R44" s="54"/>
      <c r="S44" s="3"/>
      <c r="T44" s="3"/>
      <c r="U44" s="3"/>
      <c r="V44" s="3"/>
      <c r="W44" s="3"/>
      <c r="X44" s="3"/>
      <c r="Y44" s="3"/>
      <c r="Z44" s="3"/>
      <c r="AA44" s="3"/>
      <c r="AB44" s="3"/>
      <c r="AC44" s="3"/>
      <c r="AD44" s="3"/>
      <c r="AE44" s="3"/>
    </row>
    <row r="45" spans="2:31" x14ac:dyDescent="0.2">
      <c r="B45" s="158" t="s">
        <v>77</v>
      </c>
      <c r="C45" s="134"/>
      <c r="D45" s="134"/>
      <c r="E45" s="134"/>
      <c r="F45" s="134"/>
      <c r="G45" s="134"/>
      <c r="H45" s="134"/>
      <c r="I45" s="134"/>
      <c r="J45" s="158"/>
      <c r="K45" s="544">
        <f t="shared" ref="K45:Q45" si="0">K36-SUM(K31:K35)</f>
        <v>0</v>
      </c>
      <c r="L45" s="544">
        <f t="shared" si="0"/>
        <v>0</v>
      </c>
      <c r="M45" s="544">
        <f t="shared" si="0"/>
        <v>0</v>
      </c>
      <c r="N45" s="544">
        <f t="shared" si="0"/>
        <v>0</v>
      </c>
      <c r="O45" s="544">
        <f t="shared" si="0"/>
        <v>0</v>
      </c>
      <c r="P45" s="544">
        <f t="shared" si="0"/>
        <v>0</v>
      </c>
      <c r="Q45" s="545">
        <f t="shared" si="0"/>
        <v>0</v>
      </c>
      <c r="R45" s="54"/>
      <c r="S45" s="3"/>
      <c r="T45" s="3"/>
      <c r="U45" s="3"/>
      <c r="V45" s="3"/>
      <c r="W45" s="3"/>
      <c r="X45" s="3"/>
      <c r="Y45" s="3"/>
      <c r="Z45" s="3"/>
      <c r="AA45" s="3"/>
      <c r="AB45" s="3"/>
      <c r="AC45" s="3"/>
      <c r="AD45" s="3"/>
      <c r="AE45" s="3"/>
    </row>
    <row r="46" spans="2:31" x14ac:dyDescent="0.2">
      <c r="B46" s="406"/>
      <c r="C46" s="404"/>
      <c r="D46" s="404"/>
      <c r="E46" s="404"/>
      <c r="F46" s="404"/>
      <c r="G46" s="404"/>
      <c r="H46" s="404"/>
      <c r="I46" s="404"/>
      <c r="J46" s="406"/>
      <c r="K46" s="404"/>
      <c r="L46" s="404"/>
      <c r="M46" s="404"/>
      <c r="N46" s="404"/>
      <c r="O46" s="404"/>
      <c r="P46" s="404"/>
      <c r="Q46" s="407"/>
      <c r="R46" s="54"/>
      <c r="S46" s="3"/>
      <c r="T46" s="3"/>
      <c r="U46" s="3"/>
      <c r="V46" s="3"/>
      <c r="W46" s="3"/>
      <c r="X46" s="3"/>
      <c r="Y46" s="3"/>
      <c r="Z46" s="3"/>
      <c r="AA46" s="3"/>
      <c r="AB46" s="3"/>
      <c r="AC46" s="3"/>
      <c r="AD46" s="3"/>
      <c r="AE46" s="3"/>
    </row>
    <row r="47" spans="2:3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2:3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2:36" x14ac:dyDescent="0.2">
      <c r="B49" s="207"/>
      <c r="C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2:36" x14ac:dyDescent="0.2">
      <c r="B50" s="207"/>
      <c r="C50" s="3"/>
      <c r="D50" s="166"/>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2:36" x14ac:dyDescent="0.2">
      <c r="B51" s="334" t="str">
        <f>'WS0 - Input data'!B$54</f>
        <v>Year number</v>
      </c>
      <c r="C51" s="282"/>
      <c r="D51" s="282"/>
      <c r="E51" s="312"/>
      <c r="F51" s="282"/>
      <c r="G51" s="350" t="str">
        <f>'WS0 - Input data'!G$55</f>
        <v>Hist yr -3</v>
      </c>
      <c r="H51" s="350" t="str">
        <f>'WS0 - Input data'!H$55</f>
        <v>Hist yr -2</v>
      </c>
      <c r="I51" s="351" t="str">
        <f>'WS0 - Input data'!I$55</f>
        <v>Hist yr -1</v>
      </c>
      <c r="J51" s="349" t="str">
        <f>'WS0 - Input data'!J$55</f>
        <v>Year 0</v>
      </c>
      <c r="K51" s="315" t="str">
        <f>'WS0 - Input data'!K$55</f>
        <v>Year 1</v>
      </c>
      <c r="L51" s="315" t="str">
        <f>'WS0 - Input data'!L$55</f>
        <v>Year 2</v>
      </c>
      <c r="M51" s="315" t="str">
        <f>'WS0 - Input data'!M$55</f>
        <v>Year 3</v>
      </c>
      <c r="N51" s="315" t="str">
        <f>'WS0 - Input data'!N$55</f>
        <v>Year 4</v>
      </c>
      <c r="O51" s="315" t="str">
        <f>'WS0 - Input data'!O$55</f>
        <v>Year 5</v>
      </c>
      <c r="P51" s="315" t="str">
        <f>'WS0 - Input data'!P$55</f>
        <v>Year 6</v>
      </c>
      <c r="Q51" s="315" t="str">
        <f>'WS0 - Input data'!Q$55</f>
        <v>Year 7</v>
      </c>
      <c r="R51" s="331" t="str">
        <f>'WS0 - Input data'!R$55</f>
        <v>Year 8</v>
      </c>
      <c r="S51" s="350" t="str">
        <f>'WS0 - Input data'!S$55</f>
        <v>Year 9</v>
      </c>
      <c r="T51" s="351" t="str">
        <f>'WS0 - Input data'!T$55</f>
        <v>Year 10</v>
      </c>
      <c r="U51" s="349" t="str">
        <f>'WS6 - PGI summary'!R79</f>
        <v>Total increase</v>
      </c>
      <c r="V51" s="352">
        <f>'WS6 - PGI summary'!S79</f>
        <v>0</v>
      </c>
      <c r="W51" s="3"/>
      <c r="X51" s="3"/>
      <c r="Y51" s="3"/>
      <c r="Z51" s="3"/>
      <c r="AA51" s="3"/>
      <c r="AB51" s="3"/>
      <c r="AC51" s="3"/>
      <c r="AD51" s="3"/>
      <c r="AE51" s="3"/>
      <c r="AF51" s="3"/>
      <c r="AG51" s="3"/>
      <c r="AH51" s="3"/>
      <c r="AI51" s="3"/>
      <c r="AJ51" s="3"/>
    </row>
    <row r="52" spans="2:36" x14ac:dyDescent="0.2">
      <c r="B52" s="209" t="str">
        <f>'WS0 - Input data'!B$58</f>
        <v>Financial year</v>
      </c>
      <c r="C52" s="30"/>
      <c r="D52" s="30"/>
      <c r="E52" s="32"/>
      <c r="F52" s="30"/>
      <c r="G52" s="211" t="str">
        <f>'WS0 - Input data'!G$58</f>
        <v>2020-21</v>
      </c>
      <c r="H52" s="211" t="str">
        <f>'WS0 - Input data'!H$58</f>
        <v>2021-22</v>
      </c>
      <c r="I52" s="212" t="str">
        <f>'WS0 - Input data'!I$58</f>
        <v>2022-23</v>
      </c>
      <c r="J52" s="213" t="str">
        <f>'WS0 - Input data'!J$58</f>
        <v>2023-24</v>
      </c>
      <c r="K52" s="214" t="str">
        <f>'WS0 - Input data'!K$58</f>
        <v>2024-25</v>
      </c>
      <c r="L52" s="214" t="str">
        <f>'WS0 - Input data'!L$58</f>
        <v>2025-26</v>
      </c>
      <c r="M52" s="214" t="str">
        <f>'WS0 - Input data'!M$58</f>
        <v>2026-27</v>
      </c>
      <c r="N52" s="214" t="str">
        <f>'WS0 - Input data'!N$58</f>
        <v>2027-28</v>
      </c>
      <c r="O52" s="214" t="str">
        <f>'WS0 - Input data'!O$58</f>
        <v>2028-29</v>
      </c>
      <c r="P52" s="214" t="str">
        <f>'WS0 - Input data'!P$58</f>
        <v>2029-30</v>
      </c>
      <c r="Q52" s="214" t="str">
        <f>'WS0 - Input data'!Q$58</f>
        <v>2030-31</v>
      </c>
      <c r="R52" s="210" t="str">
        <f>'WS0 - Input data'!R$58</f>
        <v>2031-32</v>
      </c>
      <c r="S52" s="211" t="str">
        <f>'WS0 - Input data'!S$58</f>
        <v>2032-33</v>
      </c>
      <c r="T52" s="212" t="str">
        <f>'WS0 - Input data'!T$58</f>
        <v>2033-34</v>
      </c>
      <c r="U52" s="215" t="str">
        <f>'WS6 - PGI summary'!R80</f>
        <v>$ nominal</v>
      </c>
      <c r="V52" s="216" t="str">
        <f>'WS6 - PGI summary'!S80</f>
        <v>%</v>
      </c>
      <c r="W52" s="3"/>
      <c r="X52" s="3"/>
      <c r="Y52" s="3"/>
      <c r="Z52" s="3"/>
      <c r="AA52" s="3"/>
      <c r="AB52" s="3"/>
      <c r="AC52" s="3"/>
      <c r="AD52" s="3"/>
      <c r="AE52" s="3"/>
      <c r="AF52" s="3"/>
      <c r="AG52" s="3"/>
      <c r="AH52" s="3"/>
      <c r="AI52" s="3"/>
      <c r="AJ52" s="3"/>
    </row>
    <row r="53" spans="2:36" x14ac:dyDescent="0.2">
      <c r="B53" s="54"/>
      <c r="C53" s="3"/>
      <c r="D53" s="3"/>
      <c r="E53" s="54"/>
      <c r="F53" s="3"/>
      <c r="G53" s="16"/>
      <c r="H53" s="16"/>
      <c r="I53" s="200"/>
      <c r="J53" s="199"/>
      <c r="K53" s="16"/>
      <c r="L53" s="16"/>
      <c r="M53" s="16"/>
      <c r="N53" s="16"/>
      <c r="O53" s="16"/>
      <c r="P53" s="16"/>
      <c r="Q53" s="16"/>
      <c r="R53" s="199"/>
      <c r="S53" s="16"/>
      <c r="T53" s="200"/>
      <c r="U53" s="54"/>
      <c r="V53" s="186"/>
      <c r="W53" s="3"/>
      <c r="X53" s="3"/>
      <c r="Y53" s="3"/>
      <c r="Z53" s="3"/>
      <c r="AA53" s="3"/>
      <c r="AB53" s="3"/>
      <c r="AC53" s="3"/>
      <c r="AD53" s="3"/>
      <c r="AE53" s="3"/>
      <c r="AF53" s="3"/>
      <c r="AG53" s="3"/>
      <c r="AH53" s="3"/>
      <c r="AI53" s="3"/>
      <c r="AJ53" s="3"/>
    </row>
    <row r="54" spans="2:36" x14ac:dyDescent="0.2">
      <c r="B54" s="217" t="str">
        <f>'WS6 - PGI summary'!B84</f>
        <v>PGI with proposed SV</v>
      </c>
      <c r="C54" s="3"/>
      <c r="D54" s="3"/>
      <c r="E54" s="54"/>
      <c r="F54" s="3"/>
      <c r="G54" s="16"/>
      <c r="H54" s="16"/>
      <c r="I54" s="200"/>
      <c r="J54" s="199"/>
      <c r="K54" s="16"/>
      <c r="L54" s="16"/>
      <c r="M54" s="16"/>
      <c r="N54" s="16"/>
      <c r="O54" s="16"/>
      <c r="P54" s="16"/>
      <c r="Q54" s="16"/>
      <c r="R54" s="199"/>
      <c r="S54" s="16"/>
      <c r="T54" s="200"/>
      <c r="U54" s="54"/>
      <c r="V54" s="31"/>
      <c r="W54" s="3"/>
      <c r="X54" s="3"/>
      <c r="Y54" s="3"/>
      <c r="Z54" s="3"/>
      <c r="AA54" s="3"/>
      <c r="AB54" s="3"/>
      <c r="AC54" s="3"/>
      <c r="AD54" s="3"/>
      <c r="AE54" s="3"/>
      <c r="AF54" s="3"/>
      <c r="AG54" s="3"/>
      <c r="AH54" s="3"/>
      <c r="AI54" s="3"/>
      <c r="AJ54" s="3"/>
    </row>
    <row r="55" spans="2:36" x14ac:dyDescent="0.2">
      <c r="B55" s="218" t="str">
        <f>'WS6 - PGI summary'!B85</f>
        <v>Prior year Notional General Income (NGI)</v>
      </c>
      <c r="C55" s="3"/>
      <c r="D55" s="3" t="str">
        <f>'WS6 - PGI summary'!D85</f>
        <v>$ nominal</v>
      </c>
      <c r="E55" s="54"/>
      <c r="F55" s="3"/>
      <c r="G55" s="16"/>
      <c r="H55" s="16"/>
      <c r="I55" s="200"/>
      <c r="J55" s="111"/>
      <c r="K55" s="112">
        <f>'WS6 - PGI summary'!K85</f>
        <v>54352003.65630883</v>
      </c>
      <c r="L55" s="112">
        <f>'WS6 - PGI summary'!L85</f>
        <v>62506588.204755157</v>
      </c>
      <c r="M55" s="112">
        <f>'WS6 - PGI summary'!M85</f>
        <v>64381785.850897811</v>
      </c>
      <c r="N55" s="112">
        <f>'WS6 - PGI summary'!N85</f>
        <v>66313239.426424749</v>
      </c>
      <c r="O55" s="112">
        <f>'WS6 - PGI summary'!O85</f>
        <v>68302636.609217495</v>
      </c>
      <c r="P55" s="112">
        <f>'WS6 - PGI summary'!P85</f>
        <v>70351715.70749402</v>
      </c>
      <c r="Q55" s="112">
        <f>'WS6 - PGI summary'!Q85</f>
        <v>72462267.178718835</v>
      </c>
      <c r="R55" s="111"/>
      <c r="S55" s="151"/>
      <c r="T55" s="120"/>
      <c r="U55" s="94"/>
      <c r="V55" s="31"/>
      <c r="W55" s="85"/>
      <c r="X55" s="3"/>
      <c r="Y55" s="3"/>
      <c r="Z55" s="3"/>
      <c r="AA55" s="3"/>
      <c r="AB55" s="3"/>
      <c r="AC55" s="3"/>
      <c r="AD55" s="3"/>
      <c r="AE55" s="3"/>
      <c r="AF55" s="3"/>
      <c r="AG55" s="3"/>
      <c r="AH55" s="3"/>
      <c r="AI55" s="3"/>
      <c r="AJ55" s="3"/>
    </row>
    <row r="56" spans="2:36" x14ac:dyDescent="0.2">
      <c r="B56" s="493" t="str">
        <f>'WS6 - PGI summary'!B86</f>
        <v>less: expiry of a prior special variation</v>
      </c>
      <c r="C56" s="207"/>
      <c r="D56" s="3" t="str">
        <f>'WS6 - PGI summary'!D86</f>
        <v>$ nominal</v>
      </c>
      <c r="E56" s="54"/>
      <c r="F56" s="3"/>
      <c r="G56" s="16"/>
      <c r="H56" s="16"/>
      <c r="I56" s="200"/>
      <c r="J56" s="111"/>
      <c r="K56" s="112">
        <f>'WS6 - PGI summary'!K86</f>
        <v>0</v>
      </c>
      <c r="L56" s="112">
        <f>'WS6 - PGI summary'!L86</f>
        <v>0</v>
      </c>
      <c r="M56" s="112">
        <f>'WS6 - PGI summary'!M86</f>
        <v>0</v>
      </c>
      <c r="N56" s="112">
        <f>'WS6 - PGI summary'!N86</f>
        <v>0</v>
      </c>
      <c r="O56" s="112">
        <f>'WS6 - PGI summary'!O86</f>
        <v>0</v>
      </c>
      <c r="P56" s="112">
        <f>'WS6 - PGI summary'!P86</f>
        <v>0</v>
      </c>
      <c r="Q56" s="112">
        <f>'WS6 - PGI summary'!Q86</f>
        <v>0</v>
      </c>
      <c r="R56" s="111"/>
      <c r="S56" s="151"/>
      <c r="T56" s="120"/>
      <c r="U56" s="94"/>
      <c r="V56" s="31"/>
      <c r="W56" s="85"/>
      <c r="X56" s="3"/>
      <c r="Y56" s="3"/>
      <c r="Z56" s="3"/>
      <c r="AA56" s="3"/>
      <c r="AB56" s="3"/>
      <c r="AC56" s="3"/>
      <c r="AD56" s="3"/>
      <c r="AE56" s="3"/>
      <c r="AF56" s="3"/>
      <c r="AG56" s="3"/>
      <c r="AH56" s="3"/>
      <c r="AI56" s="3"/>
      <c r="AJ56" s="3"/>
    </row>
    <row r="57" spans="2:36" x14ac:dyDescent="0.2">
      <c r="B57" s="218" t="str">
        <f>'WS6 - PGI summary'!B87</f>
        <v>Adjusted Notional General income</v>
      </c>
      <c r="C57" s="3"/>
      <c r="D57" s="3" t="str">
        <f>'WS6 - PGI summary'!D87</f>
        <v>$ nominal</v>
      </c>
      <c r="E57" s="54"/>
      <c r="F57" s="3"/>
      <c r="G57" s="16"/>
      <c r="H57" s="16"/>
      <c r="I57" s="200"/>
      <c r="J57" s="111"/>
      <c r="K57" s="112">
        <f>'WS6 - PGI summary'!K87</f>
        <v>54352003.65630883</v>
      </c>
      <c r="L57" s="112">
        <f>'WS6 - PGI summary'!L87</f>
        <v>62506588.204755157</v>
      </c>
      <c r="M57" s="112">
        <f>'WS6 - PGI summary'!M87</f>
        <v>64381785.850897811</v>
      </c>
      <c r="N57" s="112">
        <f>'WS6 - PGI summary'!N87</f>
        <v>66313239.426424749</v>
      </c>
      <c r="O57" s="112">
        <f>'WS6 - PGI summary'!O87</f>
        <v>68302636.609217495</v>
      </c>
      <c r="P57" s="112">
        <f>'WS6 - PGI summary'!P87</f>
        <v>70351715.70749402</v>
      </c>
      <c r="Q57" s="112">
        <f>'WS6 - PGI summary'!Q87</f>
        <v>72462267.178718835</v>
      </c>
      <c r="R57" s="111"/>
      <c r="S57" s="151"/>
      <c r="T57" s="120"/>
      <c r="U57" s="94"/>
      <c r="V57" s="31"/>
      <c r="W57" s="85"/>
      <c r="X57" s="3"/>
      <c r="Y57" s="3"/>
      <c r="Z57" s="3"/>
      <c r="AA57" s="3"/>
      <c r="AB57" s="3"/>
      <c r="AC57" s="3"/>
      <c r="AD57" s="3"/>
      <c r="AE57" s="3"/>
      <c r="AF57" s="3"/>
      <c r="AG57" s="3"/>
      <c r="AH57" s="3"/>
      <c r="AI57" s="3"/>
      <c r="AJ57" s="3"/>
    </row>
    <row r="58" spans="2:36" x14ac:dyDescent="0.2">
      <c r="B58" s="54"/>
      <c r="C58" s="3"/>
      <c r="D58" s="3"/>
      <c r="E58" s="54"/>
      <c r="F58" s="3"/>
      <c r="G58" s="16"/>
      <c r="H58" s="16"/>
      <c r="I58" s="200"/>
      <c r="J58" s="111"/>
      <c r="K58" s="151"/>
      <c r="L58" s="151"/>
      <c r="M58" s="151"/>
      <c r="N58" s="151"/>
      <c r="O58" s="151"/>
      <c r="P58" s="151"/>
      <c r="Q58" s="151"/>
      <c r="R58" s="111"/>
      <c r="S58" s="151"/>
      <c r="T58" s="120"/>
      <c r="U58" s="94"/>
      <c r="V58" s="31"/>
      <c r="W58" s="85"/>
      <c r="X58" s="3"/>
      <c r="Y58" s="3"/>
      <c r="Z58" s="3"/>
      <c r="AA58" s="3"/>
      <c r="AB58" s="3"/>
      <c r="AC58" s="3"/>
      <c r="AD58" s="3"/>
      <c r="AE58" s="3"/>
      <c r="AF58" s="3"/>
      <c r="AG58" s="3"/>
      <c r="AH58" s="3"/>
      <c r="AI58" s="3"/>
      <c r="AJ58" s="3"/>
    </row>
    <row r="59" spans="2:36" x14ac:dyDescent="0.2">
      <c r="B59" s="493" t="str">
        <f>'WS6 - PGI summary'!B89</f>
        <v>plus: rate peg increase</v>
      </c>
      <c r="C59" s="207"/>
      <c r="D59" s="3" t="str">
        <f>'WS6 - PGI summary'!D89</f>
        <v>$ nominal</v>
      </c>
      <c r="E59" s="54"/>
      <c r="F59" s="3"/>
      <c r="G59" s="16"/>
      <c r="H59" s="16"/>
      <c r="I59" s="200"/>
      <c r="J59" s="111"/>
      <c r="K59" s="112">
        <f>'WS6 - PGI summary'!K89</f>
        <v>2717600.1828154419</v>
      </c>
      <c r="L59" s="112">
        <f>'WS6 - PGI summary'!L89</f>
        <v>1875197.6461426546</v>
      </c>
      <c r="M59" s="112">
        <f>'WS6 - PGI summary'!M89</f>
        <v>1931453.5755269343</v>
      </c>
      <c r="N59" s="112">
        <f>'WS6 - PGI summary'!N89</f>
        <v>1989397.1827927425</v>
      </c>
      <c r="O59" s="112">
        <f>'WS6 - PGI summary'!O89</f>
        <v>2049079.0982765248</v>
      </c>
      <c r="P59" s="112">
        <f>'WS6 - PGI summary'!P89</f>
        <v>2110551.4712248207</v>
      </c>
      <c r="Q59" s="112">
        <f>'WS6 - PGI summary'!Q89</f>
        <v>2173868.0153615652</v>
      </c>
      <c r="R59" s="111"/>
      <c r="S59" s="151"/>
      <c r="T59" s="120"/>
      <c r="U59" s="94"/>
      <c r="V59" s="31"/>
      <c r="W59" s="85"/>
      <c r="X59" s="3"/>
      <c r="Y59" s="3"/>
      <c r="Z59" s="3"/>
      <c r="AA59" s="3"/>
      <c r="AB59" s="3"/>
      <c r="AC59" s="3"/>
      <c r="AD59" s="3"/>
      <c r="AE59" s="3"/>
      <c r="AF59" s="3"/>
      <c r="AG59" s="3"/>
      <c r="AH59" s="3"/>
      <c r="AI59" s="3"/>
      <c r="AJ59" s="3"/>
    </row>
    <row r="60" spans="2:36" x14ac:dyDescent="0.2">
      <c r="B60" s="493" t="str">
        <f>'WS6 - PGI summary'!B90</f>
        <v>plus: na</v>
      </c>
      <c r="C60" s="207"/>
      <c r="D60" s="3" t="str">
        <f>'WS6 - PGI summary'!D90</f>
        <v>$ nominal</v>
      </c>
      <c r="E60" s="54"/>
      <c r="F60" s="3"/>
      <c r="G60" s="16"/>
      <c r="H60" s="16"/>
      <c r="I60" s="200"/>
      <c r="J60" s="111"/>
      <c r="K60" s="112">
        <f>'WS6 - PGI summary'!K90</f>
        <v>0</v>
      </c>
      <c r="L60" s="112">
        <f>'WS6 - PGI summary'!L90</f>
        <v>0</v>
      </c>
      <c r="M60" s="112">
        <f>'WS6 - PGI summary'!M90</f>
        <v>0</v>
      </c>
      <c r="N60" s="112">
        <f>'WS6 - PGI summary'!N90</f>
        <v>0</v>
      </c>
      <c r="O60" s="112">
        <f>'WS6 - PGI summary'!O90</f>
        <v>0</v>
      </c>
      <c r="P60" s="112">
        <f>'WS6 - PGI summary'!P90</f>
        <v>0</v>
      </c>
      <c r="Q60" s="112">
        <f>'WS6 - PGI summary'!Q90</f>
        <v>0</v>
      </c>
      <c r="R60" s="111"/>
      <c r="S60" s="151"/>
      <c r="T60" s="120"/>
      <c r="U60" s="94"/>
      <c r="V60" s="31"/>
      <c r="W60" s="85"/>
      <c r="X60" s="3"/>
      <c r="Y60" s="3"/>
      <c r="Z60" s="3"/>
      <c r="AA60" s="3"/>
      <c r="AB60" s="3"/>
      <c r="AC60" s="3"/>
      <c r="AD60" s="3"/>
      <c r="AE60" s="3"/>
      <c r="AF60" s="3"/>
      <c r="AG60" s="3"/>
      <c r="AH60" s="3"/>
      <c r="AI60" s="3"/>
      <c r="AJ60" s="3"/>
    </row>
    <row r="61" spans="2:36" x14ac:dyDescent="0.2">
      <c r="B61" s="493" t="str">
        <f>'WS6 - PGI summary'!B91</f>
        <v>plus: additional increase</v>
      </c>
      <c r="C61" s="207"/>
      <c r="D61" s="3" t="str">
        <f>'WS6 - PGI summary'!D91</f>
        <v>$ nominal</v>
      </c>
      <c r="E61" s="54"/>
      <c r="F61" s="3"/>
      <c r="G61" s="16"/>
      <c r="H61" s="16"/>
      <c r="I61" s="200"/>
      <c r="J61" s="111"/>
      <c r="K61" s="112">
        <f>'WS6 - PGI summary'!K91</f>
        <v>5435200.3656308837</v>
      </c>
      <c r="L61" s="112">
        <f>'WS6 - PGI summary'!L91</f>
        <v>0</v>
      </c>
      <c r="M61" s="112">
        <f>'WS6 - PGI summary'!M91</f>
        <v>0</v>
      </c>
      <c r="N61" s="112">
        <f>'WS6 - PGI summary'!N91</f>
        <v>0</v>
      </c>
      <c r="O61" s="112">
        <f>'WS6 - PGI summary'!O91</f>
        <v>0</v>
      </c>
      <c r="P61" s="112">
        <f>'WS6 - PGI summary'!P91</f>
        <v>0</v>
      </c>
      <c r="Q61" s="112">
        <f>'WS6 - PGI summary'!Q91</f>
        <v>0</v>
      </c>
      <c r="R61" s="111"/>
      <c r="S61" s="151"/>
      <c r="T61" s="120"/>
      <c r="U61" s="94"/>
      <c r="V61" s="31"/>
      <c r="W61" s="85"/>
      <c r="X61" s="3"/>
      <c r="Y61" s="3"/>
      <c r="Z61" s="3"/>
      <c r="AA61" s="3"/>
      <c r="AB61" s="3"/>
      <c r="AC61" s="3"/>
      <c r="AD61" s="3"/>
      <c r="AE61" s="3"/>
      <c r="AF61" s="3"/>
      <c r="AG61" s="3"/>
      <c r="AH61" s="3"/>
      <c r="AI61" s="3"/>
      <c r="AJ61" s="3"/>
    </row>
    <row r="62" spans="2:36" x14ac:dyDescent="0.2">
      <c r="B62" s="493" t="str">
        <f>'WS6 - PGI summary'!B92</f>
        <v>plus: na</v>
      </c>
      <c r="C62" s="207"/>
      <c r="D62" s="3" t="str">
        <f>'WS6 - PGI summary'!D92</f>
        <v>$ nominal</v>
      </c>
      <c r="E62" s="54"/>
      <c r="F62" s="3"/>
      <c r="G62" s="16"/>
      <c r="H62" s="16"/>
      <c r="I62" s="200"/>
      <c r="J62" s="111"/>
      <c r="K62" s="112">
        <f>'WS6 - PGI summary'!K92</f>
        <v>0</v>
      </c>
      <c r="L62" s="112">
        <f>'WS6 - PGI summary'!L92</f>
        <v>0</v>
      </c>
      <c r="M62" s="112">
        <f>'WS6 - PGI summary'!M92</f>
        <v>0</v>
      </c>
      <c r="N62" s="112">
        <f>'WS6 - PGI summary'!N92</f>
        <v>0</v>
      </c>
      <c r="O62" s="112">
        <f>'WS6 - PGI summary'!O92</f>
        <v>0</v>
      </c>
      <c r="P62" s="112">
        <f>'WS6 - PGI summary'!P92</f>
        <v>0</v>
      </c>
      <c r="Q62" s="112">
        <f>'WS6 - PGI summary'!Q92</f>
        <v>0</v>
      </c>
      <c r="R62" s="111"/>
      <c r="S62" s="151"/>
      <c r="T62" s="120"/>
      <c r="U62" s="94"/>
      <c r="V62" s="31"/>
      <c r="W62" s="85"/>
      <c r="X62" s="3"/>
      <c r="Y62" s="3"/>
      <c r="Z62" s="3"/>
      <c r="AA62" s="3"/>
      <c r="AB62" s="3"/>
      <c r="AC62" s="3"/>
      <c r="AD62" s="3"/>
      <c r="AE62" s="3"/>
      <c r="AF62" s="3"/>
      <c r="AG62" s="3"/>
      <c r="AH62" s="3"/>
      <c r="AI62" s="3"/>
      <c r="AJ62" s="3"/>
    </row>
    <row r="63" spans="2:36" x14ac:dyDescent="0.2">
      <c r="B63" s="493" t="str">
        <f>'WS6 - PGI summary'!B93</f>
        <v>plus: crown land adjustment</v>
      </c>
      <c r="C63" s="207"/>
      <c r="D63" s="3" t="str">
        <f>'WS6 - PGI summary'!D93</f>
        <v>$ nominal</v>
      </c>
      <c r="E63" s="54"/>
      <c r="F63" s="3"/>
      <c r="G63" s="16"/>
      <c r="H63" s="16"/>
      <c r="I63" s="200"/>
      <c r="J63" s="111"/>
      <c r="K63" s="112">
        <f>'WS6 - PGI summary'!K93</f>
        <v>0</v>
      </c>
      <c r="L63" s="112">
        <f>'WS6 - PGI summary'!L93</f>
        <v>0</v>
      </c>
      <c r="M63" s="112">
        <f>'WS6 - PGI summary'!M93</f>
        <v>0</v>
      </c>
      <c r="N63" s="112">
        <f>'WS6 - PGI summary'!N93</f>
        <v>0</v>
      </c>
      <c r="O63" s="112">
        <f>'WS6 - PGI summary'!O93</f>
        <v>0</v>
      </c>
      <c r="P63" s="112">
        <f>'WS6 - PGI summary'!P93</f>
        <v>0</v>
      </c>
      <c r="Q63" s="112">
        <f>'WS6 - PGI summary'!Q93</f>
        <v>0</v>
      </c>
      <c r="R63" s="111"/>
      <c r="S63" s="151"/>
      <c r="T63" s="120"/>
      <c r="U63" s="94"/>
      <c r="V63" s="31"/>
      <c r="W63" s="85"/>
      <c r="X63" s="3"/>
      <c r="Y63" s="3"/>
      <c r="Z63" s="3"/>
      <c r="AA63" s="3"/>
      <c r="AB63" s="3"/>
      <c r="AC63" s="3"/>
      <c r="AD63" s="3"/>
      <c r="AE63" s="3"/>
      <c r="AF63" s="3"/>
      <c r="AG63" s="3"/>
      <c r="AH63" s="3"/>
      <c r="AI63" s="3"/>
      <c r="AJ63" s="3"/>
    </row>
    <row r="64" spans="2:36" x14ac:dyDescent="0.2">
      <c r="B64" s="219" t="str">
        <f>'WS6 - PGI summary'!B94</f>
        <v>Total proposed SV</v>
      </c>
      <c r="C64" s="3"/>
      <c r="D64" s="3" t="str">
        <f>'WS6 - PGI summary'!D94</f>
        <v>$ nominal</v>
      </c>
      <c r="E64" s="54"/>
      <c r="F64" s="3"/>
      <c r="G64" s="16"/>
      <c r="H64" s="16"/>
      <c r="I64" s="200"/>
      <c r="J64" s="111"/>
      <c r="K64" s="118">
        <f>'WS6 - PGI summary'!K94</f>
        <v>8152800.5484463256</v>
      </c>
      <c r="L64" s="118">
        <f>'WS6 - PGI summary'!L94</f>
        <v>1875197.6461426546</v>
      </c>
      <c r="M64" s="118">
        <f>'WS6 - PGI summary'!M94</f>
        <v>1931453.5755269343</v>
      </c>
      <c r="N64" s="118">
        <f>'WS6 - PGI summary'!N94</f>
        <v>1989397.1827927425</v>
      </c>
      <c r="O64" s="118">
        <f>'WS6 - PGI summary'!O94</f>
        <v>2049079.0982765248</v>
      </c>
      <c r="P64" s="118">
        <f>'WS6 - PGI summary'!P94</f>
        <v>2110551.4712248207</v>
      </c>
      <c r="Q64" s="118">
        <f>'WS6 - PGI summary'!Q94</f>
        <v>2173868.0153615652</v>
      </c>
      <c r="R64" s="111"/>
      <c r="S64" s="151"/>
      <c r="T64" s="120"/>
      <c r="U64" s="94"/>
      <c r="V64" s="31"/>
      <c r="W64" s="85"/>
      <c r="X64" s="3"/>
      <c r="Y64" s="3"/>
      <c r="Z64" s="3"/>
      <c r="AA64" s="3"/>
      <c r="AB64" s="3"/>
      <c r="AC64" s="3"/>
      <c r="AD64" s="3"/>
      <c r="AE64" s="3"/>
      <c r="AF64" s="3"/>
      <c r="AG64" s="3"/>
      <c r="AH64" s="3"/>
      <c r="AI64" s="3"/>
      <c r="AJ64" s="3"/>
    </row>
    <row r="65" spans="2:36" x14ac:dyDescent="0.2">
      <c r="B65" s="185"/>
      <c r="C65" s="3"/>
      <c r="D65" s="3"/>
      <c r="E65" s="54"/>
      <c r="F65" s="3"/>
      <c r="G65" s="16"/>
      <c r="H65" s="16"/>
      <c r="I65" s="200"/>
      <c r="J65" s="111"/>
      <c r="K65" s="151"/>
      <c r="L65" s="151"/>
      <c r="M65" s="151"/>
      <c r="N65" s="151"/>
      <c r="O65" s="151"/>
      <c r="P65" s="151"/>
      <c r="Q65" s="151"/>
      <c r="R65" s="111"/>
      <c r="S65" s="151"/>
      <c r="T65" s="120"/>
      <c r="U65" s="94"/>
      <c r="V65" s="31"/>
      <c r="W65" s="85"/>
      <c r="X65" s="3"/>
      <c r="Y65" s="3"/>
      <c r="Z65" s="3"/>
      <c r="AA65" s="3"/>
      <c r="AB65" s="3"/>
      <c r="AC65" s="3"/>
      <c r="AD65" s="3"/>
      <c r="AE65" s="3"/>
      <c r="AF65" s="3"/>
      <c r="AG65" s="3"/>
      <c r="AH65" s="3"/>
      <c r="AI65" s="3"/>
      <c r="AJ65" s="3"/>
    </row>
    <row r="66" spans="2:36" x14ac:dyDescent="0.2">
      <c r="B66" s="218" t="str">
        <f>'WS6 - PGI summary'!B96</f>
        <v>Notional General Income after SV applied</v>
      </c>
      <c r="C66" s="3"/>
      <c r="D66" s="3" t="str">
        <f>'WS6 - PGI summary'!D96</f>
        <v>$ nominal</v>
      </c>
      <c r="E66" s="54"/>
      <c r="F66" s="3"/>
      <c r="G66" s="16"/>
      <c r="H66" s="16"/>
      <c r="I66" s="200"/>
      <c r="J66" s="111"/>
      <c r="K66" s="112">
        <f>'WS6 - PGI summary'!K96</f>
        <v>62504804.204755157</v>
      </c>
      <c r="L66" s="112">
        <f>'WS6 - PGI summary'!L96</f>
        <v>64381785.850897811</v>
      </c>
      <c r="M66" s="112">
        <f>'WS6 - PGI summary'!M96</f>
        <v>66313239.426424749</v>
      </c>
      <c r="N66" s="112">
        <f>'WS6 - PGI summary'!N96</f>
        <v>68302636.609217495</v>
      </c>
      <c r="O66" s="112">
        <f>'WS6 - PGI summary'!O96</f>
        <v>70351715.70749402</v>
      </c>
      <c r="P66" s="112">
        <f>'WS6 - PGI summary'!P96</f>
        <v>72462267.178718835</v>
      </c>
      <c r="Q66" s="112">
        <f>'WS6 - PGI summary'!Q96</f>
        <v>74636135.194080397</v>
      </c>
      <c r="R66" s="111"/>
      <c r="S66" s="151"/>
      <c r="T66" s="120"/>
      <c r="U66" s="94"/>
      <c r="V66" s="31"/>
      <c r="W66" s="85"/>
      <c r="X66" s="3"/>
      <c r="Y66" s="3"/>
      <c r="Z66" s="3"/>
      <c r="AA66" s="3"/>
      <c r="AB66" s="3"/>
      <c r="AC66" s="3"/>
      <c r="AD66" s="3"/>
      <c r="AE66" s="3"/>
      <c r="AF66" s="3"/>
      <c r="AG66" s="3"/>
      <c r="AH66" s="3"/>
      <c r="AI66" s="3"/>
      <c r="AJ66" s="3"/>
    </row>
    <row r="67" spans="2:36" x14ac:dyDescent="0.2">
      <c r="B67" s="493" t="str">
        <f>'WS6 - PGI summary'!B97</f>
        <v>plus: other 1st-year adjustments</v>
      </c>
      <c r="C67" s="207"/>
      <c r="D67" s="3" t="str">
        <f>'WS6 - PGI summary'!D97</f>
        <v>$ nominal</v>
      </c>
      <c r="E67" s="54"/>
      <c r="F67" s="3"/>
      <c r="G67" s="16"/>
      <c r="H67" s="16"/>
      <c r="I67" s="200"/>
      <c r="J67" s="111"/>
      <c r="K67" s="112">
        <f>'WS6 - PGI summary'!K97</f>
        <v>1784</v>
      </c>
      <c r="L67" s="112">
        <f>'WS6 - PGI summary'!L97</f>
        <v>0</v>
      </c>
      <c r="M67" s="112">
        <f>'WS6 - PGI summary'!M97</f>
        <v>0</v>
      </c>
      <c r="N67" s="112">
        <f>'WS6 - PGI summary'!N97</f>
        <v>0</v>
      </c>
      <c r="O67" s="112">
        <f>'WS6 - PGI summary'!O97</f>
        <v>0</v>
      </c>
      <c r="P67" s="112">
        <f>'WS6 - PGI summary'!P97</f>
        <v>0</v>
      </c>
      <c r="Q67" s="112">
        <f>'WS6 - PGI summary'!Q97</f>
        <v>0</v>
      </c>
      <c r="R67" s="111"/>
      <c r="S67" s="151"/>
      <c r="T67" s="120"/>
      <c r="U67" s="94"/>
      <c r="V67" s="31"/>
      <c r="W67" s="85"/>
      <c r="X67" s="3"/>
      <c r="Y67" s="3"/>
      <c r="Z67" s="3"/>
      <c r="AA67" s="3"/>
      <c r="AB67" s="3"/>
      <c r="AC67" s="3"/>
      <c r="AD67" s="3"/>
      <c r="AE67" s="3"/>
      <c r="AF67" s="3"/>
      <c r="AG67" s="3"/>
      <c r="AH67" s="3"/>
      <c r="AI67" s="3"/>
      <c r="AJ67" s="3"/>
    </row>
    <row r="68" spans="2:36" x14ac:dyDescent="0.2">
      <c r="B68" s="219" t="str">
        <f>'WS6 - PGI summary'!B98</f>
        <v>PGI with proposed SV</v>
      </c>
      <c r="C68" s="3"/>
      <c r="D68" s="3" t="str">
        <f>'WS6 - PGI summary'!D98</f>
        <v>$ nominal</v>
      </c>
      <c r="E68" s="54"/>
      <c r="F68" s="3"/>
      <c r="G68" s="16"/>
      <c r="H68" s="16"/>
      <c r="I68" s="200"/>
      <c r="J68" s="113">
        <f>'WS6 - PGI summary'!J98</f>
        <v>54352003.65630883</v>
      </c>
      <c r="K68" s="118">
        <f>'WS6 - PGI summary'!K98</f>
        <v>62506588.204755157</v>
      </c>
      <c r="L68" s="118">
        <f>'WS6 - PGI summary'!L98</f>
        <v>64381785.850897811</v>
      </c>
      <c r="M68" s="118">
        <f>'WS6 - PGI summary'!M98</f>
        <v>66313239.426424749</v>
      </c>
      <c r="N68" s="118">
        <f>'WS6 - PGI summary'!N98</f>
        <v>68302636.609217495</v>
      </c>
      <c r="O68" s="118">
        <f>'WS6 - PGI summary'!O98</f>
        <v>70351715.70749402</v>
      </c>
      <c r="P68" s="118">
        <f>'WS6 - PGI summary'!P98</f>
        <v>72462267.178718835</v>
      </c>
      <c r="Q68" s="118">
        <f>'WS6 - PGI summary'!Q98</f>
        <v>74636135.194080397</v>
      </c>
      <c r="R68" s="111"/>
      <c r="S68" s="151"/>
      <c r="T68" s="120"/>
      <c r="U68" s="220">
        <f>'WS6 - PGI summary'!R98</f>
        <v>8154584.5484463274</v>
      </c>
      <c r="V68" s="221">
        <f>'WS6 - PGI summary'!S98</f>
        <v>0.15003282307697954</v>
      </c>
      <c r="W68" s="85"/>
      <c r="X68" s="3"/>
      <c r="Y68" s="3"/>
      <c r="Z68" s="3"/>
      <c r="AA68" s="3"/>
      <c r="AB68" s="3"/>
      <c r="AC68" s="3"/>
      <c r="AD68" s="3"/>
      <c r="AE68" s="3"/>
      <c r="AF68" s="3"/>
      <c r="AG68" s="3"/>
      <c r="AH68" s="3"/>
      <c r="AI68" s="3"/>
      <c r="AJ68" s="3"/>
    </row>
    <row r="69" spans="2:36" x14ac:dyDescent="0.2">
      <c r="B69" s="158" t="s">
        <v>77</v>
      </c>
      <c r="C69" s="3"/>
      <c r="D69" s="3"/>
      <c r="E69" s="54"/>
      <c r="F69" s="3"/>
      <c r="G69" s="16"/>
      <c r="H69" s="16"/>
      <c r="I69" s="200"/>
      <c r="J69" s="111"/>
      <c r="K69" s="222">
        <f>K55-K56+SUM(K59:K63)+K67-K68</f>
        <v>0</v>
      </c>
      <c r="L69" s="222">
        <f t="shared" ref="L69:Q69" si="1">L55-L56+SUM(L59:L63)+L67-L68</f>
        <v>0</v>
      </c>
      <c r="M69" s="222">
        <f t="shared" si="1"/>
        <v>0</v>
      </c>
      <c r="N69" s="222">
        <f t="shared" si="1"/>
        <v>0</v>
      </c>
      <c r="O69" s="222">
        <f t="shared" si="1"/>
        <v>0</v>
      </c>
      <c r="P69" s="222">
        <f t="shared" si="1"/>
        <v>0</v>
      </c>
      <c r="Q69" s="222">
        <f t="shared" si="1"/>
        <v>0</v>
      </c>
      <c r="R69" s="111"/>
      <c r="S69" s="151"/>
      <c r="T69" s="120"/>
      <c r="U69" s="281">
        <f>INDEX(J68:Q68,1,$E$9+1)-J68-U68</f>
        <v>0</v>
      </c>
      <c r="V69" s="188"/>
      <c r="W69" s="85"/>
      <c r="X69" s="85"/>
      <c r="Y69" s="85"/>
      <c r="Z69" s="85"/>
      <c r="AA69" s="85"/>
      <c r="AB69" s="85"/>
      <c r="AC69" s="85"/>
      <c r="AD69" s="85"/>
      <c r="AE69" s="85"/>
      <c r="AF69" s="85"/>
      <c r="AG69" s="85"/>
      <c r="AH69" s="85"/>
      <c r="AI69" s="85"/>
      <c r="AJ69" s="85"/>
    </row>
    <row r="70" spans="2:36" x14ac:dyDescent="0.2">
      <c r="B70" s="321"/>
      <c r="C70" s="322"/>
      <c r="D70" s="322"/>
      <c r="E70" s="546"/>
      <c r="F70" s="322"/>
      <c r="G70" s="323"/>
      <c r="H70" s="323"/>
      <c r="I70" s="324"/>
      <c r="J70" s="325"/>
      <c r="K70" s="326"/>
      <c r="L70" s="326"/>
      <c r="M70" s="326"/>
      <c r="N70" s="326"/>
      <c r="O70" s="326"/>
      <c r="P70" s="326"/>
      <c r="Q70" s="326"/>
      <c r="R70" s="325"/>
      <c r="S70" s="327"/>
      <c r="T70" s="328"/>
      <c r="U70" s="329"/>
      <c r="V70" s="330"/>
      <c r="W70" s="85"/>
      <c r="X70" s="85"/>
      <c r="Y70" s="85"/>
      <c r="Z70" s="85"/>
      <c r="AA70" s="85"/>
      <c r="AB70" s="85"/>
      <c r="AC70" s="85"/>
      <c r="AD70" s="85"/>
      <c r="AE70" s="85"/>
      <c r="AF70" s="85"/>
      <c r="AG70" s="85"/>
      <c r="AH70" s="85"/>
      <c r="AI70" s="85"/>
      <c r="AJ70" s="85"/>
    </row>
    <row r="71" spans="2:36" x14ac:dyDescent="0.2">
      <c r="B71" s="217" t="str">
        <f>'WS6 - PGI summary'!B101</f>
        <v>PGI if only the rate peg applied</v>
      </c>
      <c r="C71" s="3"/>
      <c r="D71" s="3"/>
      <c r="E71" s="54"/>
      <c r="F71" s="3"/>
      <c r="G71" s="16"/>
      <c r="H71" s="16"/>
      <c r="I71" s="200"/>
      <c r="J71" s="111"/>
      <c r="K71" s="151"/>
      <c r="L71" s="151"/>
      <c r="M71" s="151"/>
      <c r="N71" s="151"/>
      <c r="O71" s="151"/>
      <c r="P71" s="151"/>
      <c r="Q71" s="151"/>
      <c r="R71" s="111"/>
      <c r="S71" s="151"/>
      <c r="T71" s="120"/>
      <c r="U71" s="54"/>
      <c r="V71" s="188"/>
      <c r="W71" s="85"/>
      <c r="X71" s="85"/>
      <c r="Y71" s="85"/>
      <c r="Z71" s="85"/>
      <c r="AA71" s="85"/>
      <c r="AB71" s="85"/>
      <c r="AC71" s="85"/>
      <c r="AD71" s="85"/>
      <c r="AE71" s="85"/>
      <c r="AF71" s="85"/>
      <c r="AG71" s="85"/>
      <c r="AH71" s="85"/>
      <c r="AI71" s="85"/>
      <c r="AJ71" s="85"/>
    </row>
    <row r="72" spans="2:36" x14ac:dyDescent="0.2">
      <c r="B72" s="218" t="str">
        <f>'WS6 - PGI summary'!B102</f>
        <v>Prior year Notional General Income (NGI)</v>
      </c>
      <c r="C72" s="3"/>
      <c r="D72" s="3" t="str">
        <f>'WS6 - PGI summary'!D102</f>
        <v>$ nominal</v>
      </c>
      <c r="E72" s="54"/>
      <c r="F72" s="3"/>
      <c r="G72" s="16"/>
      <c r="H72" s="16"/>
      <c r="I72" s="200"/>
      <c r="J72" s="111"/>
      <c r="K72" s="112">
        <f>'WS6 - PGI summary'!K102</f>
        <v>54352003.65630883</v>
      </c>
      <c r="L72" s="112">
        <f>'WS6 - PGI summary'!L102</f>
        <v>57071387.83912427</v>
      </c>
      <c r="M72" s="112">
        <f>'WS6 - PGI summary'!M102</f>
        <v>58783529.474298</v>
      </c>
      <c r="N72" s="112">
        <f>'WS6 - PGI summary'!N102</f>
        <v>60547035.358526938</v>
      </c>
      <c r="O72" s="112">
        <f>'WS6 - PGI summary'!O102</f>
        <v>62363446.419282749</v>
      </c>
      <c r="P72" s="112">
        <f>'WS6 - PGI summary'!P102</f>
        <v>64234349.811861232</v>
      </c>
      <c r="Q72" s="112">
        <f>'WS6 - PGI summary'!Q102</f>
        <v>66161380.306217067</v>
      </c>
      <c r="R72" s="111"/>
      <c r="S72" s="151"/>
      <c r="T72" s="120"/>
      <c r="U72" s="187"/>
      <c r="V72" s="189"/>
      <c r="W72" s="85"/>
      <c r="X72" s="3"/>
      <c r="Y72" s="3"/>
      <c r="Z72" s="3"/>
      <c r="AA72" s="3"/>
      <c r="AB72" s="3"/>
      <c r="AC72" s="3"/>
      <c r="AD72" s="3"/>
      <c r="AE72" s="3"/>
      <c r="AF72" s="3"/>
      <c r="AG72" s="3"/>
      <c r="AH72" s="3"/>
      <c r="AI72" s="3"/>
      <c r="AJ72" s="3"/>
    </row>
    <row r="73" spans="2:36" x14ac:dyDescent="0.2">
      <c r="B73" s="493" t="str">
        <f>'WS6 - PGI summary'!B103</f>
        <v>less: expiry of a prior special variation</v>
      </c>
      <c r="C73" s="207"/>
      <c r="D73" s="3" t="str">
        <f>'WS6 - PGI summary'!D103</f>
        <v>$ nominal</v>
      </c>
      <c r="E73" s="54"/>
      <c r="F73" s="3"/>
      <c r="G73" s="16"/>
      <c r="H73" s="16"/>
      <c r="I73" s="200"/>
      <c r="J73" s="111"/>
      <c r="K73" s="112">
        <f>'WS6 - PGI summary'!K103</f>
        <v>0</v>
      </c>
      <c r="L73" s="112">
        <f>'WS6 - PGI summary'!L103</f>
        <v>0</v>
      </c>
      <c r="M73" s="112">
        <f>'WS6 - PGI summary'!M103</f>
        <v>0</v>
      </c>
      <c r="N73" s="112">
        <f>'WS6 - PGI summary'!N103</f>
        <v>0</v>
      </c>
      <c r="O73" s="112">
        <f>'WS6 - PGI summary'!O103</f>
        <v>0</v>
      </c>
      <c r="P73" s="112">
        <f>'WS6 - PGI summary'!P103</f>
        <v>0</v>
      </c>
      <c r="Q73" s="112">
        <f>'WS6 - PGI summary'!Q103</f>
        <v>0</v>
      </c>
      <c r="R73" s="111"/>
      <c r="S73" s="151"/>
      <c r="T73" s="120"/>
      <c r="U73" s="187"/>
      <c r="V73" s="189"/>
      <c r="W73" s="85"/>
      <c r="X73" s="3"/>
      <c r="Y73" s="3"/>
      <c r="Z73" s="3"/>
      <c r="AA73" s="3"/>
      <c r="AB73" s="3"/>
      <c r="AC73" s="3"/>
      <c r="AD73" s="3"/>
      <c r="AE73" s="3"/>
      <c r="AF73" s="3"/>
      <c r="AG73" s="3"/>
      <c r="AH73" s="3"/>
      <c r="AI73" s="3"/>
      <c r="AJ73" s="3"/>
    </row>
    <row r="74" spans="2:36" x14ac:dyDescent="0.2">
      <c r="B74" s="218" t="str">
        <f>'WS6 - PGI summary'!B104</f>
        <v>Adjusted Notional General income</v>
      </c>
      <c r="C74" s="3"/>
      <c r="D74" s="3" t="str">
        <f>'WS6 - PGI summary'!D104</f>
        <v>$ nominal</v>
      </c>
      <c r="E74" s="54"/>
      <c r="F74" s="3"/>
      <c r="G74" s="16"/>
      <c r="H74" s="16"/>
      <c r="I74" s="200"/>
      <c r="J74" s="111"/>
      <c r="K74" s="112">
        <f>'WS6 - PGI summary'!K104</f>
        <v>54352003.65630883</v>
      </c>
      <c r="L74" s="112">
        <f>'WS6 - PGI summary'!L104</f>
        <v>57071387.83912427</v>
      </c>
      <c r="M74" s="112">
        <f>'WS6 - PGI summary'!M104</f>
        <v>58783529.474298</v>
      </c>
      <c r="N74" s="112">
        <f>'WS6 - PGI summary'!N104</f>
        <v>60547035.358526938</v>
      </c>
      <c r="O74" s="112">
        <f>'WS6 - PGI summary'!O104</f>
        <v>62363446.419282749</v>
      </c>
      <c r="P74" s="112">
        <f>'WS6 - PGI summary'!P104</f>
        <v>64234349.811861232</v>
      </c>
      <c r="Q74" s="112">
        <f>'WS6 - PGI summary'!Q104</f>
        <v>66161380.306217067</v>
      </c>
      <c r="R74" s="111"/>
      <c r="S74" s="151"/>
      <c r="T74" s="120"/>
      <c r="U74" s="187"/>
      <c r="V74" s="189"/>
      <c r="W74" s="85"/>
      <c r="X74" s="3"/>
      <c r="Y74" s="3"/>
      <c r="Z74" s="3"/>
      <c r="AA74" s="3"/>
      <c r="AB74" s="3"/>
      <c r="AC74" s="3"/>
      <c r="AD74" s="3"/>
      <c r="AE74" s="3"/>
      <c r="AF74" s="3"/>
      <c r="AG74" s="3"/>
      <c r="AH74" s="3"/>
      <c r="AI74" s="3"/>
      <c r="AJ74" s="3"/>
    </row>
    <row r="75" spans="2:36" x14ac:dyDescent="0.2">
      <c r="B75" s="493" t="str">
        <f>'WS6 - PGI summary'!B105</f>
        <v>plus: rate peg increase</v>
      </c>
      <c r="C75" s="207"/>
      <c r="D75" s="3" t="str">
        <f>'WS6 - PGI summary'!D105</f>
        <v>$ nominal</v>
      </c>
      <c r="E75" s="54"/>
      <c r="F75" s="3"/>
      <c r="G75" s="16"/>
      <c r="H75" s="16"/>
      <c r="I75" s="200"/>
      <c r="J75" s="111"/>
      <c r="K75" s="112">
        <f>'WS6 - PGI summary'!K105</f>
        <v>2717600.1828154419</v>
      </c>
      <c r="L75" s="112">
        <f>'WS6 - PGI summary'!L105</f>
        <v>1712141.635173728</v>
      </c>
      <c r="M75" s="112">
        <f>'WS6 - PGI summary'!M105</f>
        <v>1763505.8842289399</v>
      </c>
      <c r="N75" s="112">
        <f>'WS6 - PGI summary'!N105</f>
        <v>1816411.0607558081</v>
      </c>
      <c r="O75" s="112">
        <f>'WS6 - PGI summary'!O105</f>
        <v>1870903.3925784824</v>
      </c>
      <c r="P75" s="112">
        <f>'WS6 - PGI summary'!P105</f>
        <v>1927030.4943558369</v>
      </c>
      <c r="Q75" s="112">
        <f>'WS6 - PGI summary'!Q105</f>
        <v>1984841.409186512</v>
      </c>
      <c r="R75" s="111"/>
      <c r="S75" s="151"/>
      <c r="T75" s="120"/>
      <c r="U75" s="187"/>
      <c r="V75" s="189"/>
      <c r="W75" s="85"/>
      <c r="X75" s="3"/>
      <c r="Y75" s="3"/>
      <c r="Z75" s="3"/>
      <c r="AA75" s="3"/>
      <c r="AB75" s="3"/>
      <c r="AC75" s="3"/>
      <c r="AD75" s="3"/>
      <c r="AE75" s="3"/>
      <c r="AF75" s="3"/>
      <c r="AG75" s="3"/>
      <c r="AH75" s="3"/>
      <c r="AI75" s="3"/>
      <c r="AJ75" s="3"/>
    </row>
    <row r="76" spans="2:36" x14ac:dyDescent="0.2">
      <c r="B76" s="493" t="str">
        <f>'WS6 - PGI summary'!B106</f>
        <v>plus: na</v>
      </c>
      <c r="C76" s="207"/>
      <c r="D76" s="3" t="str">
        <f>'WS6 - PGI summary'!D106</f>
        <v>$ nominal</v>
      </c>
      <c r="E76" s="54"/>
      <c r="F76" s="3"/>
      <c r="G76" s="16"/>
      <c r="H76" s="16"/>
      <c r="I76" s="200"/>
      <c r="J76" s="111"/>
      <c r="K76" s="112">
        <f>'WS6 - PGI summary'!K106</f>
        <v>0</v>
      </c>
      <c r="L76" s="112">
        <f>'WS6 - PGI summary'!L106</f>
        <v>0</v>
      </c>
      <c r="M76" s="112">
        <f>'WS6 - PGI summary'!M106</f>
        <v>0</v>
      </c>
      <c r="N76" s="112">
        <f>'WS6 - PGI summary'!N106</f>
        <v>0</v>
      </c>
      <c r="O76" s="112">
        <f>'WS6 - PGI summary'!O106</f>
        <v>0</v>
      </c>
      <c r="P76" s="112">
        <f>'WS6 - PGI summary'!P106</f>
        <v>0</v>
      </c>
      <c r="Q76" s="112">
        <f>'WS6 - PGI summary'!Q106</f>
        <v>0</v>
      </c>
      <c r="R76" s="111"/>
      <c r="S76" s="151"/>
      <c r="T76" s="120"/>
      <c r="U76" s="187"/>
      <c r="V76" s="189"/>
      <c r="W76" s="85"/>
      <c r="X76" s="3"/>
      <c r="Y76" s="3"/>
      <c r="Z76" s="3"/>
      <c r="AA76" s="3"/>
      <c r="AB76" s="3"/>
      <c r="AC76" s="3"/>
      <c r="AD76" s="3"/>
      <c r="AE76" s="3"/>
      <c r="AF76" s="3"/>
      <c r="AG76" s="3"/>
      <c r="AH76" s="3"/>
      <c r="AI76" s="3"/>
      <c r="AJ76" s="3"/>
    </row>
    <row r="77" spans="2:36" x14ac:dyDescent="0.2">
      <c r="B77" s="493" t="str">
        <f>'WS6 - PGI summary'!B107</f>
        <v>plus: crown land adjustment</v>
      </c>
      <c r="C77" s="207"/>
      <c r="D77" s="3" t="str">
        <f>'WS6 - PGI summary'!D107</f>
        <v>$ nominal</v>
      </c>
      <c r="E77" s="54"/>
      <c r="F77" s="3"/>
      <c r="G77" s="16"/>
      <c r="H77" s="16"/>
      <c r="I77" s="200"/>
      <c r="J77" s="111"/>
      <c r="K77" s="112">
        <f>'WS6 - PGI summary'!K107</f>
        <v>0</v>
      </c>
      <c r="L77" s="112">
        <f>'WS6 - PGI summary'!L107</f>
        <v>0</v>
      </c>
      <c r="M77" s="112">
        <f>'WS6 - PGI summary'!M107</f>
        <v>0</v>
      </c>
      <c r="N77" s="112">
        <f>'WS6 - PGI summary'!N107</f>
        <v>0</v>
      </c>
      <c r="O77" s="112">
        <f>'WS6 - PGI summary'!O107</f>
        <v>0</v>
      </c>
      <c r="P77" s="112">
        <f>'WS6 - PGI summary'!P107</f>
        <v>0</v>
      </c>
      <c r="Q77" s="112">
        <f>'WS6 - PGI summary'!Q107</f>
        <v>0</v>
      </c>
      <c r="R77" s="111"/>
      <c r="S77" s="151"/>
      <c r="T77" s="120"/>
      <c r="U77" s="187"/>
      <c r="V77" s="189"/>
      <c r="W77" s="85"/>
      <c r="X77" s="3"/>
      <c r="Y77" s="3"/>
      <c r="Z77" s="3"/>
      <c r="AA77" s="3"/>
      <c r="AB77" s="3"/>
      <c r="AC77" s="3"/>
      <c r="AD77" s="3"/>
      <c r="AE77" s="3"/>
      <c r="AF77" s="3"/>
      <c r="AG77" s="3"/>
      <c r="AH77" s="3"/>
      <c r="AI77" s="3"/>
      <c r="AJ77" s="3"/>
    </row>
    <row r="78" spans="2:36" x14ac:dyDescent="0.2">
      <c r="B78" s="493" t="str">
        <f>'WS6 - PGI summary'!B108</f>
        <v>plus: other 1st-year adjustments</v>
      </c>
      <c r="C78" s="207"/>
      <c r="D78" s="3" t="str">
        <f>'WS6 - PGI summary'!D108</f>
        <v>$ nominal</v>
      </c>
      <c r="E78" s="54"/>
      <c r="F78" s="3"/>
      <c r="G78" s="16"/>
      <c r="H78" s="16"/>
      <c r="I78" s="200"/>
      <c r="J78" s="111"/>
      <c r="K78" s="112">
        <f>'WS6 - PGI summary'!K108</f>
        <v>1784</v>
      </c>
      <c r="L78" s="112">
        <f>'WS6 - PGI summary'!L108</f>
        <v>0</v>
      </c>
      <c r="M78" s="112">
        <f>'WS6 - PGI summary'!M108</f>
        <v>0</v>
      </c>
      <c r="N78" s="112">
        <f>'WS6 - PGI summary'!N108</f>
        <v>0</v>
      </c>
      <c r="O78" s="112">
        <f>'WS6 - PGI summary'!O108</f>
        <v>0</v>
      </c>
      <c r="P78" s="112">
        <f>'WS6 - PGI summary'!P108</f>
        <v>0</v>
      </c>
      <c r="Q78" s="112">
        <f>'WS6 - PGI summary'!Q108</f>
        <v>0</v>
      </c>
      <c r="R78" s="111"/>
      <c r="S78" s="151"/>
      <c r="T78" s="120"/>
      <c r="U78" s="187"/>
      <c r="V78" s="189"/>
      <c r="W78" s="85"/>
      <c r="X78" s="3"/>
      <c r="Y78" s="3"/>
      <c r="Z78" s="3"/>
      <c r="AA78" s="3"/>
      <c r="AB78" s="3"/>
      <c r="AC78" s="3"/>
      <c r="AD78" s="3"/>
      <c r="AE78" s="3"/>
      <c r="AF78" s="3"/>
      <c r="AG78" s="3"/>
      <c r="AH78" s="3"/>
      <c r="AI78" s="3"/>
      <c r="AJ78" s="3"/>
    </row>
    <row r="79" spans="2:36" x14ac:dyDescent="0.2">
      <c r="B79" s="219" t="str">
        <f>'WS6 - PGI summary'!B109</f>
        <v>PGI if only the rate peg applied</v>
      </c>
      <c r="C79" s="3"/>
      <c r="D79" s="3" t="str">
        <f>'WS6 - PGI summary'!D109</f>
        <v>$ nominal</v>
      </c>
      <c r="E79" s="54"/>
      <c r="F79" s="3"/>
      <c r="G79" s="16"/>
      <c r="H79" s="16"/>
      <c r="I79" s="200"/>
      <c r="J79" s="113">
        <f>'WS6 - PGI summary'!J109</f>
        <v>54352003.65630883</v>
      </c>
      <c r="K79" s="118">
        <f>'WS6 - PGI summary'!K109</f>
        <v>57071387.83912427</v>
      </c>
      <c r="L79" s="118">
        <f>'WS6 - PGI summary'!L109</f>
        <v>58783529.474298</v>
      </c>
      <c r="M79" s="118">
        <f>'WS6 - PGI summary'!M109</f>
        <v>60547035.358526938</v>
      </c>
      <c r="N79" s="112">
        <f>'WS6 - PGI summary'!N109</f>
        <v>62363446.419282749</v>
      </c>
      <c r="O79" s="112">
        <f>'WS6 - PGI summary'!O109</f>
        <v>64234349.811861232</v>
      </c>
      <c r="P79" s="112">
        <f>'WS6 - PGI summary'!P109</f>
        <v>66161380.306217067</v>
      </c>
      <c r="Q79" s="112">
        <f>'WS6 - PGI summary'!Q109</f>
        <v>68146221.715403572</v>
      </c>
      <c r="R79" s="111"/>
      <c r="S79" s="151"/>
      <c r="T79" s="120"/>
      <c r="U79" s="223">
        <f>'WS6 - PGI summary'!R109</f>
        <v>2719384.18281544</v>
      </c>
      <c r="V79" s="224">
        <f>'WS6 - PGI summary'!S109</f>
        <v>5.0032823076979455E-2</v>
      </c>
      <c r="W79" s="85"/>
      <c r="X79" s="3"/>
      <c r="Y79" s="3"/>
      <c r="Z79" s="3"/>
      <c r="AA79" s="3"/>
      <c r="AB79" s="3"/>
      <c r="AC79" s="3"/>
      <c r="AD79" s="3"/>
      <c r="AE79" s="3"/>
      <c r="AF79" s="3"/>
      <c r="AG79" s="3"/>
      <c r="AH79" s="3"/>
      <c r="AI79" s="3"/>
      <c r="AJ79" s="3"/>
    </row>
    <row r="80" spans="2:36" x14ac:dyDescent="0.2">
      <c r="B80" s="158" t="s">
        <v>77</v>
      </c>
      <c r="C80" s="3"/>
      <c r="D80" s="3"/>
      <c r="E80" s="54"/>
      <c r="F80" s="3"/>
      <c r="G80" s="16"/>
      <c r="H80" s="16"/>
      <c r="I80" s="200"/>
      <c r="J80" s="111"/>
      <c r="K80" s="222">
        <f t="shared" ref="K80:Q80" si="2">K72-K73+SUM(K75:K78)-K79</f>
        <v>0</v>
      </c>
      <c r="L80" s="222">
        <f t="shared" si="2"/>
        <v>0</v>
      </c>
      <c r="M80" s="222">
        <f t="shared" si="2"/>
        <v>0</v>
      </c>
      <c r="N80" s="222">
        <f t="shared" si="2"/>
        <v>0</v>
      </c>
      <c r="O80" s="222">
        <f t="shared" si="2"/>
        <v>0</v>
      </c>
      <c r="P80" s="222">
        <f t="shared" si="2"/>
        <v>0</v>
      </c>
      <c r="Q80" s="222">
        <f t="shared" si="2"/>
        <v>0</v>
      </c>
      <c r="R80" s="111"/>
      <c r="S80" s="151"/>
      <c r="T80" s="120"/>
      <c r="U80" s="281">
        <f>INDEX(J79:Q79,1,$E$9+1)-J79-U79</f>
        <v>0</v>
      </c>
      <c r="V80" s="188"/>
      <c r="W80" s="85"/>
      <c r="X80" s="85"/>
      <c r="Y80" s="85"/>
      <c r="Z80" s="85"/>
      <c r="AA80" s="85"/>
      <c r="AB80" s="85"/>
      <c r="AC80" s="85"/>
      <c r="AD80" s="85"/>
      <c r="AE80" s="85"/>
      <c r="AF80" s="85"/>
      <c r="AG80" s="85"/>
      <c r="AH80" s="85"/>
      <c r="AI80" s="85"/>
      <c r="AJ80" s="85"/>
    </row>
    <row r="81" spans="2:31" x14ac:dyDescent="0.2">
      <c r="B81" s="32"/>
      <c r="C81" s="30"/>
      <c r="D81" s="30"/>
      <c r="E81" s="32"/>
      <c r="F81" s="30"/>
      <c r="G81" s="30"/>
      <c r="H81" s="30"/>
      <c r="I81" s="33"/>
      <c r="J81" s="30"/>
      <c r="K81" s="30"/>
      <c r="L81" s="30"/>
      <c r="M81" s="30"/>
      <c r="N81" s="30"/>
      <c r="O81" s="30"/>
      <c r="P81" s="30"/>
      <c r="Q81" s="30"/>
      <c r="R81" s="32"/>
      <c r="S81" s="30"/>
      <c r="T81" s="33"/>
      <c r="U81" s="30"/>
      <c r="V81" s="33"/>
      <c r="W81" s="85"/>
      <c r="X81" s="3"/>
      <c r="Y81" s="3"/>
      <c r="Z81" s="3"/>
      <c r="AA81" s="3"/>
      <c r="AB81" s="3"/>
      <c r="AC81" s="3"/>
      <c r="AD81" s="3"/>
      <c r="AE81" s="3"/>
    </row>
    <row r="82" spans="2:31" x14ac:dyDescent="0.2">
      <c r="B82" s="3"/>
      <c r="C82" s="3"/>
      <c r="D82" s="3"/>
      <c r="E82" s="3"/>
      <c r="F82" s="3"/>
      <c r="G82" s="3"/>
      <c r="H82" s="3"/>
      <c r="I82" s="3"/>
      <c r="J82" s="3"/>
      <c r="K82" s="150"/>
      <c r="L82" s="150"/>
      <c r="M82" s="150"/>
      <c r="N82" s="150"/>
      <c r="O82" s="150"/>
      <c r="P82" s="150"/>
      <c r="Q82" s="150"/>
      <c r="R82" s="150"/>
      <c r="S82" s="150"/>
      <c r="T82" s="150"/>
      <c r="U82" s="150"/>
      <c r="V82" s="150"/>
      <c r="W82" s="150"/>
      <c r="X82" s="3"/>
      <c r="Y82" s="3"/>
      <c r="Z82" s="3"/>
      <c r="AA82" s="3"/>
      <c r="AB82" s="3"/>
      <c r="AC82" s="3"/>
      <c r="AD82" s="3"/>
      <c r="AE82" s="3"/>
    </row>
    <row r="83" spans="2:31" x14ac:dyDescent="0.2">
      <c r="B83" s="3"/>
      <c r="C83" s="3"/>
      <c r="D83" s="3"/>
      <c r="E83" s="3"/>
      <c r="F83" s="3"/>
      <c r="G83" s="3"/>
      <c r="H83" s="3"/>
      <c r="I83" s="3"/>
      <c r="J83" s="3"/>
      <c r="K83" s="150"/>
      <c r="L83" s="150"/>
      <c r="M83" s="150"/>
      <c r="N83" s="150"/>
      <c r="O83" s="150"/>
      <c r="P83" s="150"/>
      <c r="Q83" s="150"/>
      <c r="R83" s="150"/>
      <c r="S83" s="150"/>
      <c r="T83" s="150"/>
      <c r="U83" s="150"/>
      <c r="V83" s="150"/>
      <c r="W83" s="150"/>
      <c r="X83" s="3"/>
      <c r="Y83" s="3"/>
      <c r="Z83" s="3"/>
      <c r="AA83" s="3"/>
      <c r="AB83" s="3"/>
      <c r="AC83" s="3"/>
      <c r="AD83" s="3"/>
      <c r="AE83" s="3"/>
    </row>
    <row r="84" spans="2:31" x14ac:dyDescent="0.2">
      <c r="B84" s="3"/>
      <c r="C84" s="3"/>
      <c r="D84" s="3"/>
      <c r="E84" s="3"/>
      <c r="F84" s="3"/>
      <c r="G84" s="3"/>
      <c r="H84" s="3"/>
      <c r="I84" s="3"/>
      <c r="J84" s="3"/>
      <c r="K84" s="150"/>
      <c r="L84" s="150"/>
      <c r="M84" s="150"/>
      <c r="N84" s="150"/>
      <c r="O84" s="150"/>
      <c r="P84" s="150"/>
      <c r="Q84" s="150"/>
      <c r="R84" s="150"/>
      <c r="S84" s="150"/>
      <c r="T84" s="150"/>
      <c r="U84" s="150"/>
      <c r="V84" s="150"/>
      <c r="W84" s="150"/>
      <c r="X84" s="3"/>
      <c r="Y84" s="3"/>
      <c r="Z84" s="3"/>
      <c r="AA84" s="3"/>
      <c r="AB84" s="3"/>
      <c r="AC84" s="3"/>
      <c r="AD84" s="3"/>
      <c r="AE84" s="3"/>
    </row>
    <row r="85" spans="2:31" x14ac:dyDescent="0.2">
      <c r="B85" s="3"/>
      <c r="C85" s="3"/>
      <c r="D85" s="3"/>
      <c r="E85" s="3"/>
      <c r="F85" s="3"/>
      <c r="G85" s="3"/>
      <c r="H85" s="3"/>
      <c r="I85" s="3"/>
      <c r="J85" s="3"/>
      <c r="K85" s="150"/>
      <c r="L85" s="150"/>
      <c r="M85" s="150"/>
      <c r="N85" s="150"/>
      <c r="O85" s="150"/>
      <c r="P85" s="150"/>
      <c r="Q85" s="150"/>
      <c r="R85" s="150"/>
      <c r="S85" s="150"/>
      <c r="T85" s="150"/>
      <c r="U85" s="150"/>
      <c r="V85" s="150"/>
      <c r="W85" s="150"/>
      <c r="X85" s="3"/>
      <c r="Y85" s="3"/>
      <c r="Z85" s="3"/>
      <c r="AA85" s="3"/>
      <c r="AB85" s="3"/>
      <c r="AC85" s="3"/>
      <c r="AD85" s="3"/>
      <c r="AE85" s="3"/>
    </row>
    <row r="86" spans="2:31" x14ac:dyDescent="0.2">
      <c r="B86" s="3"/>
      <c r="C86" s="3"/>
      <c r="D86" s="3"/>
      <c r="E86" s="3"/>
      <c r="F86" s="3"/>
      <c r="G86" s="3"/>
      <c r="H86" s="3"/>
      <c r="I86" s="3"/>
      <c r="J86" s="3"/>
      <c r="K86" s="150"/>
      <c r="L86" s="150"/>
      <c r="M86" s="150"/>
      <c r="N86" s="150"/>
      <c r="O86" s="150"/>
      <c r="P86" s="150"/>
      <c r="Q86" s="150"/>
      <c r="R86" s="150"/>
      <c r="S86" s="150"/>
      <c r="T86" s="150"/>
      <c r="U86" s="150"/>
      <c r="V86" s="150"/>
      <c r="W86" s="150"/>
      <c r="X86" s="3"/>
      <c r="Y86" s="3"/>
      <c r="Z86" s="3"/>
      <c r="AA86" s="3"/>
      <c r="AB86" s="3"/>
      <c r="AC86" s="3"/>
      <c r="AD86" s="3"/>
      <c r="AE86" s="3"/>
    </row>
    <row r="87" spans="2:31" x14ac:dyDescent="0.2">
      <c r="B87" s="3"/>
      <c r="C87" s="3"/>
      <c r="D87" s="3"/>
      <c r="E87" s="3"/>
      <c r="F87" s="3"/>
      <c r="G87" s="3"/>
      <c r="H87" s="3"/>
      <c r="I87" s="3"/>
      <c r="J87" s="3"/>
      <c r="K87" s="150"/>
      <c r="L87" s="150"/>
      <c r="M87" s="150"/>
      <c r="N87" s="150"/>
      <c r="O87" s="150"/>
      <c r="P87" s="150"/>
      <c r="Q87" s="150"/>
      <c r="R87" s="150"/>
      <c r="S87" s="150"/>
      <c r="T87" s="150"/>
      <c r="U87" s="150"/>
      <c r="V87" s="150"/>
      <c r="W87" s="150"/>
      <c r="X87" s="3"/>
      <c r="Y87" s="3"/>
      <c r="Z87" s="3"/>
      <c r="AA87" s="3"/>
      <c r="AB87" s="3"/>
      <c r="AC87" s="3"/>
      <c r="AD87" s="3"/>
      <c r="AE87" s="3"/>
    </row>
    <row r="88" spans="2:31" x14ac:dyDescent="0.2">
      <c r="B88" s="3"/>
      <c r="C88" s="3"/>
      <c r="D88" s="3"/>
      <c r="E88" s="3"/>
      <c r="F88" s="3"/>
      <c r="G88" s="3"/>
      <c r="H88" s="3"/>
      <c r="I88" s="3"/>
      <c r="J88" s="3"/>
      <c r="K88" s="150"/>
      <c r="L88" s="150"/>
      <c r="M88" s="150"/>
      <c r="N88" s="150"/>
      <c r="O88" s="150"/>
      <c r="P88" s="150"/>
      <c r="Q88" s="150"/>
      <c r="R88" s="150"/>
      <c r="S88" s="150"/>
      <c r="T88" s="150"/>
      <c r="U88" s="150"/>
      <c r="V88" s="150"/>
      <c r="W88" s="150"/>
      <c r="X88" s="3"/>
      <c r="Y88" s="3"/>
      <c r="Z88" s="3"/>
      <c r="AA88" s="3"/>
      <c r="AB88" s="3"/>
      <c r="AC88" s="3"/>
      <c r="AD88" s="3"/>
      <c r="AE88" s="3"/>
    </row>
    <row r="89" spans="2:31" x14ac:dyDescent="0.2">
      <c r="B89" s="3"/>
      <c r="C89" s="3"/>
      <c r="D89" s="3"/>
      <c r="E89" s="3"/>
      <c r="F89" s="3"/>
      <c r="G89" s="3"/>
      <c r="H89" s="3"/>
      <c r="I89" s="3"/>
      <c r="J89" s="3"/>
      <c r="K89" s="150"/>
      <c r="L89" s="150"/>
      <c r="M89" s="150"/>
      <c r="N89" s="150"/>
      <c r="O89" s="150"/>
      <c r="P89" s="150"/>
      <c r="Q89" s="150"/>
      <c r="R89" s="150"/>
      <c r="S89" s="150"/>
      <c r="T89" s="150"/>
      <c r="U89" s="150"/>
      <c r="V89" s="150"/>
      <c r="W89" s="150"/>
      <c r="X89" s="3"/>
      <c r="Y89" s="3"/>
      <c r="Z89" s="3"/>
      <c r="AA89" s="3"/>
      <c r="AB89" s="3"/>
      <c r="AC89" s="3"/>
      <c r="AD89" s="3"/>
      <c r="AE89" s="3"/>
    </row>
    <row r="90" spans="2:31" x14ac:dyDescent="0.2">
      <c r="B90" s="3"/>
      <c r="C90" s="3"/>
      <c r="D90" s="3"/>
      <c r="E90" s="3"/>
      <c r="F90" s="3"/>
      <c r="G90" s="3"/>
      <c r="H90" s="3"/>
      <c r="I90" s="3"/>
      <c r="J90" s="3"/>
      <c r="K90" s="150"/>
      <c r="L90" s="150"/>
      <c r="M90" s="150"/>
      <c r="N90" s="150"/>
      <c r="O90" s="150"/>
      <c r="P90" s="150"/>
      <c r="Q90" s="150"/>
      <c r="R90" s="150"/>
      <c r="S90" s="150"/>
      <c r="T90" s="150"/>
      <c r="U90" s="150"/>
      <c r="V90" s="150"/>
      <c r="W90" s="150"/>
      <c r="X90" s="3"/>
      <c r="Y90" s="3"/>
      <c r="Z90" s="3"/>
      <c r="AA90" s="3"/>
      <c r="AB90" s="3"/>
      <c r="AC90" s="3"/>
      <c r="AD90" s="3"/>
      <c r="AE90" s="3"/>
    </row>
    <row r="91" spans="2:31" x14ac:dyDescent="0.2">
      <c r="B91" s="3"/>
      <c r="C91" s="3"/>
      <c r="D91" s="3"/>
      <c r="E91" s="3"/>
      <c r="F91" s="3"/>
      <c r="G91" s="3"/>
      <c r="H91" s="3"/>
      <c r="I91" s="3"/>
      <c r="J91" s="3"/>
      <c r="K91" s="150"/>
      <c r="L91" s="150"/>
      <c r="M91" s="150"/>
      <c r="N91" s="150"/>
      <c r="O91" s="150"/>
      <c r="P91" s="150"/>
      <c r="Q91" s="150"/>
      <c r="R91" s="150"/>
      <c r="S91" s="150"/>
      <c r="T91" s="150"/>
      <c r="U91" s="150"/>
      <c r="V91" s="150"/>
      <c r="W91" s="150"/>
      <c r="X91" s="3"/>
      <c r="Y91" s="3"/>
      <c r="Z91" s="3"/>
      <c r="AA91" s="3"/>
      <c r="AB91" s="3"/>
      <c r="AC91" s="3"/>
      <c r="AD91" s="3"/>
      <c r="AE91" s="3"/>
    </row>
    <row r="92" spans="2:31" x14ac:dyDescent="0.2">
      <c r="B92" s="3"/>
      <c r="C92" s="3"/>
      <c r="D92" s="3"/>
      <c r="E92" s="3"/>
      <c r="F92" s="3"/>
      <c r="G92" s="3"/>
      <c r="H92" s="3"/>
      <c r="I92" s="3"/>
      <c r="J92" s="3"/>
      <c r="K92" s="150"/>
      <c r="L92" s="150"/>
      <c r="M92" s="150"/>
      <c r="N92" s="150"/>
      <c r="O92" s="150"/>
      <c r="P92" s="150"/>
      <c r="Q92" s="150"/>
      <c r="R92" s="150"/>
      <c r="S92" s="150"/>
      <c r="T92" s="150"/>
      <c r="U92" s="150"/>
      <c r="V92" s="150"/>
      <c r="W92" s="150"/>
      <c r="X92" s="3"/>
      <c r="Y92" s="3"/>
      <c r="Z92" s="3"/>
      <c r="AA92" s="3"/>
      <c r="AB92" s="3"/>
      <c r="AC92" s="3"/>
      <c r="AD92" s="3"/>
      <c r="AE92" s="3"/>
    </row>
    <row r="93" spans="2:31" x14ac:dyDescent="0.2">
      <c r="C93" s="3"/>
      <c r="D93" s="3"/>
      <c r="E93" s="3"/>
      <c r="F93" s="3"/>
      <c r="G93" s="3"/>
      <c r="H93" s="3"/>
      <c r="I93" s="3"/>
      <c r="J93" s="3"/>
      <c r="K93" s="150"/>
      <c r="L93" s="150"/>
      <c r="M93" s="150"/>
      <c r="N93" s="150"/>
      <c r="O93" s="150"/>
      <c r="P93" s="150"/>
      <c r="Q93" s="150"/>
      <c r="R93" s="150"/>
      <c r="S93" s="150"/>
      <c r="T93" s="150"/>
      <c r="U93" s="150"/>
      <c r="V93" s="150"/>
      <c r="W93" s="150"/>
      <c r="X93" s="3"/>
      <c r="Y93" s="3"/>
      <c r="Z93" s="3"/>
      <c r="AA93" s="3"/>
      <c r="AB93" s="3"/>
      <c r="AC93" s="3"/>
      <c r="AD93" s="3"/>
      <c r="AE93" s="3"/>
    </row>
    <row r="94" spans="2:31" x14ac:dyDescent="0.2">
      <c r="B94" s="207"/>
      <c r="C94" s="3"/>
      <c r="D94" s="3"/>
      <c r="E94" s="3"/>
      <c r="F94" s="3"/>
      <c r="G94" s="3"/>
      <c r="H94" s="3"/>
      <c r="I94" s="3"/>
      <c r="J94" s="3"/>
      <c r="K94" s="151"/>
      <c r="L94" s="151"/>
      <c r="M94" s="151"/>
      <c r="N94" s="151"/>
      <c r="O94" s="151"/>
      <c r="P94" s="151"/>
      <c r="Q94" s="151"/>
      <c r="R94" s="151"/>
      <c r="S94" s="151"/>
      <c r="T94" s="151"/>
      <c r="U94" s="151"/>
      <c r="V94" s="151"/>
      <c r="W94" s="151"/>
      <c r="X94" s="3"/>
      <c r="Y94" s="3"/>
      <c r="Z94" s="3"/>
      <c r="AA94" s="3"/>
      <c r="AB94" s="3"/>
      <c r="AC94" s="3"/>
      <c r="AD94" s="3"/>
      <c r="AE94" s="3"/>
    </row>
    <row r="95" spans="2:31" x14ac:dyDescent="0.2">
      <c r="B95" s="2" t="s">
        <v>78</v>
      </c>
      <c r="C95" s="3"/>
      <c r="D95" s="208"/>
      <c r="E95" s="208"/>
      <c r="G95" s="3"/>
      <c r="H95" s="3"/>
      <c r="I95" s="3"/>
      <c r="J95" s="3"/>
      <c r="K95" s="151"/>
      <c r="L95" s="151"/>
      <c r="M95" s="151"/>
      <c r="N95" s="151"/>
      <c r="O95" s="151"/>
      <c r="P95" s="151"/>
      <c r="Q95" s="151"/>
      <c r="R95" s="151"/>
      <c r="S95" s="151"/>
      <c r="T95" s="151"/>
      <c r="U95" s="151"/>
      <c r="V95" s="151"/>
      <c r="W95" s="151"/>
      <c r="X95" s="3"/>
      <c r="Y95" s="3"/>
      <c r="Z95" s="3"/>
      <c r="AA95" s="3"/>
      <c r="AB95" s="3"/>
      <c r="AC95" s="3"/>
      <c r="AD95" s="3"/>
      <c r="AE95" s="3"/>
    </row>
    <row r="96" spans="2:31" x14ac:dyDescent="0.2">
      <c r="B96" s="334" t="str">
        <f>B$51</f>
        <v>Year number</v>
      </c>
      <c r="C96" s="282"/>
      <c r="D96" s="282"/>
      <c r="E96" s="312"/>
      <c r="F96" s="282"/>
      <c r="G96" s="350" t="str">
        <f t="shared" ref="G96:T96" si="3">G$51</f>
        <v>Hist yr -3</v>
      </c>
      <c r="H96" s="350" t="str">
        <f t="shared" si="3"/>
        <v>Hist yr -2</v>
      </c>
      <c r="I96" s="351" t="str">
        <f t="shared" si="3"/>
        <v>Hist yr -1</v>
      </c>
      <c r="J96" s="349" t="str">
        <f t="shared" si="3"/>
        <v>Year 0</v>
      </c>
      <c r="K96" s="315" t="str">
        <f t="shared" si="3"/>
        <v>Year 1</v>
      </c>
      <c r="L96" s="315" t="str">
        <f t="shared" si="3"/>
        <v>Year 2</v>
      </c>
      <c r="M96" s="315" t="str">
        <f t="shared" si="3"/>
        <v>Year 3</v>
      </c>
      <c r="N96" s="315" t="str">
        <f t="shared" si="3"/>
        <v>Year 4</v>
      </c>
      <c r="O96" s="315" t="str">
        <f t="shared" si="3"/>
        <v>Year 5</v>
      </c>
      <c r="P96" s="315" t="str">
        <f t="shared" si="3"/>
        <v>Year 6</v>
      </c>
      <c r="Q96" s="315" t="str">
        <f t="shared" si="3"/>
        <v>Year 7</v>
      </c>
      <c r="R96" s="331" t="str">
        <f t="shared" si="3"/>
        <v>Year 8</v>
      </c>
      <c r="S96" s="350" t="str">
        <f t="shared" si="3"/>
        <v>Year 9</v>
      </c>
      <c r="T96" s="351" t="str">
        <f t="shared" si="3"/>
        <v>Year 10</v>
      </c>
      <c r="U96" s="151"/>
      <c r="V96" s="151"/>
      <c r="W96" s="3"/>
      <c r="X96" s="3"/>
      <c r="Y96" s="3"/>
      <c r="Z96" s="3"/>
      <c r="AA96" s="3"/>
      <c r="AB96" s="3"/>
      <c r="AC96" s="3"/>
      <c r="AD96" s="3"/>
      <c r="AE96" s="3"/>
    </row>
    <row r="97" spans="2:32" x14ac:dyDescent="0.2">
      <c r="B97" s="209" t="str">
        <f>B$52</f>
        <v>Financial year</v>
      </c>
      <c r="C97" s="30"/>
      <c r="D97" s="30"/>
      <c r="E97" s="32"/>
      <c r="F97" s="30"/>
      <c r="G97" s="211" t="str">
        <f t="shared" ref="G97:T97" si="4">G$52</f>
        <v>2020-21</v>
      </c>
      <c r="H97" s="211" t="str">
        <f t="shared" si="4"/>
        <v>2021-22</v>
      </c>
      <c r="I97" s="212" t="str">
        <f t="shared" si="4"/>
        <v>2022-23</v>
      </c>
      <c r="J97" s="213" t="str">
        <f t="shared" si="4"/>
        <v>2023-24</v>
      </c>
      <c r="K97" s="214" t="str">
        <f t="shared" si="4"/>
        <v>2024-25</v>
      </c>
      <c r="L97" s="214" t="str">
        <f t="shared" si="4"/>
        <v>2025-26</v>
      </c>
      <c r="M97" s="214" t="str">
        <f t="shared" si="4"/>
        <v>2026-27</v>
      </c>
      <c r="N97" s="214" t="str">
        <f t="shared" si="4"/>
        <v>2027-28</v>
      </c>
      <c r="O97" s="214" t="str">
        <f t="shared" si="4"/>
        <v>2028-29</v>
      </c>
      <c r="P97" s="214" t="str">
        <f t="shared" si="4"/>
        <v>2029-30</v>
      </c>
      <c r="Q97" s="214" t="str">
        <f t="shared" si="4"/>
        <v>2030-31</v>
      </c>
      <c r="R97" s="210" t="str">
        <f t="shared" si="4"/>
        <v>2031-32</v>
      </c>
      <c r="S97" s="211" t="str">
        <f t="shared" si="4"/>
        <v>2032-33</v>
      </c>
      <c r="T97" s="212" t="str">
        <f t="shared" si="4"/>
        <v>2033-34</v>
      </c>
      <c r="U97" s="151"/>
      <c r="V97" s="151"/>
      <c r="W97" s="3"/>
      <c r="X97" s="3"/>
      <c r="Y97" s="3"/>
      <c r="Z97" s="3"/>
      <c r="AA97" s="3"/>
      <c r="AB97" s="3"/>
      <c r="AC97" s="3"/>
      <c r="AD97" s="3"/>
      <c r="AE97" s="3"/>
    </row>
    <row r="98" spans="2:32" x14ac:dyDescent="0.2">
      <c r="B98" s="54"/>
      <c r="C98" s="3"/>
      <c r="D98" s="3"/>
      <c r="E98" s="54"/>
      <c r="F98" s="3"/>
      <c r="G98" s="3"/>
      <c r="H98" s="3"/>
      <c r="I98" s="31"/>
      <c r="J98" s="54"/>
      <c r="K98" s="3"/>
      <c r="L98" s="3"/>
      <c r="M98" s="3"/>
      <c r="N98" s="3"/>
      <c r="O98" s="3"/>
      <c r="P98" s="3"/>
      <c r="Q98" s="3"/>
      <c r="R98" s="54"/>
      <c r="S98" s="3"/>
      <c r="T98" s="31"/>
      <c r="U98" s="151"/>
      <c r="V98" s="151"/>
      <c r="W98" s="3"/>
      <c r="X98" s="3"/>
      <c r="Y98" s="3"/>
      <c r="Z98" s="3"/>
      <c r="AA98" s="3"/>
      <c r="AB98" s="3"/>
      <c r="AC98" s="3"/>
      <c r="AD98" s="3"/>
      <c r="AE98" s="3"/>
    </row>
    <row r="99" spans="2:32" x14ac:dyDescent="0.2">
      <c r="B99" s="219" t="str">
        <f>'WS7 - Impact on Rates'!B25</f>
        <v>Table 7.1: Minimum Rates - with proposed special variation</v>
      </c>
      <c r="C99" s="3"/>
      <c r="D99" s="3"/>
      <c r="E99" s="54"/>
      <c r="F99" s="3"/>
      <c r="G99" s="3"/>
      <c r="H99" s="3"/>
      <c r="I99" s="31"/>
      <c r="J99" s="54"/>
      <c r="K99" s="3"/>
      <c r="L99" s="3"/>
      <c r="M99" s="3"/>
      <c r="N99" s="3"/>
      <c r="O99" s="3"/>
      <c r="P99" s="3"/>
      <c r="Q99" s="3"/>
      <c r="R99" s="54"/>
      <c r="S99" s="3"/>
      <c r="T99" s="31"/>
      <c r="U99" s="151"/>
      <c r="V99" s="151"/>
      <c r="W99" s="3"/>
      <c r="X99" s="3"/>
      <c r="Y99" s="3"/>
      <c r="Z99" s="3"/>
      <c r="AA99" s="3"/>
      <c r="AB99" s="3"/>
      <c r="AC99" s="3"/>
      <c r="AD99" s="3"/>
      <c r="AE99" s="3"/>
    </row>
    <row r="100" spans="2:32" x14ac:dyDescent="0.2">
      <c r="B100" s="245" t="str">
        <f>'WS7 - Impact on Rates'!B28</f>
        <v>Residential</v>
      </c>
      <c r="C100" s="255" t="str">
        <f>'WS7 - Impact on Rates'!C28</f>
        <v>Residential</v>
      </c>
      <c r="D100" s="255" t="str">
        <f>'WS7 - Impact on Rates'!D28</f>
        <v>$ nominal p.a.</v>
      </c>
      <c r="E100" s="54"/>
      <c r="F100" s="3"/>
      <c r="G100" s="3"/>
      <c r="H100" s="3"/>
      <c r="I100" s="31"/>
      <c r="J100" s="245">
        <f>'WS7 - Impact on Rates'!J28</f>
        <v>881.2</v>
      </c>
      <c r="K100" s="337">
        <f>'WS7 - Impact on Rates'!K28</f>
        <v>1013.38</v>
      </c>
      <c r="L100" s="337">
        <f>'WS7 - Impact on Rates'!L28</f>
        <v>1043.7814000000001</v>
      </c>
      <c r="M100" s="337">
        <f>'WS7 - Impact on Rates'!M28</f>
        <v>1075.0948420000002</v>
      </c>
      <c r="N100" s="337">
        <f>'WS7 - Impact on Rates'!N28</f>
        <v>1107.3476872600002</v>
      </c>
      <c r="O100" s="337">
        <f>'WS7 - Impact on Rates'!O28</f>
        <v>1140.5681178778002</v>
      </c>
      <c r="P100" s="337">
        <f>'WS7 - Impact on Rates'!P28</f>
        <v>1174.7851614141343</v>
      </c>
      <c r="Q100" s="337">
        <f>'WS7 - Impact on Rates'!Q28</f>
        <v>1210.0287162565585</v>
      </c>
      <c r="R100" s="54"/>
      <c r="S100" s="3"/>
      <c r="T100" s="31"/>
      <c r="U100" s="151"/>
      <c r="V100" s="151"/>
      <c r="W100" s="151"/>
      <c r="X100" s="151"/>
      <c r="Y100" s="151"/>
      <c r="Z100" s="151"/>
      <c r="AA100" s="151"/>
      <c r="AB100" s="151"/>
      <c r="AC100" s="151"/>
      <c r="AD100" s="151"/>
      <c r="AE100" s="151"/>
      <c r="AF100" s="151"/>
    </row>
    <row r="101" spans="2:32" x14ac:dyDescent="0.2">
      <c r="B101" s="245" t="str">
        <f>'WS7 - Impact on Rates'!B29</f>
        <v>Residential</v>
      </c>
      <c r="C101" s="255" t="str">
        <f>'WS7 - Impact on Rates'!C29</f>
        <v/>
      </c>
      <c r="D101" s="3" t="str">
        <f>'WS7 - Impact on Rates'!D29</f>
        <v>$ nominal p.a.</v>
      </c>
      <c r="E101" s="54"/>
      <c r="F101" s="3"/>
      <c r="G101" s="3"/>
      <c r="H101" s="3"/>
      <c r="I101" s="31"/>
      <c r="J101" s="245">
        <f>'WS7 - Impact on Rates'!J29</f>
        <v>0</v>
      </c>
      <c r="K101" s="337">
        <f>'WS7 - Impact on Rates'!K29</f>
        <v>0</v>
      </c>
      <c r="L101" s="337">
        <f>'WS7 - Impact on Rates'!L29</f>
        <v>0</v>
      </c>
      <c r="M101" s="337">
        <f>'WS7 - Impact on Rates'!M29</f>
        <v>0</v>
      </c>
      <c r="N101" s="337">
        <f>'WS7 - Impact on Rates'!N29</f>
        <v>0</v>
      </c>
      <c r="O101" s="337">
        <f>'WS7 - Impact on Rates'!O29</f>
        <v>0</v>
      </c>
      <c r="P101" s="337">
        <f>'WS7 - Impact on Rates'!P29</f>
        <v>0</v>
      </c>
      <c r="Q101" s="337">
        <f>'WS7 - Impact on Rates'!Q29</f>
        <v>0</v>
      </c>
      <c r="R101" s="54"/>
      <c r="S101" s="3"/>
      <c r="T101" s="31"/>
      <c r="U101" s="151"/>
      <c r="V101" s="151"/>
      <c r="W101" s="151"/>
      <c r="X101" s="151"/>
      <c r="Y101" s="151"/>
      <c r="Z101" s="151"/>
      <c r="AA101" s="151"/>
      <c r="AB101" s="151"/>
      <c r="AC101" s="151"/>
      <c r="AD101" s="151"/>
      <c r="AE101" s="151"/>
      <c r="AF101" s="151"/>
    </row>
    <row r="102" spans="2:32" outlineLevel="1" x14ac:dyDescent="0.2">
      <c r="B102" s="245" t="str">
        <f>'WS7 - Impact on Rates'!B30</f>
        <v>Residential</v>
      </c>
      <c r="C102" s="255" t="str">
        <f>'WS7 - Impact on Rates'!C30</f>
        <v/>
      </c>
      <c r="D102" s="3" t="str">
        <f>'WS7 - Impact on Rates'!D30</f>
        <v>$ nominal p.a.</v>
      </c>
      <c r="E102" s="54"/>
      <c r="F102" s="3"/>
      <c r="G102" s="3"/>
      <c r="H102" s="3"/>
      <c r="I102" s="31"/>
      <c r="J102" s="245">
        <f>'WS7 - Impact on Rates'!J30</f>
        <v>0</v>
      </c>
      <c r="K102" s="337">
        <f>'WS7 - Impact on Rates'!K30</f>
        <v>0</v>
      </c>
      <c r="L102" s="337">
        <f>'WS7 - Impact on Rates'!L30</f>
        <v>0</v>
      </c>
      <c r="M102" s="337">
        <f>'WS7 - Impact on Rates'!M30</f>
        <v>0</v>
      </c>
      <c r="N102" s="337">
        <f>'WS7 - Impact on Rates'!N30</f>
        <v>0</v>
      </c>
      <c r="O102" s="337">
        <f>'WS7 - Impact on Rates'!O30</f>
        <v>0</v>
      </c>
      <c r="P102" s="337">
        <f>'WS7 - Impact on Rates'!P30</f>
        <v>0</v>
      </c>
      <c r="Q102" s="337">
        <f>'WS7 - Impact on Rates'!Q30</f>
        <v>0</v>
      </c>
      <c r="R102" s="54"/>
      <c r="S102" s="3"/>
      <c r="T102" s="31"/>
      <c r="U102" s="151"/>
      <c r="V102" s="151"/>
      <c r="W102" s="151"/>
      <c r="X102" s="151"/>
      <c r="Y102" s="151"/>
      <c r="Z102" s="151"/>
      <c r="AA102" s="151"/>
      <c r="AB102" s="151"/>
      <c r="AC102" s="151"/>
      <c r="AD102" s="151"/>
      <c r="AE102" s="151"/>
      <c r="AF102" s="151"/>
    </row>
    <row r="103" spans="2:32" outlineLevel="1" x14ac:dyDescent="0.2">
      <c r="B103" s="245" t="str">
        <f>'WS7 - Impact on Rates'!B31</f>
        <v>Residential</v>
      </c>
      <c r="C103" s="255" t="str">
        <f>'WS7 - Impact on Rates'!C31</f>
        <v/>
      </c>
      <c r="D103" s="3" t="str">
        <f>'WS7 - Impact on Rates'!D31</f>
        <v>$ nominal p.a.</v>
      </c>
      <c r="E103" s="54"/>
      <c r="F103" s="3"/>
      <c r="G103" s="3"/>
      <c r="H103" s="3"/>
      <c r="I103" s="31"/>
      <c r="J103" s="245">
        <f>'WS7 - Impact on Rates'!J31</f>
        <v>0</v>
      </c>
      <c r="K103" s="337">
        <f>'WS7 - Impact on Rates'!K31</f>
        <v>0</v>
      </c>
      <c r="L103" s="337">
        <f>'WS7 - Impact on Rates'!L31</f>
        <v>0</v>
      </c>
      <c r="M103" s="337">
        <f>'WS7 - Impact on Rates'!M31</f>
        <v>0</v>
      </c>
      <c r="N103" s="337">
        <f>'WS7 - Impact on Rates'!N31</f>
        <v>0</v>
      </c>
      <c r="O103" s="337">
        <f>'WS7 - Impact on Rates'!O31</f>
        <v>0</v>
      </c>
      <c r="P103" s="337">
        <f>'WS7 - Impact on Rates'!P31</f>
        <v>0</v>
      </c>
      <c r="Q103" s="337">
        <f>'WS7 - Impact on Rates'!Q31</f>
        <v>0</v>
      </c>
      <c r="R103" s="54"/>
      <c r="S103" s="3"/>
      <c r="T103" s="31"/>
      <c r="U103" s="151"/>
      <c r="V103" s="151"/>
      <c r="W103" s="151"/>
      <c r="X103" s="151"/>
      <c r="Y103" s="151"/>
      <c r="Z103" s="151"/>
      <c r="AA103" s="151"/>
      <c r="AB103" s="151"/>
      <c r="AC103" s="151"/>
      <c r="AD103" s="151"/>
      <c r="AE103" s="151"/>
      <c r="AF103" s="151"/>
    </row>
    <row r="104" spans="2:32" outlineLevel="1" x14ac:dyDescent="0.2">
      <c r="B104" s="245" t="str">
        <f>'WS7 - Impact on Rates'!B32</f>
        <v>Residential</v>
      </c>
      <c r="C104" s="255" t="str">
        <f>'WS7 - Impact on Rates'!C32</f>
        <v/>
      </c>
      <c r="D104" s="3" t="str">
        <f>'WS7 - Impact on Rates'!D32</f>
        <v>$ nominal p.a.</v>
      </c>
      <c r="E104" s="54"/>
      <c r="F104" s="3"/>
      <c r="G104" s="3"/>
      <c r="H104" s="3"/>
      <c r="I104" s="31"/>
      <c r="J104" s="245">
        <f>'WS7 - Impact on Rates'!J32</f>
        <v>0</v>
      </c>
      <c r="K104" s="337">
        <f>'WS7 - Impact on Rates'!K32</f>
        <v>0</v>
      </c>
      <c r="L104" s="337">
        <f>'WS7 - Impact on Rates'!L32</f>
        <v>0</v>
      </c>
      <c r="M104" s="337">
        <f>'WS7 - Impact on Rates'!M32</f>
        <v>0</v>
      </c>
      <c r="N104" s="337">
        <f>'WS7 - Impact on Rates'!N32</f>
        <v>0</v>
      </c>
      <c r="O104" s="337">
        <f>'WS7 - Impact on Rates'!O32</f>
        <v>0</v>
      </c>
      <c r="P104" s="337">
        <f>'WS7 - Impact on Rates'!P32</f>
        <v>0</v>
      </c>
      <c r="Q104" s="337">
        <f>'WS7 - Impact on Rates'!Q32</f>
        <v>0</v>
      </c>
      <c r="R104" s="54"/>
      <c r="S104" s="3"/>
      <c r="T104" s="31"/>
      <c r="U104" s="151"/>
      <c r="V104" s="151"/>
      <c r="W104" s="151"/>
      <c r="X104" s="151"/>
      <c r="Y104" s="151"/>
      <c r="Z104" s="151"/>
      <c r="AA104" s="151"/>
      <c r="AB104" s="151"/>
      <c r="AC104" s="151"/>
      <c r="AD104" s="151"/>
      <c r="AE104" s="151"/>
      <c r="AF104" s="151"/>
    </row>
    <row r="105" spans="2:32" outlineLevel="1" x14ac:dyDescent="0.2">
      <c r="B105" s="245" t="str">
        <f>'WS7 - Impact on Rates'!B33</f>
        <v>Residential</v>
      </c>
      <c r="C105" s="255" t="str">
        <f>'WS7 - Impact on Rates'!C33</f>
        <v/>
      </c>
      <c r="D105" s="3" t="str">
        <f>'WS7 - Impact on Rates'!D33</f>
        <v>$ nominal p.a.</v>
      </c>
      <c r="E105" s="54"/>
      <c r="F105" s="3"/>
      <c r="G105" s="3"/>
      <c r="H105" s="3"/>
      <c r="I105" s="31"/>
      <c r="J105" s="245">
        <f>'WS7 - Impact on Rates'!J33</f>
        <v>0</v>
      </c>
      <c r="K105" s="337">
        <f>'WS7 - Impact on Rates'!K33</f>
        <v>0</v>
      </c>
      <c r="L105" s="337">
        <f>'WS7 - Impact on Rates'!L33</f>
        <v>0</v>
      </c>
      <c r="M105" s="337">
        <f>'WS7 - Impact on Rates'!M33</f>
        <v>0</v>
      </c>
      <c r="N105" s="337">
        <f>'WS7 - Impact on Rates'!N33</f>
        <v>0</v>
      </c>
      <c r="O105" s="337">
        <f>'WS7 - Impact on Rates'!O33</f>
        <v>0</v>
      </c>
      <c r="P105" s="337">
        <f>'WS7 - Impact on Rates'!P33</f>
        <v>0</v>
      </c>
      <c r="Q105" s="337">
        <f>'WS7 - Impact on Rates'!Q33</f>
        <v>0</v>
      </c>
      <c r="R105" s="54"/>
      <c r="S105" s="3"/>
      <c r="T105" s="31"/>
      <c r="U105" s="151"/>
      <c r="V105" s="151"/>
      <c r="W105" s="151"/>
      <c r="X105" s="151"/>
      <c r="Y105" s="151"/>
      <c r="Z105" s="151"/>
      <c r="AA105" s="151"/>
      <c r="AB105" s="151"/>
      <c r="AC105" s="151"/>
      <c r="AD105" s="151"/>
      <c r="AE105" s="151"/>
      <c r="AF105" s="151"/>
    </row>
    <row r="106" spans="2:32" outlineLevel="1" x14ac:dyDescent="0.2">
      <c r="B106" s="245" t="str">
        <f>'WS7 - Impact on Rates'!B34</f>
        <v>Residential</v>
      </c>
      <c r="C106" s="255" t="str">
        <f>'WS7 - Impact on Rates'!C34</f>
        <v/>
      </c>
      <c r="D106" s="3" t="str">
        <f>'WS7 - Impact on Rates'!D34</f>
        <v>$ nominal p.a.</v>
      </c>
      <c r="E106" s="54"/>
      <c r="F106" s="3"/>
      <c r="G106" s="3"/>
      <c r="H106" s="3"/>
      <c r="I106" s="31"/>
      <c r="J106" s="245">
        <f>'WS7 - Impact on Rates'!J34</f>
        <v>0</v>
      </c>
      <c r="K106" s="337">
        <f>'WS7 - Impact on Rates'!K34</f>
        <v>0</v>
      </c>
      <c r="L106" s="337">
        <f>'WS7 - Impact on Rates'!L34</f>
        <v>0</v>
      </c>
      <c r="M106" s="337">
        <f>'WS7 - Impact on Rates'!M34</f>
        <v>0</v>
      </c>
      <c r="N106" s="337">
        <f>'WS7 - Impact on Rates'!N34</f>
        <v>0</v>
      </c>
      <c r="O106" s="337">
        <f>'WS7 - Impact on Rates'!O34</f>
        <v>0</v>
      </c>
      <c r="P106" s="337">
        <f>'WS7 - Impact on Rates'!P34</f>
        <v>0</v>
      </c>
      <c r="Q106" s="337">
        <f>'WS7 - Impact on Rates'!Q34</f>
        <v>0</v>
      </c>
      <c r="R106" s="54"/>
      <c r="S106" s="3"/>
      <c r="T106" s="31"/>
      <c r="U106" s="151"/>
      <c r="V106" s="151"/>
      <c r="W106" s="151"/>
      <c r="X106" s="151"/>
      <c r="Y106" s="151"/>
      <c r="Z106" s="151"/>
      <c r="AA106" s="151"/>
      <c r="AB106" s="151"/>
      <c r="AC106" s="151"/>
      <c r="AD106" s="151"/>
      <c r="AE106" s="151"/>
      <c r="AF106" s="151"/>
    </row>
    <row r="107" spans="2:32" outlineLevel="1" x14ac:dyDescent="0.2">
      <c r="B107" s="245" t="str">
        <f>'WS7 - Impact on Rates'!B35</f>
        <v>Residential</v>
      </c>
      <c r="C107" s="255" t="str">
        <f>'WS7 - Impact on Rates'!C35</f>
        <v/>
      </c>
      <c r="D107" s="3" t="str">
        <f>'WS7 - Impact on Rates'!D35</f>
        <v>$ nominal p.a.</v>
      </c>
      <c r="E107" s="54"/>
      <c r="F107" s="3"/>
      <c r="G107" s="3"/>
      <c r="H107" s="3"/>
      <c r="I107" s="31"/>
      <c r="J107" s="245">
        <f>'WS7 - Impact on Rates'!J35</f>
        <v>0</v>
      </c>
      <c r="K107" s="337">
        <f>'WS7 - Impact on Rates'!K35</f>
        <v>0</v>
      </c>
      <c r="L107" s="337">
        <f>'WS7 - Impact on Rates'!L35</f>
        <v>0</v>
      </c>
      <c r="M107" s="337">
        <f>'WS7 - Impact on Rates'!M35</f>
        <v>0</v>
      </c>
      <c r="N107" s="337">
        <f>'WS7 - Impact on Rates'!N35</f>
        <v>0</v>
      </c>
      <c r="O107" s="337">
        <f>'WS7 - Impact on Rates'!O35</f>
        <v>0</v>
      </c>
      <c r="P107" s="337">
        <f>'WS7 - Impact on Rates'!P35</f>
        <v>0</v>
      </c>
      <c r="Q107" s="337">
        <f>'WS7 - Impact on Rates'!Q35</f>
        <v>0</v>
      </c>
      <c r="R107" s="54"/>
      <c r="S107" s="3"/>
      <c r="T107" s="31"/>
      <c r="U107" s="151"/>
      <c r="V107" s="151"/>
      <c r="W107" s="151"/>
      <c r="X107" s="151"/>
      <c r="Y107" s="151"/>
      <c r="Z107" s="151"/>
      <c r="AA107" s="151"/>
      <c r="AB107" s="151"/>
      <c r="AC107" s="151"/>
      <c r="AD107" s="151"/>
      <c r="AE107" s="151"/>
      <c r="AF107" s="151"/>
    </row>
    <row r="108" spans="2:32" outlineLevel="1" x14ac:dyDescent="0.2">
      <c r="B108" s="245" t="str">
        <f>'WS7 - Impact on Rates'!B36</f>
        <v>Residential</v>
      </c>
      <c r="C108" s="255" t="str">
        <f>'WS7 - Impact on Rates'!C36</f>
        <v/>
      </c>
      <c r="D108" s="3" t="str">
        <f>'WS7 - Impact on Rates'!D36</f>
        <v>$ nominal p.a.</v>
      </c>
      <c r="E108" s="54"/>
      <c r="F108" s="3"/>
      <c r="G108" s="3"/>
      <c r="H108" s="3"/>
      <c r="I108" s="31"/>
      <c r="J108" s="245">
        <f>'WS7 - Impact on Rates'!J36</f>
        <v>0</v>
      </c>
      <c r="K108" s="337">
        <f>'WS7 - Impact on Rates'!K36</f>
        <v>0</v>
      </c>
      <c r="L108" s="337">
        <f>'WS7 - Impact on Rates'!L36</f>
        <v>0</v>
      </c>
      <c r="M108" s="337">
        <f>'WS7 - Impact on Rates'!M36</f>
        <v>0</v>
      </c>
      <c r="N108" s="337">
        <f>'WS7 - Impact on Rates'!N36</f>
        <v>0</v>
      </c>
      <c r="O108" s="337">
        <f>'WS7 - Impact on Rates'!O36</f>
        <v>0</v>
      </c>
      <c r="P108" s="337">
        <f>'WS7 - Impact on Rates'!P36</f>
        <v>0</v>
      </c>
      <c r="Q108" s="337">
        <f>'WS7 - Impact on Rates'!Q36</f>
        <v>0</v>
      </c>
      <c r="R108" s="54"/>
      <c r="S108" s="3"/>
      <c r="T108" s="31"/>
      <c r="U108" s="151"/>
      <c r="V108" s="151"/>
      <c r="W108" s="151"/>
      <c r="X108" s="151"/>
      <c r="Y108" s="151"/>
      <c r="Z108" s="151"/>
      <c r="AA108" s="151"/>
      <c r="AB108" s="151"/>
      <c r="AC108" s="151"/>
      <c r="AD108" s="151"/>
      <c r="AE108" s="151"/>
      <c r="AF108" s="151"/>
    </row>
    <row r="109" spans="2:32" outlineLevel="1" x14ac:dyDescent="0.2">
      <c r="B109" s="245" t="str">
        <f>'WS7 - Impact on Rates'!B37</f>
        <v>Residential</v>
      </c>
      <c r="C109" s="255" t="str">
        <f>'WS7 - Impact on Rates'!C37</f>
        <v/>
      </c>
      <c r="D109" s="3" t="str">
        <f>'WS7 - Impact on Rates'!D37</f>
        <v>$ nominal p.a.</v>
      </c>
      <c r="E109" s="54"/>
      <c r="F109" s="3"/>
      <c r="G109" s="3"/>
      <c r="H109" s="3"/>
      <c r="I109" s="31"/>
      <c r="J109" s="245">
        <f>'WS7 - Impact on Rates'!J37</f>
        <v>0</v>
      </c>
      <c r="K109" s="337">
        <f>'WS7 - Impact on Rates'!K37</f>
        <v>0</v>
      </c>
      <c r="L109" s="337">
        <f>'WS7 - Impact on Rates'!L37</f>
        <v>0</v>
      </c>
      <c r="M109" s="337">
        <f>'WS7 - Impact on Rates'!M37</f>
        <v>0</v>
      </c>
      <c r="N109" s="337">
        <f>'WS7 - Impact on Rates'!N37</f>
        <v>0</v>
      </c>
      <c r="O109" s="337">
        <f>'WS7 - Impact on Rates'!O37</f>
        <v>0</v>
      </c>
      <c r="P109" s="337">
        <f>'WS7 - Impact on Rates'!P37</f>
        <v>0</v>
      </c>
      <c r="Q109" s="337">
        <f>'WS7 - Impact on Rates'!Q37</f>
        <v>0</v>
      </c>
      <c r="R109" s="54"/>
      <c r="S109" s="3"/>
      <c r="T109" s="31"/>
      <c r="U109" s="151"/>
      <c r="V109" s="151"/>
      <c r="W109" s="151"/>
      <c r="X109" s="151"/>
      <c r="Y109" s="151"/>
      <c r="Z109" s="151"/>
      <c r="AA109" s="151"/>
      <c r="AB109" s="151"/>
      <c r="AC109" s="151"/>
      <c r="AD109" s="151"/>
      <c r="AE109" s="151"/>
      <c r="AF109" s="151"/>
    </row>
    <row r="110" spans="2:32" outlineLevel="1" x14ac:dyDescent="0.2">
      <c r="B110" s="245" t="str">
        <f>'WS7 - Impact on Rates'!B38</f>
        <v>Residential</v>
      </c>
      <c r="C110" s="255" t="str">
        <f>'WS7 - Impact on Rates'!C38</f>
        <v/>
      </c>
      <c r="D110" s="3" t="str">
        <f>'WS7 - Impact on Rates'!D38</f>
        <v>$ nominal p.a.</v>
      </c>
      <c r="E110" s="54"/>
      <c r="F110" s="3"/>
      <c r="G110" s="3"/>
      <c r="H110" s="3"/>
      <c r="I110" s="31"/>
      <c r="J110" s="245">
        <f>'WS7 - Impact on Rates'!J38</f>
        <v>0</v>
      </c>
      <c r="K110" s="337">
        <f>'WS7 - Impact on Rates'!K38</f>
        <v>0</v>
      </c>
      <c r="L110" s="337">
        <f>'WS7 - Impact on Rates'!L38</f>
        <v>0</v>
      </c>
      <c r="M110" s="337">
        <f>'WS7 - Impact on Rates'!M38</f>
        <v>0</v>
      </c>
      <c r="N110" s="337">
        <f>'WS7 - Impact on Rates'!N38</f>
        <v>0</v>
      </c>
      <c r="O110" s="337">
        <f>'WS7 - Impact on Rates'!O38</f>
        <v>0</v>
      </c>
      <c r="P110" s="337">
        <f>'WS7 - Impact on Rates'!P38</f>
        <v>0</v>
      </c>
      <c r="Q110" s="337">
        <f>'WS7 - Impact on Rates'!Q38</f>
        <v>0</v>
      </c>
      <c r="R110" s="54"/>
      <c r="S110" s="3"/>
      <c r="T110" s="31"/>
      <c r="U110" s="151"/>
      <c r="V110" s="151"/>
      <c r="W110" s="151"/>
      <c r="X110" s="151"/>
      <c r="Y110" s="151"/>
      <c r="Z110" s="151"/>
      <c r="AA110" s="151"/>
      <c r="AB110" s="151"/>
      <c r="AC110" s="151"/>
      <c r="AD110" s="151"/>
      <c r="AE110" s="151"/>
      <c r="AF110" s="151"/>
    </row>
    <row r="111" spans="2:32" outlineLevel="1" x14ac:dyDescent="0.2">
      <c r="B111" s="245" t="str">
        <f>'WS7 - Impact on Rates'!B39</f>
        <v>Residential</v>
      </c>
      <c r="C111" s="255" t="str">
        <f>'WS7 - Impact on Rates'!C39</f>
        <v/>
      </c>
      <c r="D111" s="3" t="str">
        <f>'WS7 - Impact on Rates'!D39</f>
        <v>$ nominal p.a.</v>
      </c>
      <c r="E111" s="54"/>
      <c r="F111" s="3"/>
      <c r="G111" s="3"/>
      <c r="H111" s="3"/>
      <c r="I111" s="31"/>
      <c r="J111" s="245">
        <f>'WS7 - Impact on Rates'!J39</f>
        <v>0</v>
      </c>
      <c r="K111" s="337">
        <f>'WS7 - Impact on Rates'!K39</f>
        <v>0</v>
      </c>
      <c r="L111" s="337">
        <f>'WS7 - Impact on Rates'!L39</f>
        <v>0</v>
      </c>
      <c r="M111" s="337">
        <f>'WS7 - Impact on Rates'!M39</f>
        <v>0</v>
      </c>
      <c r="N111" s="337">
        <f>'WS7 - Impact on Rates'!N39</f>
        <v>0</v>
      </c>
      <c r="O111" s="337">
        <f>'WS7 - Impact on Rates'!O39</f>
        <v>0</v>
      </c>
      <c r="P111" s="337">
        <f>'WS7 - Impact on Rates'!P39</f>
        <v>0</v>
      </c>
      <c r="Q111" s="337">
        <f>'WS7 - Impact on Rates'!Q39</f>
        <v>0</v>
      </c>
      <c r="R111" s="54"/>
      <c r="S111" s="3"/>
      <c r="T111" s="31"/>
      <c r="U111" s="151"/>
      <c r="V111" s="151"/>
      <c r="W111" s="151"/>
      <c r="X111" s="151"/>
      <c r="Y111" s="151"/>
      <c r="Z111" s="151"/>
      <c r="AA111" s="151"/>
      <c r="AB111" s="151"/>
      <c r="AC111" s="151"/>
      <c r="AD111" s="151"/>
      <c r="AE111" s="151"/>
      <c r="AF111" s="151"/>
    </row>
    <row r="112" spans="2:32" outlineLevel="1" x14ac:dyDescent="0.2">
      <c r="B112" s="245" t="str">
        <f>'WS7 - Impact on Rates'!B40</f>
        <v>Residential</v>
      </c>
      <c r="C112" s="255" t="str">
        <f>'WS7 - Impact on Rates'!C40</f>
        <v/>
      </c>
      <c r="D112" s="3" t="str">
        <f>'WS7 - Impact on Rates'!D40</f>
        <v>$ nominal p.a.</v>
      </c>
      <c r="E112" s="54"/>
      <c r="F112" s="3"/>
      <c r="G112" s="3"/>
      <c r="H112" s="3"/>
      <c r="I112" s="31"/>
      <c r="J112" s="245">
        <f>'WS7 - Impact on Rates'!J40</f>
        <v>0</v>
      </c>
      <c r="K112" s="337">
        <f>'WS7 - Impact on Rates'!K40</f>
        <v>0</v>
      </c>
      <c r="L112" s="337">
        <f>'WS7 - Impact on Rates'!L40</f>
        <v>0</v>
      </c>
      <c r="M112" s="337">
        <f>'WS7 - Impact on Rates'!M40</f>
        <v>0</v>
      </c>
      <c r="N112" s="337">
        <f>'WS7 - Impact on Rates'!N40</f>
        <v>0</v>
      </c>
      <c r="O112" s="337">
        <f>'WS7 - Impact on Rates'!O40</f>
        <v>0</v>
      </c>
      <c r="P112" s="337">
        <f>'WS7 - Impact on Rates'!P40</f>
        <v>0</v>
      </c>
      <c r="Q112" s="337">
        <f>'WS7 - Impact on Rates'!Q40</f>
        <v>0</v>
      </c>
      <c r="R112" s="54"/>
      <c r="S112" s="3"/>
      <c r="T112" s="31"/>
      <c r="U112" s="151"/>
      <c r="V112" s="151"/>
      <c r="W112" s="151"/>
      <c r="X112" s="151"/>
      <c r="Y112" s="151"/>
      <c r="Z112" s="151"/>
      <c r="AA112" s="151"/>
      <c r="AB112" s="151"/>
      <c r="AC112" s="151"/>
      <c r="AD112" s="151"/>
      <c r="AE112" s="151"/>
      <c r="AF112" s="151"/>
    </row>
    <row r="113" spans="2:32" outlineLevel="1" x14ac:dyDescent="0.2">
      <c r="B113" s="245" t="str">
        <f>'WS7 - Impact on Rates'!B41</f>
        <v>Residential</v>
      </c>
      <c r="C113" s="255" t="str">
        <f>'WS7 - Impact on Rates'!C41</f>
        <v/>
      </c>
      <c r="D113" s="3" t="str">
        <f>'WS7 - Impact on Rates'!D41</f>
        <v>$ nominal p.a.</v>
      </c>
      <c r="E113" s="54"/>
      <c r="F113" s="3"/>
      <c r="G113" s="3"/>
      <c r="H113" s="3"/>
      <c r="I113" s="31"/>
      <c r="J113" s="245">
        <f>'WS7 - Impact on Rates'!J41</f>
        <v>0</v>
      </c>
      <c r="K113" s="337">
        <f>'WS7 - Impact on Rates'!K41</f>
        <v>0</v>
      </c>
      <c r="L113" s="337">
        <f>'WS7 - Impact on Rates'!L41</f>
        <v>0</v>
      </c>
      <c r="M113" s="337">
        <f>'WS7 - Impact on Rates'!M41</f>
        <v>0</v>
      </c>
      <c r="N113" s="337">
        <f>'WS7 - Impact on Rates'!N41</f>
        <v>0</v>
      </c>
      <c r="O113" s="337">
        <f>'WS7 - Impact on Rates'!O41</f>
        <v>0</v>
      </c>
      <c r="P113" s="337">
        <f>'WS7 - Impact on Rates'!P41</f>
        <v>0</v>
      </c>
      <c r="Q113" s="337">
        <f>'WS7 - Impact on Rates'!Q41</f>
        <v>0</v>
      </c>
      <c r="R113" s="54"/>
      <c r="S113" s="3"/>
      <c r="T113" s="31"/>
      <c r="U113" s="151"/>
      <c r="V113" s="151"/>
      <c r="W113" s="151"/>
      <c r="X113" s="151"/>
      <c r="Y113" s="151"/>
      <c r="Z113" s="151"/>
      <c r="AA113" s="151"/>
      <c r="AB113" s="151"/>
      <c r="AC113" s="151"/>
      <c r="AD113" s="151"/>
      <c r="AE113" s="151"/>
      <c r="AF113" s="151"/>
    </row>
    <row r="114" spans="2:32" outlineLevel="1" x14ac:dyDescent="0.2">
      <c r="B114" s="245" t="str">
        <f>'WS7 - Impact on Rates'!B42</f>
        <v>Residential</v>
      </c>
      <c r="C114" s="255" t="str">
        <f>'WS7 - Impact on Rates'!C42</f>
        <v/>
      </c>
      <c r="D114" s="3" t="str">
        <f>'WS7 - Impact on Rates'!D42</f>
        <v>$ nominal p.a.</v>
      </c>
      <c r="E114" s="54"/>
      <c r="F114" s="3"/>
      <c r="G114" s="3"/>
      <c r="H114" s="3"/>
      <c r="I114" s="31"/>
      <c r="J114" s="245">
        <f>'WS7 - Impact on Rates'!J42</f>
        <v>0</v>
      </c>
      <c r="K114" s="337">
        <f>'WS7 - Impact on Rates'!K42</f>
        <v>0</v>
      </c>
      <c r="L114" s="337">
        <f>'WS7 - Impact on Rates'!L42</f>
        <v>0</v>
      </c>
      <c r="M114" s="337">
        <f>'WS7 - Impact on Rates'!M42</f>
        <v>0</v>
      </c>
      <c r="N114" s="337">
        <f>'WS7 - Impact on Rates'!N42</f>
        <v>0</v>
      </c>
      <c r="O114" s="337">
        <f>'WS7 - Impact on Rates'!O42</f>
        <v>0</v>
      </c>
      <c r="P114" s="337">
        <f>'WS7 - Impact on Rates'!P42</f>
        <v>0</v>
      </c>
      <c r="Q114" s="337">
        <f>'WS7 - Impact on Rates'!Q42</f>
        <v>0</v>
      </c>
      <c r="R114" s="54"/>
      <c r="S114" s="3"/>
      <c r="T114" s="31"/>
      <c r="U114" s="151"/>
      <c r="V114" s="151"/>
      <c r="W114" s="151"/>
      <c r="X114" s="151"/>
      <c r="Y114" s="151"/>
      <c r="Z114" s="151"/>
      <c r="AA114" s="151"/>
      <c r="AB114" s="151"/>
      <c r="AC114" s="151"/>
      <c r="AD114" s="151"/>
      <c r="AE114" s="151"/>
      <c r="AF114" s="151"/>
    </row>
    <row r="115" spans="2:32" outlineLevel="1" x14ac:dyDescent="0.2">
      <c r="B115" s="245" t="str">
        <f>'WS7 - Impact on Rates'!B43</f>
        <v>Residential</v>
      </c>
      <c r="C115" s="255" t="str">
        <f>'WS7 - Impact on Rates'!C43</f>
        <v/>
      </c>
      <c r="D115" s="3" t="str">
        <f>'WS7 - Impact on Rates'!D43</f>
        <v>$ nominal p.a.</v>
      </c>
      <c r="E115" s="54"/>
      <c r="F115" s="3"/>
      <c r="G115" s="3"/>
      <c r="H115" s="3"/>
      <c r="I115" s="31"/>
      <c r="J115" s="245">
        <f>'WS7 - Impact on Rates'!J43</f>
        <v>0</v>
      </c>
      <c r="K115" s="337">
        <f>'WS7 - Impact on Rates'!K43</f>
        <v>0</v>
      </c>
      <c r="L115" s="337">
        <f>'WS7 - Impact on Rates'!L43</f>
        <v>0</v>
      </c>
      <c r="M115" s="337">
        <f>'WS7 - Impact on Rates'!M43</f>
        <v>0</v>
      </c>
      <c r="N115" s="337">
        <f>'WS7 - Impact on Rates'!N43</f>
        <v>0</v>
      </c>
      <c r="O115" s="337">
        <f>'WS7 - Impact on Rates'!O43</f>
        <v>0</v>
      </c>
      <c r="P115" s="337">
        <f>'WS7 - Impact on Rates'!P43</f>
        <v>0</v>
      </c>
      <c r="Q115" s="337">
        <f>'WS7 - Impact on Rates'!Q43</f>
        <v>0</v>
      </c>
      <c r="R115" s="54"/>
      <c r="S115" s="3"/>
      <c r="T115" s="31"/>
      <c r="U115" s="151"/>
      <c r="V115" s="151"/>
      <c r="W115" s="151"/>
      <c r="X115" s="151"/>
      <c r="Y115" s="151"/>
      <c r="Z115" s="151"/>
      <c r="AA115" s="151"/>
      <c r="AB115" s="151"/>
      <c r="AC115" s="151"/>
      <c r="AD115" s="151"/>
      <c r="AE115" s="151"/>
      <c r="AF115" s="151"/>
    </row>
    <row r="116" spans="2:32" outlineLevel="1" x14ac:dyDescent="0.2">
      <c r="B116" s="245" t="str">
        <f>'WS7 - Impact on Rates'!B44</f>
        <v>Residential</v>
      </c>
      <c r="C116" s="255" t="str">
        <f>'WS7 - Impact on Rates'!C44</f>
        <v/>
      </c>
      <c r="D116" s="3" t="str">
        <f>'WS7 - Impact on Rates'!D44</f>
        <v>$ nominal p.a.</v>
      </c>
      <c r="E116" s="54"/>
      <c r="F116" s="3"/>
      <c r="G116" s="3"/>
      <c r="H116" s="3"/>
      <c r="I116" s="31"/>
      <c r="J116" s="245">
        <f>'WS7 - Impact on Rates'!J44</f>
        <v>0</v>
      </c>
      <c r="K116" s="337">
        <f>'WS7 - Impact on Rates'!K44</f>
        <v>0</v>
      </c>
      <c r="L116" s="337">
        <f>'WS7 - Impact on Rates'!L44</f>
        <v>0</v>
      </c>
      <c r="M116" s="337">
        <f>'WS7 - Impact on Rates'!M44</f>
        <v>0</v>
      </c>
      <c r="N116" s="337">
        <f>'WS7 - Impact on Rates'!N44</f>
        <v>0</v>
      </c>
      <c r="O116" s="337">
        <f>'WS7 - Impact on Rates'!O44</f>
        <v>0</v>
      </c>
      <c r="P116" s="337">
        <f>'WS7 - Impact on Rates'!P44</f>
        <v>0</v>
      </c>
      <c r="Q116" s="337">
        <f>'WS7 - Impact on Rates'!Q44</f>
        <v>0</v>
      </c>
      <c r="R116" s="54"/>
      <c r="S116" s="3"/>
      <c r="T116" s="31"/>
      <c r="U116" s="151"/>
      <c r="V116" s="151"/>
      <c r="W116" s="151"/>
      <c r="X116" s="151"/>
      <c r="Y116" s="151"/>
      <c r="Z116" s="151"/>
      <c r="AA116" s="151"/>
      <c r="AB116" s="151"/>
      <c r="AC116" s="151"/>
      <c r="AD116" s="151"/>
      <c r="AE116" s="151"/>
      <c r="AF116" s="151"/>
    </row>
    <row r="117" spans="2:32" outlineLevel="1" x14ac:dyDescent="0.2">
      <c r="B117" s="245" t="str">
        <f>'WS7 - Impact on Rates'!B45</f>
        <v>Residential</v>
      </c>
      <c r="C117" s="255" t="str">
        <f>'WS7 - Impact on Rates'!C45</f>
        <v/>
      </c>
      <c r="D117" s="3" t="str">
        <f>'WS7 - Impact on Rates'!D45</f>
        <v>$ nominal p.a.</v>
      </c>
      <c r="E117" s="54"/>
      <c r="F117" s="3"/>
      <c r="G117" s="3"/>
      <c r="H117" s="3"/>
      <c r="I117" s="31"/>
      <c r="J117" s="245">
        <f>'WS7 - Impact on Rates'!J45</f>
        <v>0</v>
      </c>
      <c r="K117" s="337">
        <f>'WS7 - Impact on Rates'!K45</f>
        <v>0</v>
      </c>
      <c r="L117" s="337">
        <f>'WS7 - Impact on Rates'!L45</f>
        <v>0</v>
      </c>
      <c r="M117" s="337">
        <f>'WS7 - Impact on Rates'!M45</f>
        <v>0</v>
      </c>
      <c r="N117" s="337">
        <f>'WS7 - Impact on Rates'!N45</f>
        <v>0</v>
      </c>
      <c r="O117" s="337">
        <f>'WS7 - Impact on Rates'!O45</f>
        <v>0</v>
      </c>
      <c r="P117" s="337">
        <f>'WS7 - Impact on Rates'!P45</f>
        <v>0</v>
      </c>
      <c r="Q117" s="337">
        <f>'WS7 - Impact on Rates'!Q45</f>
        <v>0</v>
      </c>
      <c r="R117" s="54"/>
      <c r="S117" s="3"/>
      <c r="T117" s="31"/>
      <c r="U117" s="151"/>
      <c r="V117" s="151"/>
      <c r="W117" s="151"/>
      <c r="X117" s="151"/>
      <c r="Y117" s="151"/>
      <c r="Z117" s="151"/>
      <c r="AA117" s="151"/>
      <c r="AB117" s="151"/>
      <c r="AC117" s="151"/>
      <c r="AD117" s="151"/>
      <c r="AE117" s="151"/>
      <c r="AF117" s="151"/>
    </row>
    <row r="118" spans="2:32" outlineLevel="1" x14ac:dyDescent="0.2">
      <c r="B118" s="245" t="str">
        <f>'WS7 - Impact on Rates'!B46</f>
        <v>Residential</v>
      </c>
      <c r="C118" s="255" t="str">
        <f>'WS7 - Impact on Rates'!C46</f>
        <v/>
      </c>
      <c r="D118" s="3" t="str">
        <f>'WS7 - Impact on Rates'!D46</f>
        <v>$ nominal p.a.</v>
      </c>
      <c r="E118" s="54"/>
      <c r="F118" s="3"/>
      <c r="G118" s="3"/>
      <c r="H118" s="3"/>
      <c r="I118" s="31"/>
      <c r="J118" s="245">
        <f>'WS7 - Impact on Rates'!J46</f>
        <v>0</v>
      </c>
      <c r="K118" s="337">
        <f>'WS7 - Impact on Rates'!K46</f>
        <v>0</v>
      </c>
      <c r="L118" s="337">
        <f>'WS7 - Impact on Rates'!L46</f>
        <v>0</v>
      </c>
      <c r="M118" s="337">
        <f>'WS7 - Impact on Rates'!M46</f>
        <v>0</v>
      </c>
      <c r="N118" s="337">
        <f>'WS7 - Impact on Rates'!N46</f>
        <v>0</v>
      </c>
      <c r="O118" s="337">
        <f>'WS7 - Impact on Rates'!O46</f>
        <v>0</v>
      </c>
      <c r="P118" s="337">
        <f>'WS7 - Impact on Rates'!P46</f>
        <v>0</v>
      </c>
      <c r="Q118" s="337">
        <f>'WS7 - Impact on Rates'!Q46</f>
        <v>0</v>
      </c>
      <c r="R118" s="54"/>
      <c r="S118" s="3"/>
      <c r="T118" s="31"/>
      <c r="U118" s="151"/>
      <c r="V118" s="151"/>
      <c r="W118" s="151"/>
      <c r="X118" s="151"/>
      <c r="Y118" s="151"/>
      <c r="Z118" s="151"/>
      <c r="AA118" s="151"/>
      <c r="AB118" s="151"/>
      <c r="AC118" s="151"/>
      <c r="AD118" s="151"/>
      <c r="AE118" s="151"/>
      <c r="AF118" s="151"/>
    </row>
    <row r="119" spans="2:32" ht="12.75" outlineLevel="1" thickBot="1" x14ac:dyDescent="0.25">
      <c r="B119" s="368" t="str">
        <f>'WS7 - Impact on Rates'!B47</f>
        <v>Residential</v>
      </c>
      <c r="C119" s="369" t="str">
        <f>'WS7 - Impact on Rates'!C47</f>
        <v/>
      </c>
      <c r="D119" s="370" t="str">
        <f>'WS7 - Impact on Rates'!D47</f>
        <v>$ nominal p.a.</v>
      </c>
      <c r="E119" s="54"/>
      <c r="F119" s="3"/>
      <c r="G119" s="3"/>
      <c r="H119" s="3"/>
      <c r="I119" s="31"/>
      <c r="J119" s="368">
        <f>'WS7 - Impact on Rates'!J47</f>
        <v>0</v>
      </c>
      <c r="K119" s="371">
        <f>'WS7 - Impact on Rates'!K47</f>
        <v>0</v>
      </c>
      <c r="L119" s="371">
        <f>'WS7 - Impact on Rates'!L47</f>
        <v>0</v>
      </c>
      <c r="M119" s="371">
        <f>'WS7 - Impact on Rates'!M47</f>
        <v>0</v>
      </c>
      <c r="N119" s="371">
        <f>'WS7 - Impact on Rates'!N47</f>
        <v>0</v>
      </c>
      <c r="O119" s="371">
        <f>'WS7 - Impact on Rates'!O47</f>
        <v>0</v>
      </c>
      <c r="P119" s="371">
        <f>'WS7 - Impact on Rates'!P47</f>
        <v>0</v>
      </c>
      <c r="Q119" s="372">
        <f>'WS7 - Impact on Rates'!Q47</f>
        <v>0</v>
      </c>
      <c r="R119" s="54"/>
      <c r="S119" s="3"/>
      <c r="T119" s="31"/>
      <c r="U119" s="151"/>
      <c r="V119" s="151"/>
      <c r="W119" s="151"/>
      <c r="X119" s="151"/>
      <c r="Y119" s="151"/>
      <c r="Z119" s="151"/>
      <c r="AA119" s="151"/>
      <c r="AB119" s="151"/>
      <c r="AC119" s="151"/>
      <c r="AD119" s="151"/>
      <c r="AE119" s="151"/>
      <c r="AF119" s="151"/>
    </row>
    <row r="120" spans="2:32" ht="12.75" outlineLevel="1" thickTop="1" x14ac:dyDescent="0.2">
      <c r="B120" s="245" t="str">
        <f>'WS7 - Impact on Rates'!B49</f>
        <v>Business</v>
      </c>
      <c r="C120" s="255" t="str">
        <f>'WS7 - Impact on Rates'!C49</f>
        <v>Business</v>
      </c>
      <c r="D120" s="255" t="str">
        <f>'WS7 - Impact on Rates'!D49</f>
        <v>$ nominal p.a.</v>
      </c>
      <c r="E120" s="54"/>
      <c r="F120" s="3"/>
      <c r="G120" s="3"/>
      <c r="H120" s="3"/>
      <c r="I120" s="31"/>
      <c r="J120" s="245">
        <f>'WS7 - Impact on Rates'!J49</f>
        <v>1253.5</v>
      </c>
      <c r="K120" s="337">
        <f>'WS7 - Impact on Rates'!K49</f>
        <v>1441.5249999999999</v>
      </c>
      <c r="L120" s="337">
        <f>'WS7 - Impact on Rates'!L49</f>
        <v>1484.7707499999999</v>
      </c>
      <c r="M120" s="337">
        <f>'WS7 - Impact on Rates'!M49</f>
        <v>1529.3138724999999</v>
      </c>
      <c r="N120" s="337">
        <f>'WS7 - Impact on Rates'!N49</f>
        <v>1575.1932886749998</v>
      </c>
      <c r="O120" s="337">
        <f>'WS7 - Impact on Rates'!O49</f>
        <v>1622.4490873352499</v>
      </c>
      <c r="P120" s="337">
        <f>'WS7 - Impact on Rates'!P49</f>
        <v>1671.1225599553075</v>
      </c>
      <c r="Q120" s="337">
        <f>'WS7 - Impact on Rates'!Q49</f>
        <v>1721.2562367539667</v>
      </c>
      <c r="R120" s="54"/>
      <c r="S120" s="3"/>
      <c r="T120" s="31"/>
      <c r="U120" s="151"/>
      <c r="V120" s="151"/>
      <c r="W120" s="151"/>
      <c r="X120" s="151"/>
      <c r="Y120" s="151"/>
      <c r="Z120" s="151"/>
      <c r="AA120" s="151"/>
      <c r="AB120" s="151"/>
      <c r="AC120" s="151"/>
      <c r="AD120" s="151"/>
      <c r="AE120" s="151"/>
      <c r="AF120" s="151"/>
    </row>
    <row r="121" spans="2:32" outlineLevel="1" x14ac:dyDescent="0.2">
      <c r="B121" s="245" t="str">
        <f>'WS7 - Impact on Rates'!B50</f>
        <v>Business</v>
      </c>
      <c r="C121" s="255" t="str">
        <f>'WS7 - Impact on Rates'!C50</f>
        <v>Chatswood Town Centre</v>
      </c>
      <c r="D121" s="3" t="str">
        <f>'WS7 - Impact on Rates'!D50</f>
        <v>$ nominal p.a.</v>
      </c>
      <c r="E121" s="54"/>
      <c r="F121" s="3"/>
      <c r="G121" s="3"/>
      <c r="H121" s="3"/>
      <c r="I121" s="31"/>
      <c r="J121" s="245">
        <f>'WS7 - Impact on Rates'!J50</f>
        <v>1338.5</v>
      </c>
      <c r="K121" s="337">
        <f>'WS7 - Impact on Rates'!K50</f>
        <v>1539.2749999999999</v>
      </c>
      <c r="L121" s="337">
        <f>'WS7 - Impact on Rates'!L50</f>
        <v>1585.4532499999998</v>
      </c>
      <c r="M121" s="337">
        <f>'WS7 - Impact on Rates'!M50</f>
        <v>1633.0168474999998</v>
      </c>
      <c r="N121" s="337">
        <f>'WS7 - Impact on Rates'!N50</f>
        <v>1682.0073529249999</v>
      </c>
      <c r="O121" s="337">
        <f>'WS7 - Impact on Rates'!O50</f>
        <v>1732.4675735127498</v>
      </c>
      <c r="P121" s="337">
        <f>'WS7 - Impact on Rates'!P50</f>
        <v>1784.4416007181323</v>
      </c>
      <c r="Q121" s="337">
        <f>'WS7 - Impact on Rates'!Q50</f>
        <v>1837.9748487396764</v>
      </c>
      <c r="R121" s="54"/>
      <c r="S121" s="3"/>
      <c r="T121" s="31"/>
      <c r="U121" s="151"/>
      <c r="V121" s="151"/>
      <c r="W121" s="151"/>
      <c r="X121" s="151"/>
      <c r="Y121" s="151"/>
      <c r="Z121" s="151"/>
      <c r="AA121" s="151"/>
      <c r="AB121" s="151"/>
      <c r="AC121" s="151"/>
      <c r="AD121" s="151"/>
      <c r="AE121" s="151"/>
      <c r="AF121" s="151"/>
    </row>
    <row r="122" spans="2:32" outlineLevel="1" x14ac:dyDescent="0.2">
      <c r="B122" s="245" t="str">
        <f>'WS7 - Impact on Rates'!B51</f>
        <v>Business</v>
      </c>
      <c r="C122" s="255" t="str">
        <f>'WS7 - Impact on Rates'!C51</f>
        <v>Chatswood Major Retail - Chase</v>
      </c>
      <c r="D122" s="3" t="str">
        <f>'WS7 - Impact on Rates'!D51</f>
        <v>$ nominal p.a.</v>
      </c>
      <c r="E122" s="54"/>
      <c r="F122" s="3"/>
      <c r="G122" s="3"/>
      <c r="H122" s="3"/>
      <c r="I122" s="31"/>
      <c r="J122" s="245">
        <f>'WS7 - Impact on Rates'!J51</f>
        <v>1121.75</v>
      </c>
      <c r="K122" s="337">
        <f>'WS7 - Impact on Rates'!K51</f>
        <v>1290.0124999999998</v>
      </c>
      <c r="L122" s="337">
        <f>'WS7 - Impact on Rates'!L51</f>
        <v>1328.7128749999999</v>
      </c>
      <c r="M122" s="337">
        <f>'WS7 - Impact on Rates'!M51</f>
        <v>1368.5742612500001</v>
      </c>
      <c r="N122" s="337">
        <f>'WS7 - Impact on Rates'!N51</f>
        <v>1409.6314890875001</v>
      </c>
      <c r="O122" s="337">
        <f>'WS7 - Impact on Rates'!O51</f>
        <v>1451.9204337601252</v>
      </c>
      <c r="P122" s="337">
        <f>'WS7 - Impact on Rates'!P51</f>
        <v>1495.478046772929</v>
      </c>
      <c r="Q122" s="337">
        <f>'WS7 - Impact on Rates'!Q51</f>
        <v>1540.3423881761169</v>
      </c>
      <c r="R122" s="54"/>
      <c r="S122" s="3"/>
      <c r="T122" s="31"/>
      <c r="U122" s="151"/>
      <c r="V122" s="151"/>
      <c r="W122" s="151"/>
      <c r="X122" s="151"/>
      <c r="Y122" s="151"/>
      <c r="Z122" s="151"/>
      <c r="AA122" s="151"/>
      <c r="AB122" s="151"/>
      <c r="AC122" s="151"/>
      <c r="AD122" s="151"/>
      <c r="AE122" s="151"/>
      <c r="AF122" s="151"/>
    </row>
    <row r="123" spans="2:32" outlineLevel="1" x14ac:dyDescent="0.2">
      <c r="B123" s="245" t="str">
        <f>'WS7 - Impact on Rates'!B52</f>
        <v>Business</v>
      </c>
      <c r="C123" s="255" t="str">
        <f>'WS7 - Impact on Rates'!C52</f>
        <v>Chatswood Major Retail - Westfield</v>
      </c>
      <c r="D123" s="3" t="str">
        <f>'WS7 - Impact on Rates'!D52</f>
        <v>$ nominal p.a.</v>
      </c>
      <c r="E123" s="54"/>
      <c r="F123" s="3"/>
      <c r="G123" s="3"/>
      <c r="H123" s="3"/>
      <c r="I123" s="31"/>
      <c r="J123" s="245">
        <f>'WS7 - Impact on Rates'!J52</f>
        <v>1121.75</v>
      </c>
      <c r="K123" s="337">
        <f>'WS7 - Impact on Rates'!K52</f>
        <v>1290.0124999999998</v>
      </c>
      <c r="L123" s="337">
        <f>'WS7 - Impact on Rates'!L52</f>
        <v>1328.7128749999999</v>
      </c>
      <c r="M123" s="337">
        <f>'WS7 - Impact on Rates'!M52</f>
        <v>1368.5742612500001</v>
      </c>
      <c r="N123" s="337">
        <f>'WS7 - Impact on Rates'!N52</f>
        <v>1409.6314890875001</v>
      </c>
      <c r="O123" s="337">
        <f>'WS7 - Impact on Rates'!O52</f>
        <v>1451.9204337601252</v>
      </c>
      <c r="P123" s="337">
        <f>'WS7 - Impact on Rates'!P52</f>
        <v>1495.478046772929</v>
      </c>
      <c r="Q123" s="337">
        <f>'WS7 - Impact on Rates'!Q52</f>
        <v>1540.3423881761169</v>
      </c>
      <c r="R123" s="54"/>
      <c r="S123" s="3"/>
      <c r="T123" s="31"/>
      <c r="U123" s="151"/>
      <c r="V123" s="151"/>
      <c r="W123" s="151"/>
      <c r="X123" s="151"/>
      <c r="Y123" s="151"/>
      <c r="Z123" s="151"/>
      <c r="AA123" s="151"/>
      <c r="AB123" s="151"/>
      <c r="AC123" s="151"/>
      <c r="AD123" s="151"/>
      <c r="AE123" s="151"/>
      <c r="AF123" s="151"/>
    </row>
    <row r="124" spans="2:32" outlineLevel="1" x14ac:dyDescent="0.2">
      <c r="B124" s="245" t="str">
        <f>'WS7 - Impact on Rates'!B53</f>
        <v>Business</v>
      </c>
      <c r="C124" s="255" t="str">
        <f>'WS7 - Impact on Rates'!C53</f>
        <v>Strata Storage</v>
      </c>
      <c r="D124" s="3" t="str">
        <f>'WS7 - Impact on Rates'!D53</f>
        <v>$ nominal p.a.</v>
      </c>
      <c r="E124" s="54"/>
      <c r="F124" s="3"/>
      <c r="G124" s="3"/>
      <c r="H124" s="3"/>
      <c r="I124" s="31"/>
      <c r="J124" s="245">
        <f>'WS7 - Impact on Rates'!J53</f>
        <v>850.85</v>
      </c>
      <c r="K124" s="337">
        <f>'WS7 - Impact on Rates'!K53</f>
        <v>978.47749999999996</v>
      </c>
      <c r="L124" s="337">
        <f>'WS7 - Impact on Rates'!L53</f>
        <v>1007.831825</v>
      </c>
      <c r="M124" s="337">
        <f>'WS7 - Impact on Rates'!M53</f>
        <v>1038.06677975</v>
      </c>
      <c r="N124" s="337">
        <f>'WS7 - Impact on Rates'!N53</f>
        <v>1069.2087831425001</v>
      </c>
      <c r="O124" s="337">
        <f>'WS7 - Impact on Rates'!O53</f>
        <v>1101.2850466367752</v>
      </c>
      <c r="P124" s="337">
        <f>'WS7 - Impact on Rates'!P53</f>
        <v>1134.3235980358784</v>
      </c>
      <c r="Q124" s="337">
        <f>'WS7 - Impact on Rates'!Q53</f>
        <v>1168.3533059769547</v>
      </c>
      <c r="R124" s="54"/>
      <c r="S124" s="3"/>
      <c r="T124" s="31"/>
      <c r="U124" s="151"/>
      <c r="V124" s="151"/>
      <c r="W124" s="151"/>
      <c r="X124" s="151"/>
      <c r="Y124" s="151"/>
      <c r="Z124" s="151"/>
      <c r="AA124" s="151"/>
      <c r="AB124" s="151"/>
      <c r="AC124" s="151"/>
      <c r="AD124" s="151"/>
      <c r="AE124" s="151"/>
      <c r="AF124" s="151"/>
    </row>
    <row r="125" spans="2:32" outlineLevel="1" x14ac:dyDescent="0.2">
      <c r="B125" s="245" t="str">
        <f>'WS7 - Impact on Rates'!B54</f>
        <v>Business</v>
      </c>
      <c r="C125" s="255" t="str">
        <f>'WS7 - Impact on Rates'!C54</f>
        <v/>
      </c>
      <c r="D125" s="3" t="str">
        <f>'WS7 - Impact on Rates'!D54</f>
        <v>$ nominal p.a.</v>
      </c>
      <c r="E125" s="54"/>
      <c r="F125" s="3"/>
      <c r="G125" s="3"/>
      <c r="H125" s="3"/>
      <c r="I125" s="31"/>
      <c r="J125" s="245">
        <f>'WS7 - Impact on Rates'!J54</f>
        <v>0</v>
      </c>
      <c r="K125" s="337">
        <f>'WS7 - Impact on Rates'!K54</f>
        <v>0</v>
      </c>
      <c r="L125" s="337">
        <f>'WS7 - Impact on Rates'!L54</f>
        <v>0</v>
      </c>
      <c r="M125" s="337">
        <f>'WS7 - Impact on Rates'!M54</f>
        <v>0</v>
      </c>
      <c r="N125" s="337">
        <f>'WS7 - Impact on Rates'!N54</f>
        <v>0</v>
      </c>
      <c r="O125" s="337">
        <f>'WS7 - Impact on Rates'!O54</f>
        <v>0</v>
      </c>
      <c r="P125" s="337">
        <f>'WS7 - Impact on Rates'!P54</f>
        <v>0</v>
      </c>
      <c r="Q125" s="337">
        <f>'WS7 - Impact on Rates'!Q54</f>
        <v>0</v>
      </c>
      <c r="R125" s="54"/>
      <c r="S125" s="3"/>
      <c r="T125" s="31"/>
      <c r="U125" s="151"/>
      <c r="V125" s="151"/>
      <c r="W125" s="151"/>
      <c r="X125" s="151"/>
      <c r="Y125" s="151"/>
      <c r="Z125" s="151"/>
      <c r="AA125" s="151"/>
      <c r="AB125" s="151"/>
      <c r="AC125" s="151"/>
      <c r="AD125" s="151"/>
      <c r="AE125" s="151"/>
      <c r="AF125" s="151"/>
    </row>
    <row r="126" spans="2:32" outlineLevel="1" x14ac:dyDescent="0.2">
      <c r="B126" s="245" t="str">
        <f>'WS7 - Impact on Rates'!B55</f>
        <v>Business</v>
      </c>
      <c r="C126" s="255" t="str">
        <f>'WS7 - Impact on Rates'!C55</f>
        <v/>
      </c>
      <c r="D126" s="3" t="str">
        <f>'WS7 - Impact on Rates'!D55</f>
        <v>$ nominal p.a.</v>
      </c>
      <c r="E126" s="54"/>
      <c r="F126" s="3"/>
      <c r="G126" s="3"/>
      <c r="H126" s="3"/>
      <c r="I126" s="31"/>
      <c r="J126" s="245">
        <f>'WS7 - Impact on Rates'!J55</f>
        <v>0</v>
      </c>
      <c r="K126" s="337">
        <f>'WS7 - Impact on Rates'!K55</f>
        <v>0</v>
      </c>
      <c r="L126" s="337">
        <f>'WS7 - Impact on Rates'!L55</f>
        <v>0</v>
      </c>
      <c r="M126" s="337">
        <f>'WS7 - Impact on Rates'!M55</f>
        <v>0</v>
      </c>
      <c r="N126" s="337">
        <f>'WS7 - Impact on Rates'!N55</f>
        <v>0</v>
      </c>
      <c r="O126" s="337">
        <f>'WS7 - Impact on Rates'!O55</f>
        <v>0</v>
      </c>
      <c r="P126" s="337">
        <f>'WS7 - Impact on Rates'!P55</f>
        <v>0</v>
      </c>
      <c r="Q126" s="337">
        <f>'WS7 - Impact on Rates'!Q55</f>
        <v>0</v>
      </c>
      <c r="R126" s="54"/>
      <c r="S126" s="3"/>
      <c r="T126" s="31"/>
      <c r="U126" s="151"/>
      <c r="V126" s="151"/>
      <c r="W126" s="151"/>
      <c r="X126" s="151"/>
      <c r="Y126" s="151"/>
      <c r="Z126" s="151"/>
      <c r="AA126" s="151"/>
      <c r="AB126" s="151"/>
      <c r="AC126" s="151"/>
      <c r="AD126" s="151"/>
      <c r="AE126" s="151"/>
      <c r="AF126" s="151"/>
    </row>
    <row r="127" spans="2:32" outlineLevel="1" x14ac:dyDescent="0.2">
      <c r="B127" s="245" t="str">
        <f>'WS7 - Impact on Rates'!B56</f>
        <v>Business</v>
      </c>
      <c r="C127" s="255" t="str">
        <f>'WS7 - Impact on Rates'!C56</f>
        <v/>
      </c>
      <c r="D127" s="3" t="str">
        <f>'WS7 - Impact on Rates'!D56</f>
        <v>$ nominal p.a.</v>
      </c>
      <c r="E127" s="54"/>
      <c r="F127" s="3"/>
      <c r="G127" s="3"/>
      <c r="H127" s="3"/>
      <c r="I127" s="31"/>
      <c r="J127" s="245">
        <f>'WS7 - Impact on Rates'!J56</f>
        <v>0</v>
      </c>
      <c r="K127" s="337">
        <f>'WS7 - Impact on Rates'!K56</f>
        <v>0</v>
      </c>
      <c r="L127" s="337">
        <f>'WS7 - Impact on Rates'!L56</f>
        <v>0</v>
      </c>
      <c r="M127" s="337">
        <f>'WS7 - Impact on Rates'!M56</f>
        <v>0</v>
      </c>
      <c r="N127" s="337">
        <f>'WS7 - Impact on Rates'!N56</f>
        <v>0</v>
      </c>
      <c r="O127" s="337">
        <f>'WS7 - Impact on Rates'!O56</f>
        <v>0</v>
      </c>
      <c r="P127" s="337">
        <f>'WS7 - Impact on Rates'!P56</f>
        <v>0</v>
      </c>
      <c r="Q127" s="337">
        <f>'WS7 - Impact on Rates'!Q56</f>
        <v>0</v>
      </c>
      <c r="R127" s="54"/>
      <c r="S127" s="3"/>
      <c r="T127" s="31"/>
      <c r="U127" s="151"/>
      <c r="V127" s="151"/>
      <c r="W127" s="151"/>
      <c r="X127" s="151"/>
      <c r="Y127" s="151"/>
      <c r="Z127" s="151"/>
      <c r="AA127" s="151"/>
      <c r="AB127" s="151"/>
      <c r="AC127" s="151"/>
      <c r="AD127" s="151"/>
      <c r="AE127" s="151"/>
      <c r="AF127" s="151"/>
    </row>
    <row r="128" spans="2:32" outlineLevel="1" x14ac:dyDescent="0.2">
      <c r="B128" s="245" t="str">
        <f>'WS7 - Impact on Rates'!B57</f>
        <v>Business</v>
      </c>
      <c r="C128" s="255" t="str">
        <f>'WS7 - Impact on Rates'!C57</f>
        <v/>
      </c>
      <c r="D128" s="3" t="str">
        <f>'WS7 - Impact on Rates'!D57</f>
        <v>$ nominal p.a.</v>
      </c>
      <c r="E128" s="54"/>
      <c r="F128" s="3"/>
      <c r="G128" s="3"/>
      <c r="H128" s="3"/>
      <c r="I128" s="31"/>
      <c r="J128" s="245">
        <f>'WS7 - Impact on Rates'!J57</f>
        <v>0</v>
      </c>
      <c r="K128" s="337">
        <f>'WS7 - Impact on Rates'!K57</f>
        <v>0</v>
      </c>
      <c r="L128" s="337">
        <f>'WS7 - Impact on Rates'!L57</f>
        <v>0</v>
      </c>
      <c r="M128" s="337">
        <f>'WS7 - Impact on Rates'!M57</f>
        <v>0</v>
      </c>
      <c r="N128" s="337">
        <f>'WS7 - Impact on Rates'!N57</f>
        <v>0</v>
      </c>
      <c r="O128" s="337">
        <f>'WS7 - Impact on Rates'!O57</f>
        <v>0</v>
      </c>
      <c r="P128" s="337">
        <f>'WS7 - Impact on Rates'!P57</f>
        <v>0</v>
      </c>
      <c r="Q128" s="337">
        <f>'WS7 - Impact on Rates'!Q57</f>
        <v>0</v>
      </c>
      <c r="R128" s="54"/>
      <c r="S128" s="3"/>
      <c r="T128" s="31"/>
      <c r="U128" s="151"/>
      <c r="V128" s="151"/>
      <c r="W128" s="151"/>
      <c r="X128" s="151"/>
      <c r="Y128" s="151"/>
      <c r="Z128" s="151"/>
      <c r="AA128" s="151"/>
      <c r="AB128" s="151"/>
      <c r="AC128" s="151"/>
      <c r="AD128" s="151"/>
      <c r="AE128" s="151"/>
      <c r="AF128" s="151"/>
    </row>
    <row r="129" spans="2:32" outlineLevel="1" x14ac:dyDescent="0.2">
      <c r="B129" s="245" t="str">
        <f>'WS7 - Impact on Rates'!B58</f>
        <v>Business</v>
      </c>
      <c r="C129" s="255" t="str">
        <f>'WS7 - Impact on Rates'!C58</f>
        <v/>
      </c>
      <c r="D129" s="3" t="str">
        <f>'WS7 - Impact on Rates'!D58</f>
        <v>$ nominal p.a.</v>
      </c>
      <c r="E129" s="54"/>
      <c r="F129" s="3"/>
      <c r="G129" s="3"/>
      <c r="H129" s="3"/>
      <c r="I129" s="31"/>
      <c r="J129" s="245">
        <f>'WS7 - Impact on Rates'!J58</f>
        <v>0</v>
      </c>
      <c r="K129" s="337">
        <f>'WS7 - Impact on Rates'!K58</f>
        <v>0</v>
      </c>
      <c r="L129" s="337">
        <f>'WS7 - Impact on Rates'!L58</f>
        <v>0</v>
      </c>
      <c r="M129" s="337">
        <f>'WS7 - Impact on Rates'!M58</f>
        <v>0</v>
      </c>
      <c r="N129" s="337">
        <f>'WS7 - Impact on Rates'!N58</f>
        <v>0</v>
      </c>
      <c r="O129" s="337">
        <f>'WS7 - Impact on Rates'!O58</f>
        <v>0</v>
      </c>
      <c r="P129" s="337">
        <f>'WS7 - Impact on Rates'!P58</f>
        <v>0</v>
      </c>
      <c r="Q129" s="337">
        <f>'WS7 - Impact on Rates'!Q58</f>
        <v>0</v>
      </c>
      <c r="R129" s="54"/>
      <c r="S129" s="3"/>
      <c r="T129" s="31"/>
      <c r="U129" s="151"/>
      <c r="V129" s="151"/>
      <c r="W129" s="151"/>
      <c r="X129" s="151"/>
      <c r="Y129" s="151"/>
      <c r="Z129" s="151"/>
      <c r="AA129" s="151"/>
      <c r="AB129" s="151"/>
      <c r="AC129" s="151"/>
      <c r="AD129" s="151"/>
      <c r="AE129" s="151"/>
      <c r="AF129" s="151"/>
    </row>
    <row r="130" spans="2:32" outlineLevel="1" x14ac:dyDescent="0.2">
      <c r="B130" s="245" t="str">
        <f>'WS7 - Impact on Rates'!B59</f>
        <v>Business</v>
      </c>
      <c r="C130" s="255" t="str">
        <f>'WS7 - Impact on Rates'!C59</f>
        <v/>
      </c>
      <c r="D130" s="3" t="str">
        <f>'WS7 - Impact on Rates'!D59</f>
        <v>$ nominal p.a.</v>
      </c>
      <c r="E130" s="54"/>
      <c r="F130" s="3"/>
      <c r="G130" s="3"/>
      <c r="H130" s="3"/>
      <c r="I130" s="31"/>
      <c r="J130" s="245">
        <f>'WS7 - Impact on Rates'!J59</f>
        <v>0</v>
      </c>
      <c r="K130" s="337">
        <f>'WS7 - Impact on Rates'!K59</f>
        <v>0</v>
      </c>
      <c r="L130" s="337">
        <f>'WS7 - Impact on Rates'!L59</f>
        <v>0</v>
      </c>
      <c r="M130" s="337">
        <f>'WS7 - Impact on Rates'!M59</f>
        <v>0</v>
      </c>
      <c r="N130" s="337">
        <f>'WS7 - Impact on Rates'!N59</f>
        <v>0</v>
      </c>
      <c r="O130" s="337">
        <f>'WS7 - Impact on Rates'!O59</f>
        <v>0</v>
      </c>
      <c r="P130" s="337">
        <f>'WS7 - Impact on Rates'!P59</f>
        <v>0</v>
      </c>
      <c r="Q130" s="337">
        <f>'WS7 - Impact on Rates'!Q59</f>
        <v>0</v>
      </c>
      <c r="R130" s="54"/>
      <c r="S130" s="3"/>
      <c r="T130" s="31"/>
      <c r="U130" s="151"/>
      <c r="V130" s="151"/>
      <c r="W130" s="151"/>
      <c r="X130" s="151"/>
      <c r="Y130" s="151"/>
      <c r="Z130" s="151"/>
      <c r="AA130" s="151"/>
      <c r="AB130" s="151"/>
      <c r="AC130" s="151"/>
      <c r="AD130" s="151"/>
      <c r="AE130" s="151"/>
      <c r="AF130" s="151"/>
    </row>
    <row r="131" spans="2:32" outlineLevel="1" x14ac:dyDescent="0.2">
      <c r="B131" s="245" t="str">
        <f>'WS7 - Impact on Rates'!B60</f>
        <v>Business</v>
      </c>
      <c r="C131" s="255" t="str">
        <f>'WS7 - Impact on Rates'!C60</f>
        <v/>
      </c>
      <c r="D131" s="3" t="str">
        <f>'WS7 - Impact on Rates'!D60</f>
        <v>$ nominal p.a.</v>
      </c>
      <c r="E131" s="54"/>
      <c r="F131" s="3"/>
      <c r="G131" s="3"/>
      <c r="H131" s="3"/>
      <c r="I131" s="31"/>
      <c r="J131" s="245">
        <f>'WS7 - Impact on Rates'!J60</f>
        <v>0</v>
      </c>
      <c r="K131" s="337">
        <f>'WS7 - Impact on Rates'!K60</f>
        <v>0</v>
      </c>
      <c r="L131" s="337">
        <f>'WS7 - Impact on Rates'!L60</f>
        <v>0</v>
      </c>
      <c r="M131" s="337">
        <f>'WS7 - Impact on Rates'!M60</f>
        <v>0</v>
      </c>
      <c r="N131" s="337">
        <f>'WS7 - Impact on Rates'!N60</f>
        <v>0</v>
      </c>
      <c r="O131" s="337">
        <f>'WS7 - Impact on Rates'!O60</f>
        <v>0</v>
      </c>
      <c r="P131" s="337">
        <f>'WS7 - Impact on Rates'!P60</f>
        <v>0</v>
      </c>
      <c r="Q131" s="337">
        <f>'WS7 - Impact on Rates'!Q60</f>
        <v>0</v>
      </c>
      <c r="R131" s="54"/>
      <c r="S131" s="3"/>
      <c r="T131" s="31"/>
      <c r="U131" s="151"/>
      <c r="V131" s="151"/>
      <c r="W131" s="151"/>
      <c r="X131" s="151"/>
      <c r="Y131" s="151"/>
      <c r="Z131" s="151"/>
      <c r="AA131" s="151"/>
      <c r="AB131" s="151"/>
      <c r="AC131" s="151"/>
      <c r="AD131" s="151"/>
      <c r="AE131" s="151"/>
      <c r="AF131" s="151"/>
    </row>
    <row r="132" spans="2:32" outlineLevel="1" x14ac:dyDescent="0.2">
      <c r="B132" s="245" t="str">
        <f>'WS7 - Impact on Rates'!B61</f>
        <v>Business</v>
      </c>
      <c r="C132" s="255" t="str">
        <f>'WS7 - Impact on Rates'!C61</f>
        <v/>
      </c>
      <c r="D132" s="3" t="str">
        <f>'WS7 - Impact on Rates'!D61</f>
        <v>$ nominal p.a.</v>
      </c>
      <c r="E132" s="54"/>
      <c r="F132" s="3"/>
      <c r="G132" s="3"/>
      <c r="H132" s="3"/>
      <c r="I132" s="31"/>
      <c r="J132" s="245">
        <f>'WS7 - Impact on Rates'!J61</f>
        <v>0</v>
      </c>
      <c r="K132" s="337">
        <f>'WS7 - Impact on Rates'!K61</f>
        <v>0</v>
      </c>
      <c r="L132" s="337">
        <f>'WS7 - Impact on Rates'!L61</f>
        <v>0</v>
      </c>
      <c r="M132" s="337">
        <f>'WS7 - Impact on Rates'!M61</f>
        <v>0</v>
      </c>
      <c r="N132" s="337">
        <f>'WS7 - Impact on Rates'!N61</f>
        <v>0</v>
      </c>
      <c r="O132" s="337">
        <f>'WS7 - Impact on Rates'!O61</f>
        <v>0</v>
      </c>
      <c r="P132" s="337">
        <f>'WS7 - Impact on Rates'!P61</f>
        <v>0</v>
      </c>
      <c r="Q132" s="337">
        <f>'WS7 - Impact on Rates'!Q61</f>
        <v>0</v>
      </c>
      <c r="R132" s="54"/>
      <c r="S132" s="3"/>
      <c r="T132" s="31"/>
      <c r="U132" s="151"/>
      <c r="V132" s="151"/>
      <c r="W132" s="151"/>
      <c r="X132" s="151"/>
      <c r="Y132" s="151"/>
      <c r="Z132" s="151"/>
      <c r="AA132" s="151"/>
      <c r="AB132" s="151"/>
      <c r="AC132" s="151"/>
      <c r="AD132" s="151"/>
      <c r="AE132" s="151"/>
      <c r="AF132" s="151"/>
    </row>
    <row r="133" spans="2:32" outlineLevel="1" x14ac:dyDescent="0.2">
      <c r="B133" s="245" t="str">
        <f>'WS7 - Impact on Rates'!B62</f>
        <v>Business</v>
      </c>
      <c r="C133" s="255" t="str">
        <f>'WS7 - Impact on Rates'!C62</f>
        <v/>
      </c>
      <c r="D133" s="3" t="str">
        <f>'WS7 - Impact on Rates'!D62</f>
        <v>$ nominal p.a.</v>
      </c>
      <c r="E133" s="54"/>
      <c r="F133" s="3"/>
      <c r="G133" s="3"/>
      <c r="H133" s="3"/>
      <c r="I133" s="31"/>
      <c r="J133" s="245">
        <f>'WS7 - Impact on Rates'!J62</f>
        <v>0</v>
      </c>
      <c r="K133" s="337">
        <f>'WS7 - Impact on Rates'!K62</f>
        <v>0</v>
      </c>
      <c r="L133" s="337">
        <f>'WS7 - Impact on Rates'!L62</f>
        <v>0</v>
      </c>
      <c r="M133" s="337">
        <f>'WS7 - Impact on Rates'!M62</f>
        <v>0</v>
      </c>
      <c r="N133" s="337">
        <f>'WS7 - Impact on Rates'!N62</f>
        <v>0</v>
      </c>
      <c r="O133" s="337">
        <f>'WS7 - Impact on Rates'!O62</f>
        <v>0</v>
      </c>
      <c r="P133" s="337">
        <f>'WS7 - Impact on Rates'!P62</f>
        <v>0</v>
      </c>
      <c r="Q133" s="337">
        <f>'WS7 - Impact on Rates'!Q62</f>
        <v>0</v>
      </c>
      <c r="R133" s="54"/>
      <c r="S133" s="3"/>
      <c r="T133" s="31"/>
      <c r="U133" s="151"/>
      <c r="V133" s="151"/>
      <c r="W133" s="151"/>
      <c r="X133" s="151"/>
      <c r="Y133" s="151"/>
      <c r="Z133" s="151"/>
      <c r="AA133" s="151"/>
      <c r="AB133" s="151"/>
      <c r="AC133" s="151"/>
      <c r="AD133" s="151"/>
      <c r="AE133" s="151"/>
      <c r="AF133" s="151"/>
    </row>
    <row r="134" spans="2:32" outlineLevel="1" x14ac:dyDescent="0.2">
      <c r="B134" s="245" t="str">
        <f>'WS7 - Impact on Rates'!B63</f>
        <v>Business</v>
      </c>
      <c r="C134" s="255" t="str">
        <f>'WS7 - Impact on Rates'!C63</f>
        <v/>
      </c>
      <c r="D134" s="3" t="str">
        <f>'WS7 - Impact on Rates'!D63</f>
        <v>$ nominal p.a.</v>
      </c>
      <c r="E134" s="54"/>
      <c r="F134" s="3"/>
      <c r="G134" s="3"/>
      <c r="H134" s="3"/>
      <c r="I134" s="31"/>
      <c r="J134" s="245">
        <f>'WS7 - Impact on Rates'!J63</f>
        <v>0</v>
      </c>
      <c r="K134" s="337">
        <f>'WS7 - Impact on Rates'!K63</f>
        <v>0</v>
      </c>
      <c r="L134" s="337">
        <f>'WS7 - Impact on Rates'!L63</f>
        <v>0</v>
      </c>
      <c r="M134" s="337">
        <f>'WS7 - Impact on Rates'!M63</f>
        <v>0</v>
      </c>
      <c r="N134" s="337">
        <f>'WS7 - Impact on Rates'!N63</f>
        <v>0</v>
      </c>
      <c r="O134" s="337">
        <f>'WS7 - Impact on Rates'!O63</f>
        <v>0</v>
      </c>
      <c r="P134" s="337">
        <f>'WS7 - Impact on Rates'!P63</f>
        <v>0</v>
      </c>
      <c r="Q134" s="337">
        <f>'WS7 - Impact on Rates'!Q63</f>
        <v>0</v>
      </c>
      <c r="R134" s="54"/>
      <c r="S134" s="3"/>
      <c r="T134" s="31"/>
      <c r="U134" s="151"/>
      <c r="V134" s="151"/>
      <c r="W134" s="151"/>
      <c r="X134" s="151"/>
      <c r="Y134" s="151"/>
      <c r="Z134" s="151"/>
      <c r="AA134" s="151"/>
      <c r="AB134" s="151"/>
      <c r="AC134" s="151"/>
      <c r="AD134" s="151"/>
      <c r="AE134" s="151"/>
      <c r="AF134" s="151"/>
    </row>
    <row r="135" spans="2:32" outlineLevel="1" x14ac:dyDescent="0.2">
      <c r="B135" s="245" t="str">
        <f>'WS7 - Impact on Rates'!B64</f>
        <v>Business</v>
      </c>
      <c r="C135" s="255" t="str">
        <f>'WS7 - Impact on Rates'!C64</f>
        <v/>
      </c>
      <c r="D135" s="3" t="str">
        <f>'WS7 - Impact on Rates'!D64</f>
        <v>$ nominal p.a.</v>
      </c>
      <c r="E135" s="54"/>
      <c r="F135" s="3"/>
      <c r="G135" s="3"/>
      <c r="H135" s="3"/>
      <c r="I135" s="31"/>
      <c r="J135" s="245">
        <f>'WS7 - Impact on Rates'!J64</f>
        <v>0</v>
      </c>
      <c r="K135" s="337">
        <f>'WS7 - Impact on Rates'!K64</f>
        <v>0</v>
      </c>
      <c r="L135" s="337">
        <f>'WS7 - Impact on Rates'!L64</f>
        <v>0</v>
      </c>
      <c r="M135" s="337">
        <f>'WS7 - Impact on Rates'!M64</f>
        <v>0</v>
      </c>
      <c r="N135" s="337">
        <f>'WS7 - Impact on Rates'!N64</f>
        <v>0</v>
      </c>
      <c r="O135" s="337">
        <f>'WS7 - Impact on Rates'!O64</f>
        <v>0</v>
      </c>
      <c r="P135" s="337">
        <f>'WS7 - Impact on Rates'!P64</f>
        <v>0</v>
      </c>
      <c r="Q135" s="337">
        <f>'WS7 - Impact on Rates'!Q64</f>
        <v>0</v>
      </c>
      <c r="R135" s="54"/>
      <c r="S135" s="3"/>
      <c r="T135" s="31"/>
      <c r="U135" s="151"/>
      <c r="V135" s="151"/>
      <c r="W135" s="151"/>
      <c r="X135" s="151"/>
      <c r="Y135" s="151"/>
      <c r="Z135" s="151"/>
      <c r="AA135" s="151"/>
      <c r="AB135" s="151"/>
      <c r="AC135" s="151"/>
      <c r="AD135" s="151"/>
      <c r="AE135" s="151"/>
      <c r="AF135" s="151"/>
    </row>
    <row r="136" spans="2:32" outlineLevel="1" x14ac:dyDescent="0.2">
      <c r="B136" s="245" t="str">
        <f>'WS7 - Impact on Rates'!B65</f>
        <v>Business</v>
      </c>
      <c r="C136" s="255" t="str">
        <f>'WS7 - Impact on Rates'!C65</f>
        <v/>
      </c>
      <c r="D136" s="3" t="str">
        <f>'WS7 - Impact on Rates'!D65</f>
        <v>$ nominal p.a.</v>
      </c>
      <c r="E136" s="54"/>
      <c r="F136" s="3"/>
      <c r="G136" s="3"/>
      <c r="H136" s="3"/>
      <c r="I136" s="31"/>
      <c r="J136" s="245">
        <f>'WS7 - Impact on Rates'!J65</f>
        <v>0</v>
      </c>
      <c r="K136" s="337">
        <f>'WS7 - Impact on Rates'!K65</f>
        <v>0</v>
      </c>
      <c r="L136" s="337">
        <f>'WS7 - Impact on Rates'!L65</f>
        <v>0</v>
      </c>
      <c r="M136" s="337">
        <f>'WS7 - Impact on Rates'!M65</f>
        <v>0</v>
      </c>
      <c r="N136" s="337">
        <f>'WS7 - Impact on Rates'!N65</f>
        <v>0</v>
      </c>
      <c r="O136" s="337">
        <f>'WS7 - Impact on Rates'!O65</f>
        <v>0</v>
      </c>
      <c r="P136" s="337">
        <f>'WS7 - Impact on Rates'!P65</f>
        <v>0</v>
      </c>
      <c r="Q136" s="337">
        <f>'WS7 - Impact on Rates'!Q65</f>
        <v>0</v>
      </c>
      <c r="R136" s="54"/>
      <c r="S136" s="3"/>
      <c r="T136" s="31"/>
      <c r="U136" s="151"/>
      <c r="V136" s="151"/>
      <c r="W136" s="151"/>
      <c r="X136" s="151"/>
      <c r="Y136" s="151"/>
      <c r="Z136" s="151"/>
      <c r="AA136" s="151"/>
      <c r="AB136" s="151"/>
      <c r="AC136" s="151"/>
      <c r="AD136" s="151"/>
      <c r="AE136" s="151"/>
      <c r="AF136" s="151"/>
    </row>
    <row r="137" spans="2:32" outlineLevel="1" x14ac:dyDescent="0.2">
      <c r="B137" s="245" t="str">
        <f>'WS7 - Impact on Rates'!B66</f>
        <v>Business</v>
      </c>
      <c r="C137" s="255" t="str">
        <f>'WS7 - Impact on Rates'!C66</f>
        <v/>
      </c>
      <c r="D137" s="3" t="str">
        <f>'WS7 - Impact on Rates'!D66</f>
        <v>$ nominal p.a.</v>
      </c>
      <c r="E137" s="54"/>
      <c r="F137" s="3"/>
      <c r="G137" s="3"/>
      <c r="H137" s="3"/>
      <c r="I137" s="31"/>
      <c r="J137" s="245">
        <f>'WS7 - Impact on Rates'!J66</f>
        <v>0</v>
      </c>
      <c r="K137" s="337">
        <f>'WS7 - Impact on Rates'!K66</f>
        <v>0</v>
      </c>
      <c r="L137" s="337">
        <f>'WS7 - Impact on Rates'!L66</f>
        <v>0</v>
      </c>
      <c r="M137" s="337">
        <f>'WS7 - Impact on Rates'!M66</f>
        <v>0</v>
      </c>
      <c r="N137" s="337">
        <f>'WS7 - Impact on Rates'!N66</f>
        <v>0</v>
      </c>
      <c r="O137" s="337">
        <f>'WS7 - Impact on Rates'!O66</f>
        <v>0</v>
      </c>
      <c r="P137" s="337">
        <f>'WS7 - Impact on Rates'!P66</f>
        <v>0</v>
      </c>
      <c r="Q137" s="337">
        <f>'WS7 - Impact on Rates'!Q66</f>
        <v>0</v>
      </c>
      <c r="R137" s="54"/>
      <c r="S137" s="3"/>
      <c r="T137" s="31"/>
      <c r="U137" s="151"/>
      <c r="V137" s="151"/>
      <c r="W137" s="151"/>
      <c r="X137" s="151"/>
      <c r="Y137" s="151"/>
      <c r="Z137" s="151"/>
      <c r="AA137" s="151"/>
      <c r="AB137" s="151"/>
      <c r="AC137" s="151"/>
      <c r="AD137" s="151"/>
      <c r="AE137" s="151"/>
      <c r="AF137" s="151"/>
    </row>
    <row r="138" spans="2:32" outlineLevel="1" x14ac:dyDescent="0.2">
      <c r="B138" s="245" t="str">
        <f>'WS7 - Impact on Rates'!B67</f>
        <v>Business</v>
      </c>
      <c r="C138" s="255" t="str">
        <f>'WS7 - Impact on Rates'!C67</f>
        <v/>
      </c>
      <c r="D138" s="3" t="str">
        <f>'WS7 - Impact on Rates'!D67</f>
        <v>$ nominal p.a.</v>
      </c>
      <c r="E138" s="54"/>
      <c r="F138" s="3"/>
      <c r="G138" s="3"/>
      <c r="H138" s="3"/>
      <c r="I138" s="31"/>
      <c r="J138" s="245">
        <f>'WS7 - Impact on Rates'!J67</f>
        <v>0</v>
      </c>
      <c r="K138" s="337">
        <f>'WS7 - Impact on Rates'!K67</f>
        <v>0</v>
      </c>
      <c r="L138" s="337">
        <f>'WS7 - Impact on Rates'!L67</f>
        <v>0</v>
      </c>
      <c r="M138" s="337">
        <f>'WS7 - Impact on Rates'!M67</f>
        <v>0</v>
      </c>
      <c r="N138" s="337">
        <f>'WS7 - Impact on Rates'!N67</f>
        <v>0</v>
      </c>
      <c r="O138" s="337">
        <f>'WS7 - Impact on Rates'!O67</f>
        <v>0</v>
      </c>
      <c r="P138" s="337">
        <f>'WS7 - Impact on Rates'!P67</f>
        <v>0</v>
      </c>
      <c r="Q138" s="337">
        <f>'WS7 - Impact on Rates'!Q67</f>
        <v>0</v>
      </c>
      <c r="R138" s="54"/>
      <c r="S138" s="3"/>
      <c r="T138" s="31"/>
      <c r="U138" s="151"/>
      <c r="V138" s="151"/>
      <c r="W138" s="151"/>
      <c r="X138" s="151"/>
      <c r="Y138" s="151"/>
      <c r="Z138" s="151"/>
      <c r="AA138" s="151"/>
      <c r="AB138" s="151"/>
      <c r="AC138" s="151"/>
      <c r="AD138" s="151"/>
      <c r="AE138" s="151"/>
      <c r="AF138" s="151"/>
    </row>
    <row r="139" spans="2:32" outlineLevel="1" x14ac:dyDescent="0.2">
      <c r="B139" s="245" t="str">
        <f>'WS7 - Impact on Rates'!B68</f>
        <v>Business</v>
      </c>
      <c r="C139" s="255" t="str">
        <f>'WS7 - Impact on Rates'!C68</f>
        <v/>
      </c>
      <c r="D139" s="3" t="str">
        <f>'WS7 - Impact on Rates'!D68</f>
        <v>$ nominal p.a.</v>
      </c>
      <c r="E139" s="54"/>
      <c r="F139" s="3"/>
      <c r="G139" s="3"/>
      <c r="H139" s="3"/>
      <c r="I139" s="31"/>
      <c r="J139" s="245">
        <f>'WS7 - Impact on Rates'!J68</f>
        <v>0</v>
      </c>
      <c r="K139" s="337">
        <f>'WS7 - Impact on Rates'!K68</f>
        <v>0</v>
      </c>
      <c r="L139" s="337">
        <f>'WS7 - Impact on Rates'!L68</f>
        <v>0</v>
      </c>
      <c r="M139" s="337">
        <f>'WS7 - Impact on Rates'!M68</f>
        <v>0</v>
      </c>
      <c r="N139" s="337">
        <f>'WS7 - Impact on Rates'!N68</f>
        <v>0</v>
      </c>
      <c r="O139" s="337">
        <f>'WS7 - Impact on Rates'!O68</f>
        <v>0</v>
      </c>
      <c r="P139" s="337">
        <f>'WS7 - Impact on Rates'!P68</f>
        <v>0</v>
      </c>
      <c r="Q139" s="337">
        <f>'WS7 - Impact on Rates'!Q68</f>
        <v>0</v>
      </c>
      <c r="R139" s="54"/>
      <c r="S139" s="3"/>
      <c r="T139" s="31"/>
      <c r="U139" s="151"/>
      <c r="V139" s="151"/>
      <c r="W139" s="151"/>
      <c r="X139" s="151"/>
      <c r="Y139" s="151"/>
      <c r="Z139" s="151"/>
      <c r="AA139" s="151"/>
      <c r="AB139" s="151"/>
      <c r="AC139" s="151"/>
      <c r="AD139" s="151"/>
      <c r="AE139" s="151"/>
      <c r="AF139" s="151"/>
    </row>
    <row r="140" spans="2:32" outlineLevel="1" x14ac:dyDescent="0.2">
      <c r="B140" s="245" t="str">
        <f>'WS7 - Impact on Rates'!B69</f>
        <v>Business</v>
      </c>
      <c r="C140" s="255" t="str">
        <f>'WS7 - Impact on Rates'!C69</f>
        <v/>
      </c>
      <c r="D140" s="3" t="str">
        <f>'WS7 - Impact on Rates'!D69</f>
        <v>$ nominal p.a.</v>
      </c>
      <c r="E140" s="54"/>
      <c r="F140" s="3"/>
      <c r="G140" s="3"/>
      <c r="H140" s="3"/>
      <c r="I140" s="31"/>
      <c r="J140" s="245">
        <f>'WS7 - Impact on Rates'!J69</f>
        <v>0</v>
      </c>
      <c r="K140" s="337">
        <f>'WS7 - Impact on Rates'!K69</f>
        <v>0</v>
      </c>
      <c r="L140" s="337">
        <f>'WS7 - Impact on Rates'!L69</f>
        <v>0</v>
      </c>
      <c r="M140" s="337">
        <f>'WS7 - Impact on Rates'!M69</f>
        <v>0</v>
      </c>
      <c r="N140" s="337">
        <f>'WS7 - Impact on Rates'!N69</f>
        <v>0</v>
      </c>
      <c r="O140" s="337">
        <f>'WS7 - Impact on Rates'!O69</f>
        <v>0</v>
      </c>
      <c r="P140" s="337">
        <f>'WS7 - Impact on Rates'!P69</f>
        <v>0</v>
      </c>
      <c r="Q140" s="337">
        <f>'WS7 - Impact on Rates'!Q69</f>
        <v>0</v>
      </c>
      <c r="R140" s="54"/>
      <c r="S140" s="3"/>
      <c r="T140" s="31"/>
      <c r="U140" s="151"/>
      <c r="V140" s="151"/>
      <c r="W140" s="151"/>
      <c r="X140" s="151"/>
      <c r="Y140" s="151"/>
      <c r="Z140" s="151"/>
      <c r="AA140" s="151"/>
      <c r="AB140" s="151"/>
      <c r="AC140" s="151"/>
      <c r="AD140" s="151"/>
      <c r="AE140" s="151"/>
      <c r="AF140" s="151"/>
    </row>
    <row r="141" spans="2:32" outlineLevel="1" x14ac:dyDescent="0.2">
      <c r="B141" s="245" t="str">
        <f>'WS7 - Impact on Rates'!B70</f>
        <v>Business</v>
      </c>
      <c r="C141" s="255" t="str">
        <f>'WS7 - Impact on Rates'!C70</f>
        <v/>
      </c>
      <c r="D141" s="3" t="str">
        <f>'WS7 - Impact on Rates'!D70</f>
        <v>$ nominal p.a.</v>
      </c>
      <c r="E141" s="54"/>
      <c r="F141" s="3"/>
      <c r="G141" s="3"/>
      <c r="H141" s="3"/>
      <c r="I141" s="31"/>
      <c r="J141" s="245">
        <f>'WS7 - Impact on Rates'!J70</f>
        <v>0</v>
      </c>
      <c r="K141" s="337">
        <f>'WS7 - Impact on Rates'!K70</f>
        <v>0</v>
      </c>
      <c r="L141" s="337">
        <f>'WS7 - Impact on Rates'!L70</f>
        <v>0</v>
      </c>
      <c r="M141" s="337">
        <f>'WS7 - Impact on Rates'!M70</f>
        <v>0</v>
      </c>
      <c r="N141" s="337">
        <f>'WS7 - Impact on Rates'!N70</f>
        <v>0</v>
      </c>
      <c r="O141" s="337">
        <f>'WS7 - Impact on Rates'!O70</f>
        <v>0</v>
      </c>
      <c r="P141" s="337">
        <f>'WS7 - Impact on Rates'!P70</f>
        <v>0</v>
      </c>
      <c r="Q141" s="337">
        <f>'WS7 - Impact on Rates'!Q70</f>
        <v>0</v>
      </c>
      <c r="R141" s="54"/>
      <c r="S141" s="3"/>
      <c r="T141" s="31"/>
      <c r="U141" s="151"/>
      <c r="V141" s="151"/>
      <c r="W141" s="151"/>
      <c r="X141" s="151"/>
      <c r="Y141" s="151"/>
      <c r="Z141" s="151"/>
      <c r="AA141" s="151"/>
      <c r="AB141" s="151"/>
      <c r="AC141" s="151"/>
      <c r="AD141" s="151"/>
      <c r="AE141" s="151"/>
      <c r="AF141" s="151"/>
    </row>
    <row r="142" spans="2:32" outlineLevel="1" x14ac:dyDescent="0.2">
      <c r="B142" s="245" t="str">
        <f>'WS7 - Impact on Rates'!B71</f>
        <v>Business</v>
      </c>
      <c r="C142" s="255" t="str">
        <f>'WS7 - Impact on Rates'!C71</f>
        <v/>
      </c>
      <c r="D142" s="3" t="str">
        <f>'WS7 - Impact on Rates'!D71</f>
        <v>$ nominal p.a.</v>
      </c>
      <c r="E142" s="54"/>
      <c r="F142" s="3"/>
      <c r="G142" s="3"/>
      <c r="H142" s="3"/>
      <c r="I142" s="31"/>
      <c r="J142" s="245">
        <f>'WS7 - Impact on Rates'!J71</f>
        <v>0</v>
      </c>
      <c r="K142" s="337">
        <f>'WS7 - Impact on Rates'!K71</f>
        <v>0</v>
      </c>
      <c r="L142" s="337">
        <f>'WS7 - Impact on Rates'!L71</f>
        <v>0</v>
      </c>
      <c r="M142" s="337">
        <f>'WS7 - Impact on Rates'!M71</f>
        <v>0</v>
      </c>
      <c r="N142" s="337">
        <f>'WS7 - Impact on Rates'!N71</f>
        <v>0</v>
      </c>
      <c r="O142" s="337">
        <f>'WS7 - Impact on Rates'!O71</f>
        <v>0</v>
      </c>
      <c r="P142" s="337">
        <f>'WS7 - Impact on Rates'!P71</f>
        <v>0</v>
      </c>
      <c r="Q142" s="337">
        <f>'WS7 - Impact on Rates'!Q71</f>
        <v>0</v>
      </c>
      <c r="R142" s="54"/>
      <c r="S142" s="3"/>
      <c r="T142" s="31"/>
      <c r="U142" s="151"/>
      <c r="V142" s="151"/>
      <c r="W142" s="151"/>
      <c r="X142" s="151"/>
      <c r="Y142" s="151"/>
      <c r="Z142" s="151"/>
      <c r="AA142" s="151"/>
      <c r="AB142" s="151"/>
      <c r="AC142" s="151"/>
      <c r="AD142" s="151"/>
      <c r="AE142" s="151"/>
      <c r="AF142" s="151"/>
    </row>
    <row r="143" spans="2:32" outlineLevel="1" x14ac:dyDescent="0.2">
      <c r="B143" s="245" t="str">
        <f>'WS7 - Impact on Rates'!B72</f>
        <v>Business</v>
      </c>
      <c r="C143" s="255" t="str">
        <f>'WS7 - Impact on Rates'!C72</f>
        <v/>
      </c>
      <c r="D143" s="3" t="str">
        <f>'WS7 - Impact on Rates'!D72</f>
        <v>$ nominal p.a.</v>
      </c>
      <c r="E143" s="54"/>
      <c r="F143" s="3"/>
      <c r="G143" s="3"/>
      <c r="H143" s="3"/>
      <c r="I143" s="31"/>
      <c r="J143" s="245">
        <f>'WS7 - Impact on Rates'!J72</f>
        <v>0</v>
      </c>
      <c r="K143" s="337">
        <f>'WS7 - Impact on Rates'!K72</f>
        <v>0</v>
      </c>
      <c r="L143" s="337">
        <f>'WS7 - Impact on Rates'!L72</f>
        <v>0</v>
      </c>
      <c r="M143" s="337">
        <f>'WS7 - Impact on Rates'!M72</f>
        <v>0</v>
      </c>
      <c r="N143" s="337">
        <f>'WS7 - Impact on Rates'!N72</f>
        <v>0</v>
      </c>
      <c r="O143" s="337">
        <f>'WS7 - Impact on Rates'!O72</f>
        <v>0</v>
      </c>
      <c r="P143" s="337">
        <f>'WS7 - Impact on Rates'!P72</f>
        <v>0</v>
      </c>
      <c r="Q143" s="337">
        <f>'WS7 - Impact on Rates'!Q72</f>
        <v>0</v>
      </c>
      <c r="R143" s="54"/>
      <c r="S143" s="3"/>
      <c r="T143" s="31"/>
      <c r="U143" s="151"/>
      <c r="V143" s="151"/>
      <c r="W143" s="151"/>
      <c r="X143" s="151"/>
      <c r="Y143" s="151"/>
      <c r="Z143" s="151"/>
      <c r="AA143" s="151"/>
      <c r="AB143" s="151"/>
      <c r="AC143" s="151"/>
      <c r="AD143" s="151"/>
      <c r="AE143" s="151"/>
      <c r="AF143" s="151"/>
    </row>
    <row r="144" spans="2:32" ht="12.75" outlineLevel="1" thickBot="1" x14ac:dyDescent="0.25">
      <c r="B144" s="368" t="str">
        <f>'WS7 - Impact on Rates'!B73</f>
        <v>Business</v>
      </c>
      <c r="C144" s="369" t="str">
        <f>'WS7 - Impact on Rates'!C73</f>
        <v/>
      </c>
      <c r="D144" s="370" t="str">
        <f>'WS7 - Impact on Rates'!D73</f>
        <v>$ nominal p.a.</v>
      </c>
      <c r="E144" s="54"/>
      <c r="F144" s="3"/>
      <c r="G144" s="3"/>
      <c r="H144" s="3"/>
      <c r="I144" s="31"/>
      <c r="J144" s="368">
        <f>'WS7 - Impact on Rates'!J73</f>
        <v>0</v>
      </c>
      <c r="K144" s="371">
        <f>'WS7 - Impact on Rates'!K73</f>
        <v>0</v>
      </c>
      <c r="L144" s="371">
        <f>'WS7 - Impact on Rates'!L73</f>
        <v>0</v>
      </c>
      <c r="M144" s="371">
        <f>'WS7 - Impact on Rates'!M73</f>
        <v>0</v>
      </c>
      <c r="N144" s="371">
        <f>'WS7 - Impact on Rates'!N73</f>
        <v>0</v>
      </c>
      <c r="O144" s="371">
        <f>'WS7 - Impact on Rates'!O73</f>
        <v>0</v>
      </c>
      <c r="P144" s="371">
        <f>'WS7 - Impact on Rates'!P73</f>
        <v>0</v>
      </c>
      <c r="Q144" s="372">
        <f>'WS7 - Impact on Rates'!Q73</f>
        <v>0</v>
      </c>
      <c r="R144" s="54"/>
      <c r="S144" s="3"/>
      <c r="T144" s="31"/>
      <c r="U144" s="151"/>
      <c r="V144" s="151"/>
      <c r="W144" s="151"/>
      <c r="X144" s="151"/>
      <c r="Y144" s="151"/>
      <c r="Z144" s="151"/>
      <c r="AA144" s="151"/>
      <c r="AB144" s="151"/>
      <c r="AC144" s="151"/>
      <c r="AD144" s="151"/>
      <c r="AE144" s="151"/>
      <c r="AF144" s="151"/>
    </row>
    <row r="145" spans="2:32" ht="12.75" outlineLevel="1" thickTop="1" x14ac:dyDescent="0.2">
      <c r="B145" s="245" t="str">
        <f>'WS7 - Impact on Rates'!B75</f>
        <v>Farmland</v>
      </c>
      <c r="C145" s="255" t="str">
        <f>'WS7 - Impact on Rates'!C75</f>
        <v>Farmland</v>
      </c>
      <c r="D145" s="3" t="str">
        <f>'WS7 - Impact on Rates'!D75</f>
        <v>$ nominal p.a.</v>
      </c>
      <c r="E145" s="54"/>
      <c r="F145" s="3"/>
      <c r="G145" s="3"/>
      <c r="H145" s="3"/>
      <c r="I145" s="31"/>
      <c r="J145" s="245">
        <f>'WS7 - Impact on Rates'!J75</f>
        <v>0</v>
      </c>
      <c r="K145" s="337">
        <f>'WS7 - Impact on Rates'!K75</f>
        <v>0</v>
      </c>
      <c r="L145" s="337">
        <f>'WS7 - Impact on Rates'!L75</f>
        <v>0</v>
      </c>
      <c r="M145" s="337">
        <f>'WS7 - Impact on Rates'!M75</f>
        <v>0</v>
      </c>
      <c r="N145" s="337">
        <f>'WS7 - Impact on Rates'!N75</f>
        <v>0</v>
      </c>
      <c r="O145" s="337">
        <f>'WS7 - Impact on Rates'!O75</f>
        <v>0</v>
      </c>
      <c r="P145" s="337">
        <f>'WS7 - Impact on Rates'!P75</f>
        <v>0</v>
      </c>
      <c r="Q145" s="337">
        <f>'WS7 - Impact on Rates'!Q75</f>
        <v>0</v>
      </c>
      <c r="R145" s="54"/>
      <c r="S145" s="3"/>
      <c r="T145" s="31"/>
      <c r="U145" s="151"/>
      <c r="V145" s="151"/>
      <c r="W145" s="151"/>
      <c r="X145" s="151"/>
      <c r="Y145" s="151"/>
      <c r="Z145" s="151"/>
      <c r="AA145" s="151"/>
      <c r="AB145" s="151"/>
      <c r="AC145" s="151"/>
      <c r="AD145" s="151"/>
      <c r="AE145" s="151"/>
      <c r="AF145" s="151"/>
    </row>
    <row r="146" spans="2:32" outlineLevel="1" x14ac:dyDescent="0.2">
      <c r="B146" s="245" t="str">
        <f>'WS7 - Impact on Rates'!B76</f>
        <v>Farmland</v>
      </c>
      <c r="C146" s="255" t="str">
        <f>'WS7 - Impact on Rates'!C76</f>
        <v/>
      </c>
      <c r="D146" s="3" t="str">
        <f>'WS7 - Impact on Rates'!D76</f>
        <v>$ nominal p.a.</v>
      </c>
      <c r="E146" s="54"/>
      <c r="F146" s="3"/>
      <c r="G146" s="3"/>
      <c r="H146" s="3"/>
      <c r="I146" s="31"/>
      <c r="J146" s="245">
        <f>'WS7 - Impact on Rates'!J76</f>
        <v>0</v>
      </c>
      <c r="K146" s="337">
        <f>'WS7 - Impact on Rates'!K76</f>
        <v>0</v>
      </c>
      <c r="L146" s="337">
        <f>'WS7 - Impact on Rates'!L76</f>
        <v>0</v>
      </c>
      <c r="M146" s="337">
        <f>'WS7 - Impact on Rates'!M76</f>
        <v>0</v>
      </c>
      <c r="N146" s="337">
        <f>'WS7 - Impact on Rates'!N76</f>
        <v>0</v>
      </c>
      <c r="O146" s="337">
        <f>'WS7 - Impact on Rates'!O76</f>
        <v>0</v>
      </c>
      <c r="P146" s="337">
        <f>'WS7 - Impact on Rates'!P76</f>
        <v>0</v>
      </c>
      <c r="Q146" s="337">
        <f>'WS7 - Impact on Rates'!Q76</f>
        <v>0</v>
      </c>
      <c r="R146" s="54"/>
      <c r="S146" s="3"/>
      <c r="T146" s="31"/>
      <c r="U146" s="151"/>
      <c r="V146" s="151"/>
      <c r="W146" s="151"/>
      <c r="X146" s="151"/>
      <c r="Y146" s="151"/>
      <c r="Z146" s="151"/>
      <c r="AA146" s="151"/>
      <c r="AB146" s="151"/>
      <c r="AC146" s="151"/>
      <c r="AD146" s="151"/>
      <c r="AE146" s="151"/>
      <c r="AF146" s="151"/>
    </row>
    <row r="147" spans="2:32" outlineLevel="1" x14ac:dyDescent="0.2">
      <c r="B147" s="245" t="str">
        <f>'WS7 - Impact on Rates'!B77</f>
        <v>Farmland</v>
      </c>
      <c r="C147" s="255" t="str">
        <f>'WS7 - Impact on Rates'!C77</f>
        <v/>
      </c>
      <c r="D147" s="3" t="str">
        <f>'WS7 - Impact on Rates'!D77</f>
        <v>$ nominal p.a.</v>
      </c>
      <c r="E147" s="54"/>
      <c r="F147" s="3"/>
      <c r="G147" s="3"/>
      <c r="H147" s="3"/>
      <c r="I147" s="31"/>
      <c r="J147" s="245">
        <f>'WS7 - Impact on Rates'!J77</f>
        <v>0</v>
      </c>
      <c r="K147" s="337">
        <f>'WS7 - Impact on Rates'!K77</f>
        <v>0</v>
      </c>
      <c r="L147" s="337">
        <f>'WS7 - Impact on Rates'!L77</f>
        <v>0</v>
      </c>
      <c r="M147" s="337">
        <f>'WS7 - Impact on Rates'!M77</f>
        <v>0</v>
      </c>
      <c r="N147" s="337">
        <f>'WS7 - Impact on Rates'!N77</f>
        <v>0</v>
      </c>
      <c r="O147" s="337">
        <f>'WS7 - Impact on Rates'!O77</f>
        <v>0</v>
      </c>
      <c r="P147" s="337">
        <f>'WS7 - Impact on Rates'!P77</f>
        <v>0</v>
      </c>
      <c r="Q147" s="337">
        <f>'WS7 - Impact on Rates'!Q77</f>
        <v>0</v>
      </c>
      <c r="R147" s="54"/>
      <c r="S147" s="3"/>
      <c r="T147" s="31"/>
      <c r="U147" s="151"/>
      <c r="V147" s="151"/>
      <c r="W147" s="151"/>
      <c r="X147" s="151"/>
      <c r="Y147" s="151"/>
      <c r="Z147" s="151"/>
      <c r="AA147" s="151"/>
      <c r="AB147" s="151"/>
      <c r="AC147" s="151"/>
      <c r="AD147" s="151"/>
      <c r="AE147" s="151"/>
      <c r="AF147" s="151"/>
    </row>
    <row r="148" spans="2:32" outlineLevel="1" x14ac:dyDescent="0.2">
      <c r="B148" s="245" t="str">
        <f>'WS7 - Impact on Rates'!B78</f>
        <v>Farmland</v>
      </c>
      <c r="C148" s="255" t="str">
        <f>'WS7 - Impact on Rates'!C78</f>
        <v/>
      </c>
      <c r="D148" s="3" t="str">
        <f>'WS7 - Impact on Rates'!D78</f>
        <v>$ nominal p.a.</v>
      </c>
      <c r="E148" s="54"/>
      <c r="F148" s="3"/>
      <c r="G148" s="3"/>
      <c r="H148" s="3"/>
      <c r="I148" s="31"/>
      <c r="J148" s="245">
        <f>'WS7 - Impact on Rates'!J78</f>
        <v>0</v>
      </c>
      <c r="K148" s="337">
        <f>'WS7 - Impact on Rates'!K78</f>
        <v>0</v>
      </c>
      <c r="L148" s="337">
        <f>'WS7 - Impact on Rates'!L78</f>
        <v>0</v>
      </c>
      <c r="M148" s="337">
        <f>'WS7 - Impact on Rates'!M78</f>
        <v>0</v>
      </c>
      <c r="N148" s="337">
        <f>'WS7 - Impact on Rates'!N78</f>
        <v>0</v>
      </c>
      <c r="O148" s="337">
        <f>'WS7 - Impact on Rates'!O78</f>
        <v>0</v>
      </c>
      <c r="P148" s="337">
        <f>'WS7 - Impact on Rates'!P78</f>
        <v>0</v>
      </c>
      <c r="Q148" s="337">
        <f>'WS7 - Impact on Rates'!Q78</f>
        <v>0</v>
      </c>
      <c r="R148" s="54"/>
      <c r="S148" s="3"/>
      <c r="T148" s="31"/>
      <c r="U148" s="151"/>
      <c r="V148" s="151"/>
      <c r="W148" s="151"/>
      <c r="X148" s="151"/>
      <c r="Y148" s="151"/>
      <c r="Z148" s="151"/>
      <c r="AA148" s="151"/>
      <c r="AB148" s="151"/>
      <c r="AC148" s="151"/>
      <c r="AD148" s="151"/>
      <c r="AE148" s="151"/>
      <c r="AF148" s="151"/>
    </row>
    <row r="149" spans="2:32" outlineLevel="1" x14ac:dyDescent="0.2">
      <c r="B149" s="245" t="str">
        <f>'WS7 - Impact on Rates'!B79</f>
        <v>Farmland</v>
      </c>
      <c r="C149" s="255" t="str">
        <f>'WS7 - Impact on Rates'!C79</f>
        <v/>
      </c>
      <c r="D149" s="3" t="str">
        <f>'WS7 - Impact on Rates'!D79</f>
        <v>$ nominal p.a.</v>
      </c>
      <c r="E149" s="54"/>
      <c r="F149" s="3"/>
      <c r="G149" s="3"/>
      <c r="H149" s="3"/>
      <c r="I149" s="31"/>
      <c r="J149" s="245">
        <f>'WS7 - Impact on Rates'!J79</f>
        <v>0</v>
      </c>
      <c r="K149" s="337">
        <f>'WS7 - Impact on Rates'!K79</f>
        <v>0</v>
      </c>
      <c r="L149" s="337">
        <f>'WS7 - Impact on Rates'!L79</f>
        <v>0</v>
      </c>
      <c r="M149" s="337">
        <f>'WS7 - Impact on Rates'!M79</f>
        <v>0</v>
      </c>
      <c r="N149" s="337">
        <f>'WS7 - Impact on Rates'!N79</f>
        <v>0</v>
      </c>
      <c r="O149" s="337">
        <f>'WS7 - Impact on Rates'!O79</f>
        <v>0</v>
      </c>
      <c r="P149" s="337">
        <f>'WS7 - Impact on Rates'!P79</f>
        <v>0</v>
      </c>
      <c r="Q149" s="337">
        <f>'WS7 - Impact on Rates'!Q79</f>
        <v>0</v>
      </c>
      <c r="R149" s="54"/>
      <c r="S149" s="3"/>
      <c r="T149" s="31"/>
      <c r="U149" s="151"/>
      <c r="V149" s="151"/>
      <c r="W149" s="151"/>
      <c r="X149" s="151"/>
      <c r="Y149" s="151"/>
      <c r="Z149" s="151"/>
      <c r="AA149" s="151"/>
      <c r="AB149" s="151"/>
      <c r="AC149" s="151"/>
      <c r="AD149" s="151"/>
      <c r="AE149" s="151"/>
      <c r="AF149" s="151"/>
    </row>
    <row r="150" spans="2:32" outlineLevel="1" x14ac:dyDescent="0.2">
      <c r="B150" s="245" t="str">
        <f>'WS7 - Impact on Rates'!B80</f>
        <v>Farmland</v>
      </c>
      <c r="C150" s="255" t="str">
        <f>'WS7 - Impact on Rates'!C80</f>
        <v/>
      </c>
      <c r="D150" s="3" t="str">
        <f>'WS7 - Impact on Rates'!D80</f>
        <v>$ nominal p.a.</v>
      </c>
      <c r="E150" s="54"/>
      <c r="F150" s="3"/>
      <c r="G150" s="3"/>
      <c r="H150" s="3"/>
      <c r="I150" s="31"/>
      <c r="J150" s="245">
        <f>'WS7 - Impact on Rates'!J80</f>
        <v>0</v>
      </c>
      <c r="K150" s="337">
        <f>'WS7 - Impact on Rates'!K80</f>
        <v>0</v>
      </c>
      <c r="L150" s="337">
        <f>'WS7 - Impact on Rates'!L80</f>
        <v>0</v>
      </c>
      <c r="M150" s="337">
        <f>'WS7 - Impact on Rates'!M80</f>
        <v>0</v>
      </c>
      <c r="N150" s="337">
        <f>'WS7 - Impact on Rates'!N80</f>
        <v>0</v>
      </c>
      <c r="O150" s="337">
        <f>'WS7 - Impact on Rates'!O80</f>
        <v>0</v>
      </c>
      <c r="P150" s="337">
        <f>'WS7 - Impact on Rates'!P80</f>
        <v>0</v>
      </c>
      <c r="Q150" s="337">
        <f>'WS7 - Impact on Rates'!Q80</f>
        <v>0</v>
      </c>
      <c r="R150" s="54"/>
      <c r="S150" s="3"/>
      <c r="T150" s="31"/>
      <c r="U150" s="151"/>
      <c r="V150" s="151"/>
      <c r="W150" s="151"/>
      <c r="X150" s="151"/>
      <c r="Y150" s="151"/>
      <c r="Z150" s="151"/>
      <c r="AA150" s="151"/>
      <c r="AB150" s="151"/>
      <c r="AC150" s="151"/>
      <c r="AD150" s="151"/>
      <c r="AE150" s="151"/>
      <c r="AF150" s="151"/>
    </row>
    <row r="151" spans="2:32" outlineLevel="1" x14ac:dyDescent="0.2">
      <c r="B151" s="245" t="str">
        <f>'WS7 - Impact on Rates'!B81</f>
        <v>Farmland</v>
      </c>
      <c r="C151" s="255" t="str">
        <f>'WS7 - Impact on Rates'!C81</f>
        <v/>
      </c>
      <c r="D151" s="3" t="str">
        <f>'WS7 - Impact on Rates'!D81</f>
        <v>$ nominal p.a.</v>
      </c>
      <c r="E151" s="54"/>
      <c r="F151" s="3"/>
      <c r="G151" s="3"/>
      <c r="H151" s="3"/>
      <c r="I151" s="31"/>
      <c r="J151" s="245">
        <f>'WS7 - Impact on Rates'!J81</f>
        <v>0</v>
      </c>
      <c r="K151" s="337">
        <f>'WS7 - Impact on Rates'!K81</f>
        <v>0</v>
      </c>
      <c r="L151" s="337">
        <f>'WS7 - Impact on Rates'!L81</f>
        <v>0</v>
      </c>
      <c r="M151" s="337">
        <f>'WS7 - Impact on Rates'!M81</f>
        <v>0</v>
      </c>
      <c r="N151" s="337">
        <f>'WS7 - Impact on Rates'!N81</f>
        <v>0</v>
      </c>
      <c r="O151" s="337">
        <f>'WS7 - Impact on Rates'!O81</f>
        <v>0</v>
      </c>
      <c r="P151" s="337">
        <f>'WS7 - Impact on Rates'!P81</f>
        <v>0</v>
      </c>
      <c r="Q151" s="337">
        <f>'WS7 - Impact on Rates'!Q81</f>
        <v>0</v>
      </c>
      <c r="R151" s="54"/>
      <c r="S151" s="3"/>
      <c r="T151" s="31"/>
      <c r="U151" s="151"/>
      <c r="V151" s="151"/>
      <c r="W151" s="151"/>
      <c r="X151" s="151"/>
      <c r="Y151" s="151"/>
      <c r="Z151" s="151"/>
      <c r="AA151" s="151"/>
      <c r="AB151" s="151"/>
      <c r="AC151" s="151"/>
      <c r="AD151" s="151"/>
      <c r="AE151" s="151"/>
      <c r="AF151" s="151"/>
    </row>
    <row r="152" spans="2:32" outlineLevel="1" x14ac:dyDescent="0.2">
      <c r="B152" s="245" t="str">
        <f>'WS7 - Impact on Rates'!B82</f>
        <v>Farmland</v>
      </c>
      <c r="C152" s="255" t="str">
        <f>'WS7 - Impact on Rates'!C82</f>
        <v/>
      </c>
      <c r="D152" s="3" t="str">
        <f>'WS7 - Impact on Rates'!D82</f>
        <v>$ nominal p.a.</v>
      </c>
      <c r="E152" s="54"/>
      <c r="F152" s="3"/>
      <c r="G152" s="3"/>
      <c r="H152" s="3"/>
      <c r="I152" s="31"/>
      <c r="J152" s="245">
        <f>'WS7 - Impact on Rates'!J82</f>
        <v>0</v>
      </c>
      <c r="K152" s="337">
        <f>'WS7 - Impact on Rates'!K82</f>
        <v>0</v>
      </c>
      <c r="L152" s="337">
        <f>'WS7 - Impact on Rates'!L82</f>
        <v>0</v>
      </c>
      <c r="M152" s="337">
        <f>'WS7 - Impact on Rates'!M82</f>
        <v>0</v>
      </c>
      <c r="N152" s="337">
        <f>'WS7 - Impact on Rates'!N82</f>
        <v>0</v>
      </c>
      <c r="O152" s="337">
        <f>'WS7 - Impact on Rates'!O82</f>
        <v>0</v>
      </c>
      <c r="P152" s="337">
        <f>'WS7 - Impact on Rates'!P82</f>
        <v>0</v>
      </c>
      <c r="Q152" s="337">
        <f>'WS7 - Impact on Rates'!Q82</f>
        <v>0</v>
      </c>
      <c r="R152" s="54"/>
      <c r="S152" s="3"/>
      <c r="T152" s="31"/>
      <c r="U152" s="151"/>
      <c r="V152" s="151"/>
      <c r="W152" s="151"/>
      <c r="X152" s="151"/>
      <c r="Y152" s="151"/>
      <c r="Z152" s="151"/>
      <c r="AA152" s="151"/>
      <c r="AB152" s="151"/>
      <c r="AC152" s="151"/>
      <c r="AD152" s="151"/>
      <c r="AE152" s="151"/>
      <c r="AF152" s="151"/>
    </row>
    <row r="153" spans="2:32" outlineLevel="1" x14ac:dyDescent="0.2">
      <c r="B153" s="245" t="str">
        <f>'WS7 - Impact on Rates'!B83</f>
        <v>Farmland</v>
      </c>
      <c r="C153" s="255" t="str">
        <f>'WS7 - Impact on Rates'!C83</f>
        <v/>
      </c>
      <c r="D153" s="3" t="str">
        <f>'WS7 - Impact on Rates'!D83</f>
        <v>$ nominal p.a.</v>
      </c>
      <c r="E153" s="54"/>
      <c r="F153" s="3"/>
      <c r="G153" s="3"/>
      <c r="H153" s="3"/>
      <c r="I153" s="31"/>
      <c r="J153" s="245">
        <f>'WS7 - Impact on Rates'!J83</f>
        <v>0</v>
      </c>
      <c r="K153" s="337">
        <f>'WS7 - Impact on Rates'!K83</f>
        <v>0</v>
      </c>
      <c r="L153" s="337">
        <f>'WS7 - Impact on Rates'!L83</f>
        <v>0</v>
      </c>
      <c r="M153" s="337">
        <f>'WS7 - Impact on Rates'!M83</f>
        <v>0</v>
      </c>
      <c r="N153" s="337">
        <f>'WS7 - Impact on Rates'!N83</f>
        <v>0</v>
      </c>
      <c r="O153" s="337">
        <f>'WS7 - Impact on Rates'!O83</f>
        <v>0</v>
      </c>
      <c r="P153" s="337">
        <f>'WS7 - Impact on Rates'!P83</f>
        <v>0</v>
      </c>
      <c r="Q153" s="337">
        <f>'WS7 - Impact on Rates'!Q83</f>
        <v>0</v>
      </c>
      <c r="R153" s="54"/>
      <c r="S153" s="3"/>
      <c r="T153" s="31"/>
      <c r="U153" s="151"/>
      <c r="V153" s="151"/>
      <c r="W153" s="151"/>
      <c r="X153" s="151"/>
      <c r="Y153" s="151"/>
      <c r="Z153" s="151"/>
      <c r="AA153" s="151"/>
      <c r="AB153" s="151"/>
      <c r="AC153" s="151"/>
      <c r="AD153" s="151"/>
      <c r="AE153" s="151"/>
      <c r="AF153" s="151"/>
    </row>
    <row r="154" spans="2:32" ht="12.75" outlineLevel="1" thickBot="1" x14ac:dyDescent="0.25">
      <c r="B154" s="368" t="str">
        <f>'WS7 - Impact on Rates'!B84</f>
        <v>Farmland</v>
      </c>
      <c r="C154" s="369" t="str">
        <f>'WS7 - Impact on Rates'!C84</f>
        <v/>
      </c>
      <c r="D154" s="370" t="str">
        <f>'WS7 - Impact on Rates'!D84</f>
        <v>$ nominal p.a.</v>
      </c>
      <c r="E154" s="54"/>
      <c r="F154" s="3"/>
      <c r="G154" s="3"/>
      <c r="H154" s="3"/>
      <c r="I154" s="31"/>
      <c r="J154" s="368">
        <f>'WS7 - Impact on Rates'!J84</f>
        <v>0</v>
      </c>
      <c r="K154" s="371">
        <f>'WS7 - Impact on Rates'!K84</f>
        <v>0</v>
      </c>
      <c r="L154" s="371">
        <f>'WS7 - Impact on Rates'!L84</f>
        <v>0</v>
      </c>
      <c r="M154" s="371">
        <f>'WS7 - Impact on Rates'!M84</f>
        <v>0</v>
      </c>
      <c r="N154" s="371">
        <f>'WS7 - Impact on Rates'!N84</f>
        <v>0</v>
      </c>
      <c r="O154" s="371">
        <f>'WS7 - Impact on Rates'!O84</f>
        <v>0</v>
      </c>
      <c r="P154" s="371">
        <f>'WS7 - Impact on Rates'!P84</f>
        <v>0</v>
      </c>
      <c r="Q154" s="372">
        <f>'WS7 - Impact on Rates'!Q84</f>
        <v>0</v>
      </c>
      <c r="R154" s="54"/>
      <c r="S154" s="3"/>
      <c r="T154" s="31"/>
      <c r="U154" s="151"/>
      <c r="V154" s="151"/>
      <c r="W154" s="151"/>
      <c r="X154" s="151"/>
      <c r="Y154" s="151"/>
      <c r="Z154" s="151"/>
      <c r="AA154" s="151"/>
      <c r="AB154" s="151"/>
      <c r="AC154" s="151"/>
      <c r="AD154" s="151"/>
      <c r="AE154" s="151"/>
      <c r="AF154" s="151"/>
    </row>
    <row r="155" spans="2:32" ht="12.75" outlineLevel="1" thickTop="1" x14ac:dyDescent="0.2">
      <c r="B155" s="245" t="str">
        <f>'WS7 - Impact on Rates'!B86</f>
        <v>Mining</v>
      </c>
      <c r="C155" s="255" t="str">
        <f>'WS7 - Impact on Rates'!C86</f>
        <v/>
      </c>
      <c r="D155" s="255" t="str">
        <f>'WS7 - Impact on Rates'!D86</f>
        <v>$ nominal p.a.</v>
      </c>
      <c r="E155" s="54"/>
      <c r="F155" s="3"/>
      <c r="G155" s="3"/>
      <c r="H155" s="3"/>
      <c r="I155" s="31"/>
      <c r="J155" s="245">
        <f>'WS7 - Impact on Rates'!J86</f>
        <v>0</v>
      </c>
      <c r="K155" s="337">
        <f>'WS7 - Impact on Rates'!K86</f>
        <v>0</v>
      </c>
      <c r="L155" s="337">
        <f>'WS7 - Impact on Rates'!L86</f>
        <v>0</v>
      </c>
      <c r="M155" s="337">
        <f>'WS7 - Impact on Rates'!M86</f>
        <v>0</v>
      </c>
      <c r="N155" s="337">
        <f>'WS7 - Impact on Rates'!N86</f>
        <v>0</v>
      </c>
      <c r="O155" s="337">
        <f>'WS7 - Impact on Rates'!O86</f>
        <v>0</v>
      </c>
      <c r="P155" s="337">
        <f>'WS7 - Impact on Rates'!P86</f>
        <v>0</v>
      </c>
      <c r="Q155" s="337">
        <f>'WS7 - Impact on Rates'!Q86</f>
        <v>0</v>
      </c>
      <c r="R155" s="54"/>
      <c r="S155" s="3"/>
      <c r="T155" s="31"/>
      <c r="U155" s="151"/>
      <c r="V155" s="151"/>
      <c r="W155" s="151"/>
      <c r="X155" s="151"/>
      <c r="Y155" s="151"/>
      <c r="Z155" s="151"/>
      <c r="AA155" s="151"/>
      <c r="AB155" s="151"/>
      <c r="AC155" s="151"/>
      <c r="AD155" s="151"/>
      <c r="AE155" s="151"/>
      <c r="AF155" s="151"/>
    </row>
    <row r="156" spans="2:32" outlineLevel="1" x14ac:dyDescent="0.2">
      <c r="B156" s="245" t="str">
        <f>'WS7 - Impact on Rates'!B87</f>
        <v>Mining</v>
      </c>
      <c r="C156" s="255" t="str">
        <f>'WS7 - Impact on Rates'!C87</f>
        <v/>
      </c>
      <c r="D156" s="3" t="str">
        <f>'WS7 - Impact on Rates'!D87</f>
        <v>$ nominal p.a.</v>
      </c>
      <c r="E156" s="54"/>
      <c r="F156" s="3"/>
      <c r="G156" s="3"/>
      <c r="H156" s="3"/>
      <c r="I156" s="31"/>
      <c r="J156" s="245">
        <f>'WS7 - Impact on Rates'!J87</f>
        <v>0</v>
      </c>
      <c r="K156" s="337">
        <f>'WS7 - Impact on Rates'!K87</f>
        <v>0</v>
      </c>
      <c r="L156" s="337">
        <f>'WS7 - Impact on Rates'!L87</f>
        <v>0</v>
      </c>
      <c r="M156" s="337">
        <f>'WS7 - Impact on Rates'!M87</f>
        <v>0</v>
      </c>
      <c r="N156" s="337">
        <f>'WS7 - Impact on Rates'!N87</f>
        <v>0</v>
      </c>
      <c r="O156" s="337">
        <f>'WS7 - Impact on Rates'!O87</f>
        <v>0</v>
      </c>
      <c r="P156" s="337">
        <f>'WS7 - Impact on Rates'!P87</f>
        <v>0</v>
      </c>
      <c r="Q156" s="337">
        <f>'WS7 - Impact on Rates'!Q87</f>
        <v>0</v>
      </c>
      <c r="R156" s="54"/>
      <c r="S156" s="3"/>
      <c r="T156" s="31"/>
      <c r="U156" s="151"/>
      <c r="V156" s="151"/>
      <c r="W156" s="151"/>
      <c r="X156" s="151"/>
      <c r="Y156" s="151"/>
      <c r="Z156" s="151"/>
      <c r="AA156" s="151"/>
      <c r="AB156" s="151"/>
      <c r="AC156" s="151"/>
      <c r="AD156" s="151"/>
      <c r="AE156" s="151"/>
      <c r="AF156" s="151"/>
    </row>
    <row r="157" spans="2:32" outlineLevel="1" x14ac:dyDescent="0.2">
      <c r="B157" s="245" t="str">
        <f>'WS7 - Impact on Rates'!B88</f>
        <v>Mining</v>
      </c>
      <c r="C157" s="255" t="str">
        <f>'WS7 - Impact on Rates'!C88</f>
        <v/>
      </c>
      <c r="D157" s="3" t="str">
        <f>'WS7 - Impact on Rates'!D88</f>
        <v>$ nominal p.a.</v>
      </c>
      <c r="E157" s="54"/>
      <c r="F157" s="3"/>
      <c r="G157" s="3"/>
      <c r="H157" s="3"/>
      <c r="I157" s="31"/>
      <c r="J157" s="245">
        <f>'WS7 - Impact on Rates'!J88</f>
        <v>0</v>
      </c>
      <c r="K157" s="337">
        <f>'WS7 - Impact on Rates'!K88</f>
        <v>0</v>
      </c>
      <c r="L157" s="337">
        <f>'WS7 - Impact on Rates'!L88</f>
        <v>0</v>
      </c>
      <c r="M157" s="337">
        <f>'WS7 - Impact on Rates'!M88</f>
        <v>0</v>
      </c>
      <c r="N157" s="337">
        <f>'WS7 - Impact on Rates'!N88</f>
        <v>0</v>
      </c>
      <c r="O157" s="337">
        <f>'WS7 - Impact on Rates'!O88</f>
        <v>0</v>
      </c>
      <c r="P157" s="337">
        <f>'WS7 - Impact on Rates'!P88</f>
        <v>0</v>
      </c>
      <c r="Q157" s="337">
        <f>'WS7 - Impact on Rates'!Q88</f>
        <v>0</v>
      </c>
      <c r="R157" s="54"/>
      <c r="S157" s="3"/>
      <c r="T157" s="31"/>
      <c r="U157" s="151"/>
      <c r="V157" s="151"/>
      <c r="W157" s="151"/>
      <c r="X157" s="151"/>
      <c r="Y157" s="151"/>
      <c r="Z157" s="151"/>
      <c r="AA157" s="151"/>
      <c r="AB157" s="151"/>
      <c r="AC157" s="151"/>
      <c r="AD157" s="151"/>
      <c r="AE157" s="151"/>
      <c r="AF157" s="151"/>
    </row>
    <row r="158" spans="2:32" outlineLevel="1" x14ac:dyDescent="0.2">
      <c r="B158" s="245" t="str">
        <f>'WS7 - Impact on Rates'!B89</f>
        <v>Mining</v>
      </c>
      <c r="C158" s="255" t="str">
        <f>'WS7 - Impact on Rates'!C89</f>
        <v/>
      </c>
      <c r="D158" s="3" t="str">
        <f>'WS7 - Impact on Rates'!D89</f>
        <v>$ nominal p.a.</v>
      </c>
      <c r="E158" s="54"/>
      <c r="F158" s="3"/>
      <c r="G158" s="3"/>
      <c r="H158" s="3"/>
      <c r="I158" s="31"/>
      <c r="J158" s="245">
        <f>'WS7 - Impact on Rates'!J89</f>
        <v>0</v>
      </c>
      <c r="K158" s="337">
        <f>'WS7 - Impact on Rates'!K89</f>
        <v>0</v>
      </c>
      <c r="L158" s="337">
        <f>'WS7 - Impact on Rates'!L89</f>
        <v>0</v>
      </c>
      <c r="M158" s="337">
        <f>'WS7 - Impact on Rates'!M89</f>
        <v>0</v>
      </c>
      <c r="N158" s="337">
        <f>'WS7 - Impact on Rates'!N89</f>
        <v>0</v>
      </c>
      <c r="O158" s="337">
        <f>'WS7 - Impact on Rates'!O89</f>
        <v>0</v>
      </c>
      <c r="P158" s="337">
        <f>'WS7 - Impact on Rates'!P89</f>
        <v>0</v>
      </c>
      <c r="Q158" s="337">
        <f>'WS7 - Impact on Rates'!Q89</f>
        <v>0</v>
      </c>
      <c r="R158" s="54"/>
      <c r="S158" s="3"/>
      <c r="T158" s="31"/>
      <c r="U158" s="151"/>
      <c r="V158" s="151"/>
      <c r="W158" s="151"/>
      <c r="X158" s="151"/>
      <c r="Y158" s="151"/>
      <c r="Z158" s="151"/>
      <c r="AA158" s="151"/>
      <c r="AB158" s="151"/>
      <c r="AC158" s="151"/>
      <c r="AD158" s="151"/>
      <c r="AE158" s="151"/>
      <c r="AF158" s="151"/>
    </row>
    <row r="159" spans="2:32" outlineLevel="1" x14ac:dyDescent="0.2">
      <c r="B159" s="245" t="str">
        <f>'WS7 - Impact on Rates'!B90</f>
        <v>Mining</v>
      </c>
      <c r="C159" s="255" t="str">
        <f>'WS7 - Impact on Rates'!C90</f>
        <v/>
      </c>
      <c r="D159" s="3" t="str">
        <f>'WS7 - Impact on Rates'!D90</f>
        <v>$ nominal p.a.</v>
      </c>
      <c r="E159" s="54"/>
      <c r="F159" s="3"/>
      <c r="G159" s="3"/>
      <c r="H159" s="3"/>
      <c r="I159" s="31"/>
      <c r="J159" s="245">
        <f>'WS7 - Impact on Rates'!J90</f>
        <v>0</v>
      </c>
      <c r="K159" s="337">
        <f>'WS7 - Impact on Rates'!K90</f>
        <v>0</v>
      </c>
      <c r="L159" s="337">
        <f>'WS7 - Impact on Rates'!L90</f>
        <v>0</v>
      </c>
      <c r="M159" s="337">
        <f>'WS7 - Impact on Rates'!M90</f>
        <v>0</v>
      </c>
      <c r="N159" s="337">
        <f>'WS7 - Impact on Rates'!N90</f>
        <v>0</v>
      </c>
      <c r="O159" s="337">
        <f>'WS7 - Impact on Rates'!O90</f>
        <v>0</v>
      </c>
      <c r="P159" s="337">
        <f>'WS7 - Impact on Rates'!P90</f>
        <v>0</v>
      </c>
      <c r="Q159" s="337">
        <f>'WS7 - Impact on Rates'!Q90</f>
        <v>0</v>
      </c>
      <c r="R159" s="54"/>
      <c r="S159" s="3"/>
      <c r="T159" s="31"/>
      <c r="U159" s="151"/>
      <c r="V159" s="151"/>
      <c r="W159" s="151"/>
      <c r="X159" s="151"/>
      <c r="Y159" s="151"/>
      <c r="Z159" s="151"/>
      <c r="AA159" s="151"/>
      <c r="AB159" s="151"/>
      <c r="AC159" s="151"/>
      <c r="AD159" s="151"/>
      <c r="AE159" s="151"/>
      <c r="AF159" s="151"/>
    </row>
    <row r="160" spans="2:32" outlineLevel="1" x14ac:dyDescent="0.2">
      <c r="B160" s="245" t="str">
        <f>'WS7 - Impact on Rates'!B91</f>
        <v>Mining</v>
      </c>
      <c r="C160" s="255" t="str">
        <f>'WS7 - Impact on Rates'!C91</f>
        <v/>
      </c>
      <c r="D160" s="3" t="str">
        <f>'WS7 - Impact on Rates'!D91</f>
        <v>$ nominal p.a.</v>
      </c>
      <c r="E160" s="54"/>
      <c r="F160" s="3"/>
      <c r="G160" s="3"/>
      <c r="H160" s="3"/>
      <c r="I160" s="31"/>
      <c r="J160" s="245">
        <f>'WS7 - Impact on Rates'!J91</f>
        <v>0</v>
      </c>
      <c r="K160" s="337">
        <f>'WS7 - Impact on Rates'!K91</f>
        <v>0</v>
      </c>
      <c r="L160" s="337">
        <f>'WS7 - Impact on Rates'!L91</f>
        <v>0</v>
      </c>
      <c r="M160" s="337">
        <f>'WS7 - Impact on Rates'!M91</f>
        <v>0</v>
      </c>
      <c r="N160" s="337">
        <f>'WS7 - Impact on Rates'!N91</f>
        <v>0</v>
      </c>
      <c r="O160" s="337">
        <f>'WS7 - Impact on Rates'!O91</f>
        <v>0</v>
      </c>
      <c r="P160" s="337">
        <f>'WS7 - Impact on Rates'!P91</f>
        <v>0</v>
      </c>
      <c r="Q160" s="337">
        <f>'WS7 - Impact on Rates'!Q91</f>
        <v>0</v>
      </c>
      <c r="R160" s="54"/>
      <c r="S160" s="3"/>
      <c r="T160" s="31"/>
      <c r="U160" s="151"/>
      <c r="V160" s="151"/>
      <c r="W160" s="151"/>
      <c r="X160" s="151"/>
      <c r="Y160" s="151"/>
      <c r="Z160" s="151"/>
      <c r="AA160" s="151"/>
      <c r="AB160" s="151"/>
      <c r="AC160" s="151"/>
      <c r="AD160" s="151"/>
      <c r="AE160" s="151"/>
      <c r="AF160" s="151"/>
    </row>
    <row r="161" spans="2:32" outlineLevel="1" x14ac:dyDescent="0.2">
      <c r="B161" s="245" t="str">
        <f>'WS7 - Impact on Rates'!B92</f>
        <v>Mining</v>
      </c>
      <c r="C161" s="255" t="str">
        <f>'WS7 - Impact on Rates'!C92</f>
        <v/>
      </c>
      <c r="D161" s="3" t="str">
        <f>'WS7 - Impact on Rates'!D92</f>
        <v>$ nominal p.a.</v>
      </c>
      <c r="E161" s="54"/>
      <c r="F161" s="3"/>
      <c r="G161" s="3"/>
      <c r="H161" s="3"/>
      <c r="I161" s="31"/>
      <c r="J161" s="245">
        <f>'WS7 - Impact on Rates'!J92</f>
        <v>0</v>
      </c>
      <c r="K161" s="337">
        <f>'WS7 - Impact on Rates'!K92</f>
        <v>0</v>
      </c>
      <c r="L161" s="337">
        <f>'WS7 - Impact on Rates'!L92</f>
        <v>0</v>
      </c>
      <c r="M161" s="337">
        <f>'WS7 - Impact on Rates'!M92</f>
        <v>0</v>
      </c>
      <c r="N161" s="337">
        <f>'WS7 - Impact on Rates'!N92</f>
        <v>0</v>
      </c>
      <c r="O161" s="337">
        <f>'WS7 - Impact on Rates'!O92</f>
        <v>0</v>
      </c>
      <c r="P161" s="337">
        <f>'WS7 - Impact on Rates'!P92</f>
        <v>0</v>
      </c>
      <c r="Q161" s="337">
        <f>'WS7 - Impact on Rates'!Q92</f>
        <v>0</v>
      </c>
      <c r="R161" s="54"/>
      <c r="S161" s="3"/>
      <c r="T161" s="31"/>
      <c r="U161" s="151"/>
      <c r="V161" s="151"/>
      <c r="W161" s="151"/>
      <c r="X161" s="151"/>
      <c r="Y161" s="151"/>
      <c r="Z161" s="151"/>
      <c r="AA161" s="151"/>
      <c r="AB161" s="151"/>
      <c r="AC161" s="151"/>
      <c r="AD161" s="151"/>
      <c r="AE161" s="151"/>
      <c r="AF161" s="151"/>
    </row>
    <row r="162" spans="2:32" outlineLevel="1" x14ac:dyDescent="0.2">
      <c r="B162" s="245" t="str">
        <f>'WS7 - Impact on Rates'!B93</f>
        <v>Mining</v>
      </c>
      <c r="C162" s="255" t="str">
        <f>'WS7 - Impact on Rates'!C93</f>
        <v/>
      </c>
      <c r="D162" s="3" t="str">
        <f>'WS7 - Impact on Rates'!D93</f>
        <v>$ nominal p.a.</v>
      </c>
      <c r="E162" s="54"/>
      <c r="F162" s="3"/>
      <c r="G162" s="3"/>
      <c r="H162" s="3"/>
      <c r="I162" s="31"/>
      <c r="J162" s="245">
        <f>'WS7 - Impact on Rates'!J93</f>
        <v>0</v>
      </c>
      <c r="K162" s="337">
        <f>'WS7 - Impact on Rates'!K93</f>
        <v>0</v>
      </c>
      <c r="L162" s="337">
        <f>'WS7 - Impact on Rates'!L93</f>
        <v>0</v>
      </c>
      <c r="M162" s="337">
        <f>'WS7 - Impact on Rates'!M93</f>
        <v>0</v>
      </c>
      <c r="N162" s="337">
        <f>'WS7 - Impact on Rates'!N93</f>
        <v>0</v>
      </c>
      <c r="O162" s="337">
        <f>'WS7 - Impact on Rates'!O93</f>
        <v>0</v>
      </c>
      <c r="P162" s="337">
        <f>'WS7 - Impact on Rates'!P93</f>
        <v>0</v>
      </c>
      <c r="Q162" s="337">
        <f>'WS7 - Impact on Rates'!Q93</f>
        <v>0</v>
      </c>
      <c r="R162" s="54"/>
      <c r="S162" s="3"/>
      <c r="T162" s="31"/>
      <c r="U162" s="151"/>
      <c r="V162" s="151"/>
      <c r="W162" s="151"/>
      <c r="X162" s="151"/>
      <c r="Y162" s="151"/>
      <c r="Z162" s="151"/>
      <c r="AA162" s="151"/>
      <c r="AB162" s="151"/>
      <c r="AC162" s="151"/>
      <c r="AD162" s="151"/>
      <c r="AE162" s="151"/>
      <c r="AF162" s="151"/>
    </row>
    <row r="163" spans="2:32" outlineLevel="1" x14ac:dyDescent="0.2">
      <c r="B163" s="245" t="str">
        <f>'WS7 - Impact on Rates'!B94</f>
        <v>Mining</v>
      </c>
      <c r="C163" s="255" t="str">
        <f>'WS7 - Impact on Rates'!C94</f>
        <v/>
      </c>
      <c r="D163" s="3" t="str">
        <f>'WS7 - Impact on Rates'!D94</f>
        <v>$ nominal p.a.</v>
      </c>
      <c r="E163" s="54"/>
      <c r="F163" s="3"/>
      <c r="G163" s="3"/>
      <c r="H163" s="3"/>
      <c r="I163" s="31"/>
      <c r="J163" s="245">
        <f>'WS7 - Impact on Rates'!J94</f>
        <v>0</v>
      </c>
      <c r="K163" s="337">
        <f>'WS7 - Impact on Rates'!K94</f>
        <v>0</v>
      </c>
      <c r="L163" s="337">
        <f>'WS7 - Impact on Rates'!L94</f>
        <v>0</v>
      </c>
      <c r="M163" s="337">
        <f>'WS7 - Impact on Rates'!M94</f>
        <v>0</v>
      </c>
      <c r="N163" s="337">
        <f>'WS7 - Impact on Rates'!N94</f>
        <v>0</v>
      </c>
      <c r="O163" s="337">
        <f>'WS7 - Impact on Rates'!O94</f>
        <v>0</v>
      </c>
      <c r="P163" s="337">
        <f>'WS7 - Impact on Rates'!P94</f>
        <v>0</v>
      </c>
      <c r="Q163" s="337">
        <f>'WS7 - Impact on Rates'!Q94</f>
        <v>0</v>
      </c>
      <c r="R163" s="54"/>
      <c r="S163" s="3"/>
      <c r="T163" s="31"/>
      <c r="U163" s="151"/>
      <c r="V163" s="151"/>
      <c r="W163" s="151"/>
      <c r="X163" s="151"/>
      <c r="Y163" s="151"/>
      <c r="Z163" s="151"/>
      <c r="AA163" s="151"/>
      <c r="AB163" s="151"/>
      <c r="AC163" s="151"/>
      <c r="AD163" s="151"/>
      <c r="AE163" s="151"/>
      <c r="AF163" s="151"/>
    </row>
    <row r="164" spans="2:32" outlineLevel="1" x14ac:dyDescent="0.2">
      <c r="B164" s="245" t="str">
        <f>'WS7 - Impact on Rates'!B95</f>
        <v>Mining</v>
      </c>
      <c r="C164" s="255" t="str">
        <f>'WS7 - Impact on Rates'!C95</f>
        <v/>
      </c>
      <c r="D164" s="3" t="str">
        <f>'WS7 - Impact on Rates'!D95</f>
        <v>$ nominal p.a.</v>
      </c>
      <c r="E164" s="54"/>
      <c r="F164" s="3"/>
      <c r="G164" s="3"/>
      <c r="H164" s="3"/>
      <c r="I164" s="31"/>
      <c r="J164" s="245">
        <f>'WS7 - Impact on Rates'!J95</f>
        <v>0</v>
      </c>
      <c r="K164" s="337">
        <f>'WS7 - Impact on Rates'!K95</f>
        <v>0</v>
      </c>
      <c r="L164" s="337">
        <f>'WS7 - Impact on Rates'!L95</f>
        <v>0</v>
      </c>
      <c r="M164" s="337">
        <f>'WS7 - Impact on Rates'!M95</f>
        <v>0</v>
      </c>
      <c r="N164" s="337">
        <f>'WS7 - Impact on Rates'!N95</f>
        <v>0</v>
      </c>
      <c r="O164" s="337">
        <f>'WS7 - Impact on Rates'!O95</f>
        <v>0</v>
      </c>
      <c r="P164" s="337">
        <f>'WS7 - Impact on Rates'!P95</f>
        <v>0</v>
      </c>
      <c r="Q164" s="337">
        <f>'WS7 - Impact on Rates'!Q95</f>
        <v>0</v>
      </c>
      <c r="R164" s="54"/>
      <c r="S164" s="3"/>
      <c r="T164" s="31"/>
      <c r="U164" s="151"/>
      <c r="V164" s="151"/>
      <c r="W164" s="151"/>
      <c r="X164" s="151"/>
      <c r="Y164" s="151"/>
      <c r="Z164" s="151"/>
      <c r="AA164" s="151"/>
      <c r="AB164" s="151"/>
      <c r="AC164" s="151"/>
      <c r="AD164" s="151"/>
      <c r="AE164" s="151"/>
      <c r="AF164" s="151"/>
    </row>
    <row r="165" spans="2:32" x14ac:dyDescent="0.2">
      <c r="B165" s="108"/>
      <c r="C165" s="3"/>
      <c r="D165" s="3"/>
      <c r="E165" s="54"/>
      <c r="F165" s="3"/>
      <c r="G165" s="3"/>
      <c r="H165" s="3"/>
      <c r="I165" s="31"/>
      <c r="J165" s="54"/>
      <c r="K165" s="3"/>
      <c r="L165" s="3"/>
      <c r="M165" s="3"/>
      <c r="N165" s="3"/>
      <c r="O165" s="3"/>
      <c r="P165" s="3"/>
      <c r="Q165" s="31"/>
      <c r="R165" s="3"/>
      <c r="S165" s="3"/>
      <c r="T165" s="31"/>
      <c r="U165" s="151"/>
      <c r="V165" s="151"/>
      <c r="W165" s="151"/>
      <c r="X165" s="151"/>
      <c r="Y165" s="151"/>
      <c r="Z165" s="151"/>
      <c r="AA165" s="151"/>
      <c r="AB165" s="151"/>
      <c r="AC165" s="151"/>
      <c r="AD165" s="151"/>
      <c r="AE165" s="151"/>
      <c r="AF165" s="151"/>
    </row>
    <row r="166" spans="2:32" x14ac:dyDescent="0.2">
      <c r="B166" s="219" t="str">
        <f>'WS7 - Impact on Rates'!B98</f>
        <v>Table 7.2: Average Ordinary and Special Rates - with proposed special variation</v>
      </c>
      <c r="C166" s="3"/>
      <c r="D166" s="3"/>
      <c r="E166" s="54"/>
      <c r="F166" s="3"/>
      <c r="G166" s="3"/>
      <c r="H166" s="3"/>
      <c r="I166" s="31"/>
      <c r="J166" s="54"/>
      <c r="K166" s="3"/>
      <c r="L166" s="3"/>
      <c r="M166" s="3"/>
      <c r="N166" s="3"/>
      <c r="O166" s="3"/>
      <c r="P166" s="3"/>
      <c r="Q166" s="31"/>
      <c r="R166" s="3"/>
      <c r="S166" s="3"/>
      <c r="T166" s="31"/>
      <c r="U166" s="151"/>
      <c r="V166" s="151"/>
      <c r="W166" s="151"/>
      <c r="X166" s="151"/>
      <c r="Y166" s="151"/>
      <c r="Z166" s="151"/>
      <c r="AA166" s="151"/>
      <c r="AB166" s="151"/>
      <c r="AC166" s="151"/>
      <c r="AD166" s="151"/>
      <c r="AE166" s="151"/>
      <c r="AF166" s="151"/>
    </row>
    <row r="167" spans="2:32" x14ac:dyDescent="0.2">
      <c r="B167" s="267" t="str">
        <f>'WS7 - Impact on Rates'!B101</f>
        <v>Residential</v>
      </c>
      <c r="C167" s="207" t="str">
        <f>'WS7 - Impact on Rates'!C101</f>
        <v>Residential</v>
      </c>
      <c r="D167" s="207" t="str">
        <f>'WS7 - Impact on Rates'!D101</f>
        <v>$ nominal p.a.</v>
      </c>
      <c r="E167" s="54"/>
      <c r="F167" s="3"/>
      <c r="G167" s="3"/>
      <c r="H167" s="3"/>
      <c r="I167" s="31"/>
      <c r="J167" s="235">
        <f>'WS7 - Impact on Rates'!J101</f>
        <v>1087.8681447394329</v>
      </c>
      <c r="K167" s="236">
        <f>'WS7 - Impact on Rates'!K101</f>
        <v>1251.0483664503479</v>
      </c>
      <c r="L167" s="236">
        <f>'WS7 - Impact on Rates'!L101</f>
        <v>1288.5798174438582</v>
      </c>
      <c r="M167" s="236">
        <f>'WS7 - Impact on Rates'!M101</f>
        <v>1327.2372119671743</v>
      </c>
      <c r="N167" s="236">
        <f>'WS7 - Impact on Rates'!N101</f>
        <v>1367.0543283261893</v>
      </c>
      <c r="O167" s="236">
        <f>'WS7 - Impact on Rates'!O101</f>
        <v>1408.0659581759751</v>
      </c>
      <c r="P167" s="236">
        <f>'WS7 - Impact on Rates'!P101</f>
        <v>1450.3079369212544</v>
      </c>
      <c r="Q167" s="237">
        <f>'WS7 - Impact on Rates'!Q101</f>
        <v>1493.8171750288923</v>
      </c>
      <c r="R167" s="3"/>
      <c r="S167" s="3"/>
      <c r="T167" s="31"/>
      <c r="U167" s="3"/>
      <c r="V167" s="151"/>
      <c r="W167" s="151"/>
      <c r="X167" s="151"/>
      <c r="Y167" s="151"/>
      <c r="Z167" s="151"/>
      <c r="AA167" s="151"/>
      <c r="AB167" s="151"/>
      <c r="AC167" s="151"/>
      <c r="AD167" s="151"/>
      <c r="AE167" s="151"/>
      <c r="AF167" s="151"/>
    </row>
    <row r="168" spans="2:32" x14ac:dyDescent="0.2">
      <c r="B168" s="267" t="str">
        <f>'WS7 - Impact on Rates'!B102</f>
        <v>Residential</v>
      </c>
      <c r="C168" s="207" t="str">
        <f>'WS7 - Impact on Rates'!C102</f>
        <v/>
      </c>
      <c r="D168" s="207" t="str">
        <f>'WS7 - Impact on Rates'!D102</f>
        <v>$ nominal p.a.</v>
      </c>
      <c r="E168" s="54"/>
      <c r="F168" s="3"/>
      <c r="G168" s="3"/>
      <c r="H168" s="3"/>
      <c r="I168" s="31"/>
      <c r="J168" s="235" t="str">
        <f>'WS7 - Impact on Rates'!J102</f>
        <v>.</v>
      </c>
      <c r="K168" s="236" t="str">
        <f>'WS7 - Impact on Rates'!K102</f>
        <v>.</v>
      </c>
      <c r="L168" s="236">
        <f>'WS7 - Impact on Rates'!L102</f>
        <v>0</v>
      </c>
      <c r="M168" s="236">
        <f>'WS7 - Impact on Rates'!M102</f>
        <v>0</v>
      </c>
      <c r="N168" s="236">
        <f>'WS7 - Impact on Rates'!N102</f>
        <v>0</v>
      </c>
      <c r="O168" s="236">
        <f>'WS7 - Impact on Rates'!O102</f>
        <v>0</v>
      </c>
      <c r="P168" s="236">
        <f>'WS7 - Impact on Rates'!P102</f>
        <v>0</v>
      </c>
      <c r="Q168" s="237">
        <f>'WS7 - Impact on Rates'!Q102</f>
        <v>0</v>
      </c>
      <c r="R168" s="3"/>
      <c r="S168" s="3"/>
      <c r="T168" s="31"/>
      <c r="U168" s="3"/>
      <c r="V168" s="151"/>
      <c r="W168" s="151"/>
      <c r="X168" s="151"/>
      <c r="Y168" s="151"/>
      <c r="Z168" s="151"/>
      <c r="AA168" s="151"/>
      <c r="AB168" s="151"/>
      <c r="AC168" s="151"/>
      <c r="AD168" s="151"/>
      <c r="AE168" s="151"/>
      <c r="AF168" s="151"/>
    </row>
    <row r="169" spans="2:32" x14ac:dyDescent="0.2">
      <c r="B169" s="267" t="str">
        <f>'WS7 - Impact on Rates'!B103</f>
        <v>Residential</v>
      </c>
      <c r="C169" s="207" t="str">
        <f>'WS7 - Impact on Rates'!C103</f>
        <v/>
      </c>
      <c r="D169" s="207" t="str">
        <f>'WS7 - Impact on Rates'!D103</f>
        <v>$ nominal p.a.</v>
      </c>
      <c r="E169" s="54"/>
      <c r="F169" s="3"/>
      <c r="G169" s="3"/>
      <c r="H169" s="3"/>
      <c r="I169" s="31"/>
      <c r="J169" s="235" t="str">
        <f>'WS7 - Impact on Rates'!J103</f>
        <v>.</v>
      </c>
      <c r="K169" s="236" t="str">
        <f>'WS7 - Impact on Rates'!K103</f>
        <v>.</v>
      </c>
      <c r="L169" s="236">
        <f>'WS7 - Impact on Rates'!L103</f>
        <v>0</v>
      </c>
      <c r="M169" s="236">
        <f>'WS7 - Impact on Rates'!M103</f>
        <v>0</v>
      </c>
      <c r="N169" s="236">
        <f>'WS7 - Impact on Rates'!N103</f>
        <v>0</v>
      </c>
      <c r="O169" s="236">
        <f>'WS7 - Impact on Rates'!O103</f>
        <v>0</v>
      </c>
      <c r="P169" s="236">
        <f>'WS7 - Impact on Rates'!P103</f>
        <v>0</v>
      </c>
      <c r="Q169" s="237">
        <f>'WS7 - Impact on Rates'!Q103</f>
        <v>0</v>
      </c>
      <c r="R169" s="3"/>
      <c r="S169" s="3"/>
      <c r="T169" s="31"/>
      <c r="U169" s="3"/>
      <c r="V169" s="151"/>
      <c r="W169" s="151"/>
      <c r="X169" s="151"/>
      <c r="Y169" s="151"/>
      <c r="Z169" s="151"/>
      <c r="AA169" s="151"/>
      <c r="AB169" s="151"/>
      <c r="AC169" s="151"/>
      <c r="AD169" s="151"/>
      <c r="AE169" s="151"/>
      <c r="AF169" s="151"/>
    </row>
    <row r="170" spans="2:32" outlineLevel="1" x14ac:dyDescent="0.2">
      <c r="B170" s="267" t="str">
        <f>'WS7 - Impact on Rates'!B104</f>
        <v>Residential</v>
      </c>
      <c r="C170" s="207" t="str">
        <f>'WS7 - Impact on Rates'!C104</f>
        <v/>
      </c>
      <c r="D170" s="207" t="str">
        <f>'WS7 - Impact on Rates'!D104</f>
        <v>$ nominal p.a.</v>
      </c>
      <c r="E170" s="54"/>
      <c r="F170" s="3"/>
      <c r="G170" s="3"/>
      <c r="H170" s="3"/>
      <c r="I170" s="31"/>
      <c r="J170" s="235" t="str">
        <f>'WS7 - Impact on Rates'!J104</f>
        <v>.</v>
      </c>
      <c r="K170" s="236" t="str">
        <f>'WS7 - Impact on Rates'!K104</f>
        <v>.</v>
      </c>
      <c r="L170" s="236">
        <f>'WS7 - Impact on Rates'!L104</f>
        <v>0</v>
      </c>
      <c r="M170" s="236">
        <f>'WS7 - Impact on Rates'!M104</f>
        <v>0</v>
      </c>
      <c r="N170" s="236">
        <f>'WS7 - Impact on Rates'!N104</f>
        <v>0</v>
      </c>
      <c r="O170" s="236">
        <f>'WS7 - Impact on Rates'!O104</f>
        <v>0</v>
      </c>
      <c r="P170" s="236">
        <f>'WS7 - Impact on Rates'!P104</f>
        <v>0</v>
      </c>
      <c r="Q170" s="237">
        <f>'WS7 - Impact on Rates'!Q104</f>
        <v>0</v>
      </c>
      <c r="R170" s="3"/>
      <c r="S170" s="3"/>
      <c r="T170" s="31"/>
      <c r="U170" s="3"/>
      <c r="V170" s="151"/>
      <c r="W170" s="151"/>
      <c r="X170" s="151"/>
      <c r="Y170" s="151"/>
      <c r="Z170" s="151"/>
      <c r="AA170" s="151"/>
      <c r="AB170" s="151"/>
      <c r="AC170" s="151"/>
      <c r="AD170" s="151"/>
      <c r="AE170" s="151"/>
      <c r="AF170" s="151"/>
    </row>
    <row r="171" spans="2:32" outlineLevel="1" x14ac:dyDescent="0.2">
      <c r="B171" s="267" t="str">
        <f>'WS7 - Impact on Rates'!B105</f>
        <v>Residential</v>
      </c>
      <c r="C171" s="207" t="str">
        <f>'WS7 - Impact on Rates'!C105</f>
        <v/>
      </c>
      <c r="D171" s="207" t="str">
        <f>'WS7 - Impact on Rates'!D105</f>
        <v>$ nominal p.a.</v>
      </c>
      <c r="E171" s="54"/>
      <c r="F171" s="3"/>
      <c r="G171" s="3"/>
      <c r="H171" s="3"/>
      <c r="I171" s="31"/>
      <c r="J171" s="235" t="str">
        <f>'WS7 - Impact on Rates'!J105</f>
        <v>.</v>
      </c>
      <c r="K171" s="236" t="str">
        <f>'WS7 - Impact on Rates'!K105</f>
        <v>.</v>
      </c>
      <c r="L171" s="236">
        <f>'WS7 - Impact on Rates'!L105</f>
        <v>0</v>
      </c>
      <c r="M171" s="236">
        <f>'WS7 - Impact on Rates'!M105</f>
        <v>0</v>
      </c>
      <c r="N171" s="236">
        <f>'WS7 - Impact on Rates'!N105</f>
        <v>0</v>
      </c>
      <c r="O171" s="236">
        <f>'WS7 - Impact on Rates'!O105</f>
        <v>0</v>
      </c>
      <c r="P171" s="236">
        <f>'WS7 - Impact on Rates'!P105</f>
        <v>0</v>
      </c>
      <c r="Q171" s="237">
        <f>'WS7 - Impact on Rates'!Q105</f>
        <v>0</v>
      </c>
      <c r="R171" s="3"/>
      <c r="S171" s="3"/>
      <c r="T171" s="31"/>
      <c r="U171" s="3"/>
      <c r="V171" s="151"/>
      <c r="W171" s="151"/>
      <c r="X171" s="151"/>
      <c r="Y171" s="151"/>
      <c r="Z171" s="151"/>
      <c r="AA171" s="151"/>
      <c r="AB171" s="151"/>
      <c r="AC171" s="151"/>
      <c r="AD171" s="151"/>
      <c r="AE171" s="151"/>
      <c r="AF171" s="151"/>
    </row>
    <row r="172" spans="2:32" outlineLevel="1" x14ac:dyDescent="0.2">
      <c r="B172" s="267" t="str">
        <f>'WS7 - Impact on Rates'!B106</f>
        <v>Residential</v>
      </c>
      <c r="C172" s="207" t="str">
        <f>'WS7 - Impact on Rates'!C106</f>
        <v/>
      </c>
      <c r="D172" s="207" t="str">
        <f>'WS7 - Impact on Rates'!D106</f>
        <v>$ nominal p.a.</v>
      </c>
      <c r="E172" s="54"/>
      <c r="F172" s="3"/>
      <c r="G172" s="3"/>
      <c r="H172" s="3"/>
      <c r="I172" s="31"/>
      <c r="J172" s="235" t="str">
        <f>'WS7 - Impact on Rates'!J106</f>
        <v>.</v>
      </c>
      <c r="K172" s="236" t="str">
        <f>'WS7 - Impact on Rates'!K106</f>
        <v>.</v>
      </c>
      <c r="L172" s="236">
        <f>'WS7 - Impact on Rates'!L106</f>
        <v>0</v>
      </c>
      <c r="M172" s="236">
        <f>'WS7 - Impact on Rates'!M106</f>
        <v>0</v>
      </c>
      <c r="N172" s="236">
        <f>'WS7 - Impact on Rates'!N106</f>
        <v>0</v>
      </c>
      <c r="O172" s="236">
        <f>'WS7 - Impact on Rates'!O106</f>
        <v>0</v>
      </c>
      <c r="P172" s="236">
        <f>'WS7 - Impact on Rates'!P106</f>
        <v>0</v>
      </c>
      <c r="Q172" s="237">
        <f>'WS7 - Impact on Rates'!Q106</f>
        <v>0</v>
      </c>
      <c r="R172" s="3"/>
      <c r="S172" s="3"/>
      <c r="T172" s="31"/>
      <c r="U172" s="3"/>
      <c r="V172" s="151"/>
      <c r="W172" s="151"/>
      <c r="X172" s="151"/>
      <c r="Y172" s="151"/>
      <c r="Z172" s="151"/>
      <c r="AA172" s="151"/>
      <c r="AB172" s="151"/>
      <c r="AC172" s="151"/>
      <c r="AD172" s="151"/>
      <c r="AE172" s="151"/>
      <c r="AF172" s="151"/>
    </row>
    <row r="173" spans="2:32" outlineLevel="1" x14ac:dyDescent="0.2">
      <c r="B173" s="267" t="str">
        <f>'WS7 - Impact on Rates'!B107</f>
        <v>Residential</v>
      </c>
      <c r="C173" s="207" t="str">
        <f>'WS7 - Impact on Rates'!C107</f>
        <v/>
      </c>
      <c r="D173" s="207" t="str">
        <f>'WS7 - Impact on Rates'!D107</f>
        <v>$ nominal p.a.</v>
      </c>
      <c r="E173" s="54"/>
      <c r="F173" s="3"/>
      <c r="G173" s="3"/>
      <c r="H173" s="3"/>
      <c r="I173" s="31"/>
      <c r="J173" s="235" t="str">
        <f>'WS7 - Impact on Rates'!J107</f>
        <v>.</v>
      </c>
      <c r="K173" s="236" t="str">
        <f>'WS7 - Impact on Rates'!K107</f>
        <v>.</v>
      </c>
      <c r="L173" s="236">
        <f>'WS7 - Impact on Rates'!L107</f>
        <v>0</v>
      </c>
      <c r="M173" s="236">
        <f>'WS7 - Impact on Rates'!M107</f>
        <v>0</v>
      </c>
      <c r="N173" s="236">
        <f>'WS7 - Impact on Rates'!N107</f>
        <v>0</v>
      </c>
      <c r="O173" s="236">
        <f>'WS7 - Impact on Rates'!O107</f>
        <v>0</v>
      </c>
      <c r="P173" s="236">
        <f>'WS7 - Impact on Rates'!P107</f>
        <v>0</v>
      </c>
      <c r="Q173" s="237">
        <f>'WS7 - Impact on Rates'!Q107</f>
        <v>0</v>
      </c>
      <c r="R173" s="3"/>
      <c r="S173" s="3"/>
      <c r="T173" s="31"/>
      <c r="U173" s="3"/>
      <c r="V173" s="151"/>
      <c r="W173" s="151"/>
      <c r="X173" s="151"/>
      <c r="Y173" s="151"/>
      <c r="Z173" s="151"/>
      <c r="AA173" s="151"/>
      <c r="AB173" s="151"/>
      <c r="AC173" s="151"/>
      <c r="AD173" s="151"/>
      <c r="AE173" s="151"/>
      <c r="AF173" s="151"/>
    </row>
    <row r="174" spans="2:32" outlineLevel="1" x14ac:dyDescent="0.2">
      <c r="B174" s="267" t="str">
        <f>'WS7 - Impact on Rates'!B108</f>
        <v>Residential</v>
      </c>
      <c r="C174" s="207" t="str">
        <f>'WS7 - Impact on Rates'!C108</f>
        <v/>
      </c>
      <c r="D174" s="207" t="str">
        <f>'WS7 - Impact on Rates'!D108</f>
        <v>$ nominal p.a.</v>
      </c>
      <c r="E174" s="54"/>
      <c r="F174" s="3"/>
      <c r="G174" s="3"/>
      <c r="H174" s="3"/>
      <c r="I174" s="31"/>
      <c r="J174" s="235" t="str">
        <f>'WS7 - Impact on Rates'!J108</f>
        <v>.</v>
      </c>
      <c r="K174" s="236" t="str">
        <f>'WS7 - Impact on Rates'!K108</f>
        <v>.</v>
      </c>
      <c r="L174" s="236">
        <f>'WS7 - Impact on Rates'!L108</f>
        <v>0</v>
      </c>
      <c r="M174" s="236">
        <f>'WS7 - Impact on Rates'!M108</f>
        <v>0</v>
      </c>
      <c r="N174" s="236">
        <f>'WS7 - Impact on Rates'!N108</f>
        <v>0</v>
      </c>
      <c r="O174" s="236">
        <f>'WS7 - Impact on Rates'!O108</f>
        <v>0</v>
      </c>
      <c r="P174" s="236">
        <f>'WS7 - Impact on Rates'!P108</f>
        <v>0</v>
      </c>
      <c r="Q174" s="237">
        <f>'WS7 - Impact on Rates'!Q108</f>
        <v>0</v>
      </c>
      <c r="R174" s="3"/>
      <c r="S174" s="3"/>
      <c r="T174" s="31"/>
      <c r="U174" s="3"/>
      <c r="V174" s="151"/>
      <c r="W174" s="151"/>
      <c r="X174" s="151"/>
      <c r="Y174" s="151"/>
      <c r="Z174" s="151"/>
      <c r="AA174" s="151"/>
      <c r="AB174" s="151"/>
      <c r="AC174" s="151"/>
      <c r="AD174" s="151"/>
      <c r="AE174" s="151"/>
      <c r="AF174" s="151"/>
    </row>
    <row r="175" spans="2:32" outlineLevel="1" x14ac:dyDescent="0.2">
      <c r="B175" s="267" t="str">
        <f>'WS7 - Impact on Rates'!B109</f>
        <v>Residential</v>
      </c>
      <c r="C175" s="207" t="str">
        <f>'WS7 - Impact on Rates'!C109</f>
        <v/>
      </c>
      <c r="D175" s="207" t="str">
        <f>'WS7 - Impact on Rates'!D109</f>
        <v>$ nominal p.a.</v>
      </c>
      <c r="E175" s="54"/>
      <c r="F175" s="3"/>
      <c r="G175" s="3"/>
      <c r="H175" s="3"/>
      <c r="I175" s="31"/>
      <c r="J175" s="235" t="str">
        <f>'WS7 - Impact on Rates'!J109</f>
        <v>.</v>
      </c>
      <c r="K175" s="236" t="str">
        <f>'WS7 - Impact on Rates'!K109</f>
        <v>.</v>
      </c>
      <c r="L175" s="236">
        <f>'WS7 - Impact on Rates'!L109</f>
        <v>0</v>
      </c>
      <c r="M175" s="236">
        <f>'WS7 - Impact on Rates'!M109</f>
        <v>0</v>
      </c>
      <c r="N175" s="236">
        <f>'WS7 - Impact on Rates'!N109</f>
        <v>0</v>
      </c>
      <c r="O175" s="236">
        <f>'WS7 - Impact on Rates'!O109</f>
        <v>0</v>
      </c>
      <c r="P175" s="236">
        <f>'WS7 - Impact on Rates'!P109</f>
        <v>0</v>
      </c>
      <c r="Q175" s="237">
        <f>'WS7 - Impact on Rates'!Q109</f>
        <v>0</v>
      </c>
      <c r="R175" s="3"/>
      <c r="S175" s="3"/>
      <c r="T175" s="31"/>
      <c r="U175" s="3"/>
      <c r="V175" s="151"/>
      <c r="W175" s="151"/>
      <c r="X175" s="151"/>
      <c r="Y175" s="151"/>
      <c r="Z175" s="151"/>
      <c r="AA175" s="151"/>
      <c r="AB175" s="151"/>
      <c r="AC175" s="151"/>
      <c r="AD175" s="151"/>
      <c r="AE175" s="151"/>
      <c r="AF175" s="151"/>
    </row>
    <row r="176" spans="2:32" outlineLevel="1" x14ac:dyDescent="0.2">
      <c r="B176" s="267" t="str">
        <f>'WS7 - Impact on Rates'!B110</f>
        <v>Residential</v>
      </c>
      <c r="C176" s="207" t="str">
        <f>'WS7 - Impact on Rates'!C110</f>
        <v/>
      </c>
      <c r="D176" s="207" t="str">
        <f>'WS7 - Impact on Rates'!D110</f>
        <v>$ nominal p.a.</v>
      </c>
      <c r="E176" s="54"/>
      <c r="F176" s="3"/>
      <c r="G176" s="3"/>
      <c r="H176" s="3"/>
      <c r="I176" s="31"/>
      <c r="J176" s="235" t="str">
        <f>'WS7 - Impact on Rates'!J110</f>
        <v>.</v>
      </c>
      <c r="K176" s="236" t="str">
        <f>'WS7 - Impact on Rates'!K110</f>
        <v>.</v>
      </c>
      <c r="L176" s="236">
        <f>'WS7 - Impact on Rates'!L110</f>
        <v>0</v>
      </c>
      <c r="M176" s="236">
        <f>'WS7 - Impact on Rates'!M110</f>
        <v>0</v>
      </c>
      <c r="N176" s="236">
        <f>'WS7 - Impact on Rates'!N110</f>
        <v>0</v>
      </c>
      <c r="O176" s="236">
        <f>'WS7 - Impact on Rates'!O110</f>
        <v>0</v>
      </c>
      <c r="P176" s="236">
        <f>'WS7 - Impact on Rates'!P110</f>
        <v>0</v>
      </c>
      <c r="Q176" s="237">
        <f>'WS7 - Impact on Rates'!Q110</f>
        <v>0</v>
      </c>
      <c r="R176" s="3"/>
      <c r="S176" s="3"/>
      <c r="T176" s="31"/>
      <c r="U176" s="3"/>
      <c r="V176" s="151"/>
      <c r="W176" s="151"/>
      <c r="X176" s="151"/>
      <c r="Y176" s="151"/>
      <c r="Z176" s="151"/>
      <c r="AA176" s="151"/>
      <c r="AB176" s="151"/>
      <c r="AC176" s="151"/>
      <c r="AD176" s="151"/>
      <c r="AE176" s="151"/>
      <c r="AF176" s="151"/>
    </row>
    <row r="177" spans="2:32" outlineLevel="1" x14ac:dyDescent="0.2">
      <c r="B177" s="267" t="str">
        <f>'WS7 - Impact on Rates'!B111</f>
        <v>Residential</v>
      </c>
      <c r="C177" s="207" t="str">
        <f>'WS7 - Impact on Rates'!C111</f>
        <v/>
      </c>
      <c r="D177" s="207" t="str">
        <f>'WS7 - Impact on Rates'!D111</f>
        <v>$ nominal p.a.</v>
      </c>
      <c r="E177" s="54"/>
      <c r="F177" s="3"/>
      <c r="G177" s="3"/>
      <c r="H177" s="3"/>
      <c r="I177" s="31"/>
      <c r="J177" s="235" t="str">
        <f>'WS7 - Impact on Rates'!J111</f>
        <v>.</v>
      </c>
      <c r="K177" s="236" t="str">
        <f>'WS7 - Impact on Rates'!K111</f>
        <v>.</v>
      </c>
      <c r="L177" s="236">
        <f>'WS7 - Impact on Rates'!L111</f>
        <v>0</v>
      </c>
      <c r="M177" s="236">
        <f>'WS7 - Impact on Rates'!M111</f>
        <v>0</v>
      </c>
      <c r="N177" s="236">
        <f>'WS7 - Impact on Rates'!N111</f>
        <v>0</v>
      </c>
      <c r="O177" s="236">
        <f>'WS7 - Impact on Rates'!O111</f>
        <v>0</v>
      </c>
      <c r="P177" s="236">
        <f>'WS7 - Impact on Rates'!P111</f>
        <v>0</v>
      </c>
      <c r="Q177" s="237">
        <f>'WS7 - Impact on Rates'!Q111</f>
        <v>0</v>
      </c>
      <c r="R177" s="3"/>
      <c r="S177" s="3"/>
      <c r="T177" s="31"/>
      <c r="U177" s="3"/>
      <c r="V177" s="151"/>
      <c r="W177" s="151"/>
      <c r="X177" s="151"/>
      <c r="Y177" s="151"/>
      <c r="Z177" s="151"/>
      <c r="AA177" s="151"/>
      <c r="AB177" s="151"/>
      <c r="AC177" s="151"/>
      <c r="AD177" s="151"/>
      <c r="AE177" s="151"/>
      <c r="AF177" s="151"/>
    </row>
    <row r="178" spans="2:32" outlineLevel="1" x14ac:dyDescent="0.2">
      <c r="B178" s="267" t="str">
        <f>'WS7 - Impact on Rates'!B112</f>
        <v>Residential</v>
      </c>
      <c r="C178" s="207" t="str">
        <f>'WS7 - Impact on Rates'!C112</f>
        <v/>
      </c>
      <c r="D178" s="207" t="str">
        <f>'WS7 - Impact on Rates'!D112</f>
        <v>$ nominal p.a.</v>
      </c>
      <c r="E178" s="54"/>
      <c r="F178" s="3"/>
      <c r="G178" s="3"/>
      <c r="H178" s="3"/>
      <c r="I178" s="31"/>
      <c r="J178" s="235" t="str">
        <f>'WS7 - Impact on Rates'!J112</f>
        <v>.</v>
      </c>
      <c r="K178" s="236" t="str">
        <f>'WS7 - Impact on Rates'!K112</f>
        <v>.</v>
      </c>
      <c r="L178" s="236">
        <f>'WS7 - Impact on Rates'!L112</f>
        <v>0</v>
      </c>
      <c r="M178" s="236">
        <f>'WS7 - Impact on Rates'!M112</f>
        <v>0</v>
      </c>
      <c r="N178" s="236">
        <f>'WS7 - Impact on Rates'!N112</f>
        <v>0</v>
      </c>
      <c r="O178" s="236">
        <f>'WS7 - Impact on Rates'!O112</f>
        <v>0</v>
      </c>
      <c r="P178" s="236">
        <f>'WS7 - Impact on Rates'!P112</f>
        <v>0</v>
      </c>
      <c r="Q178" s="237">
        <f>'WS7 - Impact on Rates'!Q112</f>
        <v>0</v>
      </c>
      <c r="R178" s="3"/>
      <c r="S178" s="3"/>
      <c r="T178" s="31"/>
      <c r="U178" s="3"/>
      <c r="V178" s="151"/>
      <c r="W178" s="151"/>
      <c r="X178" s="151"/>
      <c r="Y178" s="151"/>
      <c r="Z178" s="151"/>
      <c r="AA178" s="151"/>
      <c r="AB178" s="151"/>
      <c r="AC178" s="151"/>
      <c r="AD178" s="151"/>
      <c r="AE178" s="151"/>
      <c r="AF178" s="151"/>
    </row>
    <row r="179" spans="2:32" outlineLevel="1" x14ac:dyDescent="0.2">
      <c r="B179" s="267" t="str">
        <f>'WS7 - Impact on Rates'!B113</f>
        <v>Residential</v>
      </c>
      <c r="C179" s="207" t="str">
        <f>'WS7 - Impact on Rates'!C113</f>
        <v/>
      </c>
      <c r="D179" s="207" t="str">
        <f>'WS7 - Impact on Rates'!D113</f>
        <v>$ nominal p.a.</v>
      </c>
      <c r="E179" s="54"/>
      <c r="F179" s="3"/>
      <c r="G179" s="3"/>
      <c r="H179" s="3"/>
      <c r="I179" s="31"/>
      <c r="J179" s="235" t="str">
        <f>'WS7 - Impact on Rates'!J113</f>
        <v>.</v>
      </c>
      <c r="K179" s="236" t="str">
        <f>'WS7 - Impact on Rates'!K113</f>
        <v>.</v>
      </c>
      <c r="L179" s="236">
        <f>'WS7 - Impact on Rates'!L113</f>
        <v>0</v>
      </c>
      <c r="M179" s="236">
        <f>'WS7 - Impact on Rates'!M113</f>
        <v>0</v>
      </c>
      <c r="N179" s="236">
        <f>'WS7 - Impact on Rates'!N113</f>
        <v>0</v>
      </c>
      <c r="O179" s="236">
        <f>'WS7 - Impact on Rates'!O113</f>
        <v>0</v>
      </c>
      <c r="P179" s="236">
        <f>'WS7 - Impact on Rates'!P113</f>
        <v>0</v>
      </c>
      <c r="Q179" s="237">
        <f>'WS7 - Impact on Rates'!Q113</f>
        <v>0</v>
      </c>
      <c r="R179" s="3"/>
      <c r="S179" s="3"/>
      <c r="T179" s="31"/>
      <c r="U179" s="3"/>
      <c r="V179" s="151"/>
      <c r="W179" s="151"/>
      <c r="X179" s="151"/>
      <c r="Y179" s="151"/>
      <c r="Z179" s="151"/>
      <c r="AA179" s="151"/>
      <c r="AB179" s="151"/>
      <c r="AC179" s="151"/>
      <c r="AD179" s="151"/>
      <c r="AE179" s="151"/>
      <c r="AF179" s="151"/>
    </row>
    <row r="180" spans="2:32" outlineLevel="1" x14ac:dyDescent="0.2">
      <c r="B180" s="267" t="str">
        <f>'WS7 - Impact on Rates'!B114</f>
        <v>Residential</v>
      </c>
      <c r="C180" s="207" t="str">
        <f>'WS7 - Impact on Rates'!C114</f>
        <v/>
      </c>
      <c r="D180" s="207" t="str">
        <f>'WS7 - Impact on Rates'!D114</f>
        <v>$ nominal p.a.</v>
      </c>
      <c r="E180" s="54"/>
      <c r="F180" s="3"/>
      <c r="G180" s="3"/>
      <c r="H180" s="3"/>
      <c r="I180" s="31"/>
      <c r="J180" s="235" t="str">
        <f>'WS7 - Impact on Rates'!J114</f>
        <v>.</v>
      </c>
      <c r="K180" s="236" t="str">
        <f>'WS7 - Impact on Rates'!K114</f>
        <v>.</v>
      </c>
      <c r="L180" s="236">
        <f>'WS7 - Impact on Rates'!L114</f>
        <v>0</v>
      </c>
      <c r="M180" s="236">
        <f>'WS7 - Impact on Rates'!M114</f>
        <v>0</v>
      </c>
      <c r="N180" s="236">
        <f>'WS7 - Impact on Rates'!N114</f>
        <v>0</v>
      </c>
      <c r="O180" s="236">
        <f>'WS7 - Impact on Rates'!O114</f>
        <v>0</v>
      </c>
      <c r="P180" s="236">
        <f>'WS7 - Impact on Rates'!P114</f>
        <v>0</v>
      </c>
      <c r="Q180" s="237">
        <f>'WS7 - Impact on Rates'!Q114</f>
        <v>0</v>
      </c>
      <c r="R180" s="3"/>
      <c r="S180" s="3"/>
      <c r="T180" s="31"/>
      <c r="U180" s="3"/>
      <c r="V180" s="151"/>
      <c r="W180" s="151"/>
      <c r="X180" s="151"/>
      <c r="Y180" s="151"/>
      <c r="Z180" s="151"/>
      <c r="AA180" s="151"/>
      <c r="AB180" s="151"/>
      <c r="AC180" s="151"/>
      <c r="AD180" s="151"/>
      <c r="AE180" s="151"/>
      <c r="AF180" s="151"/>
    </row>
    <row r="181" spans="2:32" outlineLevel="1" x14ac:dyDescent="0.2">
      <c r="B181" s="267" t="str">
        <f>'WS7 - Impact on Rates'!B115</f>
        <v>Residential</v>
      </c>
      <c r="C181" s="207" t="str">
        <f>'WS7 - Impact on Rates'!C115</f>
        <v/>
      </c>
      <c r="D181" s="207" t="str">
        <f>'WS7 - Impact on Rates'!D115</f>
        <v>$ nominal p.a.</v>
      </c>
      <c r="E181" s="54"/>
      <c r="F181" s="3"/>
      <c r="G181" s="3"/>
      <c r="H181" s="3"/>
      <c r="I181" s="31"/>
      <c r="J181" s="235" t="str">
        <f>'WS7 - Impact on Rates'!J115</f>
        <v>.</v>
      </c>
      <c r="K181" s="236" t="str">
        <f>'WS7 - Impact on Rates'!K115</f>
        <v>.</v>
      </c>
      <c r="L181" s="236">
        <f>'WS7 - Impact on Rates'!L115</f>
        <v>0</v>
      </c>
      <c r="M181" s="236">
        <f>'WS7 - Impact on Rates'!M115</f>
        <v>0</v>
      </c>
      <c r="N181" s="236">
        <f>'WS7 - Impact on Rates'!N115</f>
        <v>0</v>
      </c>
      <c r="O181" s="236">
        <f>'WS7 - Impact on Rates'!O115</f>
        <v>0</v>
      </c>
      <c r="P181" s="236">
        <f>'WS7 - Impact on Rates'!P115</f>
        <v>0</v>
      </c>
      <c r="Q181" s="237">
        <f>'WS7 - Impact on Rates'!Q115</f>
        <v>0</v>
      </c>
      <c r="R181" s="3"/>
      <c r="S181" s="3"/>
      <c r="T181" s="31"/>
      <c r="U181" s="3"/>
      <c r="V181" s="151"/>
      <c r="W181" s="151"/>
      <c r="X181" s="151"/>
      <c r="Y181" s="151"/>
      <c r="Z181" s="151"/>
      <c r="AA181" s="151"/>
      <c r="AB181" s="151"/>
      <c r="AC181" s="151"/>
      <c r="AD181" s="151"/>
      <c r="AE181" s="151"/>
      <c r="AF181" s="151"/>
    </row>
    <row r="182" spans="2:32" outlineLevel="1" x14ac:dyDescent="0.2">
      <c r="B182" s="267" t="str">
        <f>'WS7 - Impact on Rates'!B116</f>
        <v>Residential</v>
      </c>
      <c r="C182" s="207" t="str">
        <f>'WS7 - Impact on Rates'!C116</f>
        <v/>
      </c>
      <c r="D182" s="207" t="str">
        <f>'WS7 - Impact on Rates'!D116</f>
        <v>$ nominal p.a.</v>
      </c>
      <c r="E182" s="54"/>
      <c r="F182" s="3"/>
      <c r="G182" s="3"/>
      <c r="H182" s="3"/>
      <c r="I182" s="31"/>
      <c r="J182" s="235" t="str">
        <f>'WS7 - Impact on Rates'!J116</f>
        <v>.</v>
      </c>
      <c r="K182" s="236" t="str">
        <f>'WS7 - Impact on Rates'!K116</f>
        <v>.</v>
      </c>
      <c r="L182" s="236">
        <f>'WS7 - Impact on Rates'!L116</f>
        <v>0</v>
      </c>
      <c r="M182" s="236">
        <f>'WS7 - Impact on Rates'!M116</f>
        <v>0</v>
      </c>
      <c r="N182" s="236">
        <f>'WS7 - Impact on Rates'!N116</f>
        <v>0</v>
      </c>
      <c r="O182" s="236">
        <f>'WS7 - Impact on Rates'!O116</f>
        <v>0</v>
      </c>
      <c r="P182" s="236">
        <f>'WS7 - Impact on Rates'!P116</f>
        <v>0</v>
      </c>
      <c r="Q182" s="237">
        <f>'WS7 - Impact on Rates'!Q116</f>
        <v>0</v>
      </c>
      <c r="R182" s="3"/>
      <c r="S182" s="3"/>
      <c r="T182" s="31"/>
      <c r="U182" s="3"/>
      <c r="V182" s="151"/>
      <c r="W182" s="151"/>
      <c r="X182" s="151"/>
      <c r="Y182" s="151"/>
      <c r="Z182" s="151"/>
      <c r="AA182" s="151"/>
      <c r="AB182" s="151"/>
      <c r="AC182" s="151"/>
      <c r="AD182" s="151"/>
      <c r="AE182" s="151"/>
      <c r="AF182" s="151"/>
    </row>
    <row r="183" spans="2:32" outlineLevel="1" x14ac:dyDescent="0.2">
      <c r="B183" s="267" t="str">
        <f>'WS7 - Impact on Rates'!B117</f>
        <v>Residential</v>
      </c>
      <c r="C183" s="207" t="str">
        <f>'WS7 - Impact on Rates'!C117</f>
        <v/>
      </c>
      <c r="D183" s="207" t="str">
        <f>'WS7 - Impact on Rates'!D117</f>
        <v>$ nominal p.a.</v>
      </c>
      <c r="E183" s="54"/>
      <c r="F183" s="3"/>
      <c r="G183" s="3"/>
      <c r="H183" s="3"/>
      <c r="I183" s="31"/>
      <c r="J183" s="235" t="str">
        <f>'WS7 - Impact on Rates'!J117</f>
        <v>.</v>
      </c>
      <c r="K183" s="236" t="str">
        <f>'WS7 - Impact on Rates'!K117</f>
        <v>.</v>
      </c>
      <c r="L183" s="236">
        <f>'WS7 - Impact on Rates'!L117</f>
        <v>0</v>
      </c>
      <c r="M183" s="236">
        <f>'WS7 - Impact on Rates'!M117</f>
        <v>0</v>
      </c>
      <c r="N183" s="236">
        <f>'WS7 - Impact on Rates'!N117</f>
        <v>0</v>
      </c>
      <c r="O183" s="236">
        <f>'WS7 - Impact on Rates'!O117</f>
        <v>0</v>
      </c>
      <c r="P183" s="236">
        <f>'WS7 - Impact on Rates'!P117</f>
        <v>0</v>
      </c>
      <c r="Q183" s="237">
        <f>'WS7 - Impact on Rates'!Q117</f>
        <v>0</v>
      </c>
      <c r="R183" s="3"/>
      <c r="S183" s="3"/>
      <c r="T183" s="31"/>
      <c r="U183" s="3"/>
      <c r="V183" s="151"/>
      <c r="W183" s="151"/>
      <c r="X183" s="151"/>
      <c r="Y183" s="151"/>
      <c r="Z183" s="151"/>
      <c r="AA183" s="151"/>
      <c r="AB183" s="151"/>
      <c r="AC183" s="151"/>
      <c r="AD183" s="151"/>
      <c r="AE183" s="151"/>
      <c r="AF183" s="151"/>
    </row>
    <row r="184" spans="2:32" outlineLevel="1" x14ac:dyDescent="0.2">
      <c r="B184" s="267" t="str">
        <f>'WS7 - Impact on Rates'!B118</f>
        <v>Residential</v>
      </c>
      <c r="C184" s="207" t="str">
        <f>'WS7 - Impact on Rates'!C118</f>
        <v/>
      </c>
      <c r="D184" s="207" t="str">
        <f>'WS7 - Impact on Rates'!D118</f>
        <v>$ nominal p.a.</v>
      </c>
      <c r="E184" s="54"/>
      <c r="F184" s="3"/>
      <c r="G184" s="3"/>
      <c r="H184" s="3"/>
      <c r="I184" s="31"/>
      <c r="J184" s="235" t="str">
        <f>'WS7 - Impact on Rates'!J118</f>
        <v>.</v>
      </c>
      <c r="K184" s="236" t="str">
        <f>'WS7 - Impact on Rates'!K118</f>
        <v>.</v>
      </c>
      <c r="L184" s="236">
        <f>'WS7 - Impact on Rates'!L118</f>
        <v>0</v>
      </c>
      <c r="M184" s="236">
        <f>'WS7 - Impact on Rates'!M118</f>
        <v>0</v>
      </c>
      <c r="N184" s="236">
        <f>'WS7 - Impact on Rates'!N118</f>
        <v>0</v>
      </c>
      <c r="O184" s="236">
        <f>'WS7 - Impact on Rates'!O118</f>
        <v>0</v>
      </c>
      <c r="P184" s="236">
        <f>'WS7 - Impact on Rates'!P118</f>
        <v>0</v>
      </c>
      <c r="Q184" s="237">
        <f>'WS7 - Impact on Rates'!Q118</f>
        <v>0</v>
      </c>
      <c r="R184" s="3"/>
      <c r="S184" s="3"/>
      <c r="T184" s="31"/>
      <c r="U184" s="3"/>
      <c r="V184" s="151"/>
      <c r="W184" s="151"/>
      <c r="X184" s="151"/>
      <c r="Y184" s="151"/>
      <c r="Z184" s="151"/>
      <c r="AA184" s="151"/>
      <c r="AB184" s="151"/>
      <c r="AC184" s="151"/>
      <c r="AD184" s="151"/>
      <c r="AE184" s="151"/>
      <c r="AF184" s="151"/>
    </row>
    <row r="185" spans="2:32" outlineLevel="1" x14ac:dyDescent="0.2">
      <c r="B185" s="267" t="str">
        <f>'WS7 - Impact on Rates'!B119</f>
        <v>Residential</v>
      </c>
      <c r="C185" s="207" t="str">
        <f>'WS7 - Impact on Rates'!C119</f>
        <v/>
      </c>
      <c r="D185" s="207" t="str">
        <f>'WS7 - Impact on Rates'!D119</f>
        <v>$ nominal p.a.</v>
      </c>
      <c r="E185" s="54"/>
      <c r="F185" s="3"/>
      <c r="G185" s="3"/>
      <c r="H185" s="3"/>
      <c r="I185" s="31"/>
      <c r="J185" s="235" t="str">
        <f>'WS7 - Impact on Rates'!J119</f>
        <v>.</v>
      </c>
      <c r="K185" s="236" t="str">
        <f>'WS7 - Impact on Rates'!K119</f>
        <v>.</v>
      </c>
      <c r="L185" s="236">
        <f>'WS7 - Impact on Rates'!L119</f>
        <v>0</v>
      </c>
      <c r="M185" s="236">
        <f>'WS7 - Impact on Rates'!M119</f>
        <v>0</v>
      </c>
      <c r="N185" s="236">
        <f>'WS7 - Impact on Rates'!N119</f>
        <v>0</v>
      </c>
      <c r="O185" s="236">
        <f>'WS7 - Impact on Rates'!O119</f>
        <v>0</v>
      </c>
      <c r="P185" s="236">
        <f>'WS7 - Impact on Rates'!P119</f>
        <v>0</v>
      </c>
      <c r="Q185" s="237">
        <f>'WS7 - Impact on Rates'!Q119</f>
        <v>0</v>
      </c>
      <c r="R185" s="3"/>
      <c r="S185" s="3"/>
      <c r="T185" s="31"/>
      <c r="U185" s="3"/>
      <c r="V185" s="151"/>
      <c r="W185" s="151"/>
      <c r="X185" s="151"/>
      <c r="Y185" s="151"/>
      <c r="Z185" s="151"/>
      <c r="AA185" s="151"/>
      <c r="AB185" s="151"/>
      <c r="AC185" s="151"/>
      <c r="AD185" s="151"/>
      <c r="AE185" s="151"/>
      <c r="AF185" s="151"/>
    </row>
    <row r="186" spans="2:32" outlineLevel="1" x14ac:dyDescent="0.2">
      <c r="B186" s="267" t="str">
        <f>'WS7 - Impact on Rates'!B120</f>
        <v>Residential</v>
      </c>
      <c r="C186" s="207" t="str">
        <f>'WS7 - Impact on Rates'!C120</f>
        <v/>
      </c>
      <c r="D186" s="207" t="str">
        <f>'WS7 - Impact on Rates'!D120</f>
        <v>$ nominal p.a.</v>
      </c>
      <c r="E186" s="54"/>
      <c r="F186" s="3"/>
      <c r="G186" s="3"/>
      <c r="H186" s="3"/>
      <c r="I186" s="31"/>
      <c r="J186" s="235" t="str">
        <f>'WS7 - Impact on Rates'!J120</f>
        <v>.</v>
      </c>
      <c r="K186" s="236" t="str">
        <f>'WS7 - Impact on Rates'!K120</f>
        <v>.</v>
      </c>
      <c r="L186" s="236">
        <f>'WS7 - Impact on Rates'!L120</f>
        <v>0</v>
      </c>
      <c r="M186" s="236">
        <f>'WS7 - Impact on Rates'!M120</f>
        <v>0</v>
      </c>
      <c r="N186" s="236">
        <f>'WS7 - Impact on Rates'!N120</f>
        <v>0</v>
      </c>
      <c r="O186" s="236">
        <f>'WS7 - Impact on Rates'!O120</f>
        <v>0</v>
      </c>
      <c r="P186" s="236">
        <f>'WS7 - Impact on Rates'!P120</f>
        <v>0</v>
      </c>
      <c r="Q186" s="237">
        <f>'WS7 - Impact on Rates'!Q120</f>
        <v>0</v>
      </c>
      <c r="R186" s="3"/>
      <c r="S186" s="3"/>
      <c r="T186" s="31"/>
      <c r="U186" s="3"/>
      <c r="V186" s="151"/>
      <c r="W186" s="151"/>
      <c r="X186" s="151"/>
      <c r="Y186" s="151"/>
      <c r="Z186" s="151"/>
      <c r="AA186" s="151"/>
      <c r="AB186" s="151"/>
      <c r="AC186" s="151"/>
      <c r="AD186" s="151"/>
      <c r="AE186" s="151"/>
      <c r="AF186" s="151"/>
    </row>
    <row r="187" spans="2:32" x14ac:dyDescent="0.2">
      <c r="B187" s="267" t="str">
        <f>'WS7 - Impact on Rates'!B121</f>
        <v>Special rate</v>
      </c>
      <c r="C187" s="207" t="str">
        <f>'WS7 - Impact on Rates'!C121</f>
        <v/>
      </c>
      <c r="D187" s="207" t="str">
        <f>'WS7 - Impact on Rates'!D121</f>
        <v>$ nominal p.a.</v>
      </c>
      <c r="E187" s="54"/>
      <c r="F187" s="3"/>
      <c r="G187" s="3"/>
      <c r="H187" s="3"/>
      <c r="I187" s="31"/>
      <c r="J187" s="235" t="str">
        <f>'WS7 - Impact on Rates'!J121</f>
        <v>.</v>
      </c>
      <c r="K187" s="236" t="str">
        <f>'WS7 - Impact on Rates'!K121</f>
        <v>.</v>
      </c>
      <c r="L187" s="236">
        <f>'WS7 - Impact on Rates'!L121</f>
        <v>0</v>
      </c>
      <c r="M187" s="236">
        <f>'WS7 - Impact on Rates'!M121</f>
        <v>0</v>
      </c>
      <c r="N187" s="236">
        <f>'WS7 - Impact on Rates'!N121</f>
        <v>0</v>
      </c>
      <c r="O187" s="236">
        <f>'WS7 - Impact on Rates'!O121</f>
        <v>0</v>
      </c>
      <c r="P187" s="236">
        <f>'WS7 - Impact on Rates'!P121</f>
        <v>0</v>
      </c>
      <c r="Q187" s="237">
        <f>'WS7 - Impact on Rates'!Q121</f>
        <v>0</v>
      </c>
      <c r="R187" s="3"/>
      <c r="S187" s="3"/>
      <c r="T187" s="31"/>
      <c r="U187" s="3"/>
      <c r="V187" s="151"/>
      <c r="W187" s="151"/>
      <c r="X187" s="151"/>
      <c r="Y187" s="151"/>
      <c r="Z187" s="151"/>
      <c r="AA187" s="151"/>
      <c r="AB187" s="151"/>
      <c r="AC187" s="151"/>
      <c r="AD187" s="151"/>
      <c r="AE187" s="151"/>
      <c r="AF187" s="151"/>
    </row>
    <row r="188" spans="2:32" x14ac:dyDescent="0.2">
      <c r="B188" s="267" t="str">
        <f>'WS7 - Impact on Rates'!B122</f>
        <v>Special rate</v>
      </c>
      <c r="C188" s="207" t="str">
        <f>'WS7 - Impact on Rates'!C122</f>
        <v/>
      </c>
      <c r="D188" s="207" t="str">
        <f>'WS7 - Impact on Rates'!D122</f>
        <v>$ nominal p.a.</v>
      </c>
      <c r="E188" s="54"/>
      <c r="F188" s="3"/>
      <c r="G188" s="3"/>
      <c r="H188" s="3"/>
      <c r="I188" s="31"/>
      <c r="J188" s="235" t="str">
        <f>'WS7 - Impact on Rates'!J122</f>
        <v>.</v>
      </c>
      <c r="K188" s="236" t="str">
        <f>'WS7 - Impact on Rates'!K122</f>
        <v>.</v>
      </c>
      <c r="L188" s="236">
        <f>'WS7 - Impact on Rates'!L122</f>
        <v>0</v>
      </c>
      <c r="M188" s="236">
        <f>'WS7 - Impact on Rates'!M122</f>
        <v>0</v>
      </c>
      <c r="N188" s="236">
        <f>'WS7 - Impact on Rates'!N122</f>
        <v>0</v>
      </c>
      <c r="O188" s="236">
        <f>'WS7 - Impact on Rates'!O122</f>
        <v>0</v>
      </c>
      <c r="P188" s="236">
        <f>'WS7 - Impact on Rates'!P122</f>
        <v>0</v>
      </c>
      <c r="Q188" s="237">
        <f>'WS7 - Impact on Rates'!Q122</f>
        <v>0</v>
      </c>
      <c r="R188" s="3"/>
      <c r="S188" s="3"/>
      <c r="T188" s="31"/>
      <c r="U188" s="3"/>
      <c r="V188" s="151"/>
      <c r="W188" s="151"/>
      <c r="X188" s="151"/>
      <c r="Y188" s="151"/>
      <c r="Z188" s="151"/>
      <c r="AA188" s="151"/>
      <c r="AB188" s="151"/>
      <c r="AC188" s="151"/>
      <c r="AD188" s="151"/>
      <c r="AE188" s="151"/>
      <c r="AF188" s="151"/>
    </row>
    <row r="189" spans="2:32" x14ac:dyDescent="0.2">
      <c r="B189" s="267" t="str">
        <f>'WS7 - Impact on Rates'!B123</f>
        <v>Special rate</v>
      </c>
      <c r="C189" s="207" t="str">
        <f>'WS7 - Impact on Rates'!C123</f>
        <v/>
      </c>
      <c r="D189" s="207" t="str">
        <f>'WS7 - Impact on Rates'!D123</f>
        <v>$ nominal p.a.</v>
      </c>
      <c r="E189" s="54"/>
      <c r="F189" s="3"/>
      <c r="G189" s="3"/>
      <c r="H189" s="3"/>
      <c r="I189" s="31"/>
      <c r="J189" s="235" t="str">
        <f>'WS7 - Impact on Rates'!J123</f>
        <v>.</v>
      </c>
      <c r="K189" s="236" t="str">
        <f>'WS7 - Impact on Rates'!K123</f>
        <v>.</v>
      </c>
      <c r="L189" s="236">
        <f>'WS7 - Impact on Rates'!L123</f>
        <v>0</v>
      </c>
      <c r="M189" s="236">
        <f>'WS7 - Impact on Rates'!M123</f>
        <v>0</v>
      </c>
      <c r="N189" s="236">
        <f>'WS7 - Impact on Rates'!N123</f>
        <v>0</v>
      </c>
      <c r="O189" s="236">
        <f>'WS7 - Impact on Rates'!O123</f>
        <v>0</v>
      </c>
      <c r="P189" s="236">
        <f>'WS7 - Impact on Rates'!P123</f>
        <v>0</v>
      </c>
      <c r="Q189" s="237">
        <f>'WS7 - Impact on Rates'!Q123</f>
        <v>0</v>
      </c>
      <c r="R189" s="3"/>
      <c r="S189" s="3"/>
      <c r="T189" s="31"/>
      <c r="U189" s="3"/>
      <c r="V189" s="151"/>
      <c r="W189" s="151"/>
      <c r="X189" s="151"/>
      <c r="Y189" s="151"/>
      <c r="Z189" s="151"/>
      <c r="AA189" s="151"/>
      <c r="AB189" s="151"/>
      <c r="AC189" s="151"/>
      <c r="AD189" s="151"/>
      <c r="AE189" s="151"/>
      <c r="AF189" s="151"/>
    </row>
    <row r="190" spans="2:32" outlineLevel="1" x14ac:dyDescent="0.2">
      <c r="B190" s="267" t="str">
        <f>'WS7 - Impact on Rates'!B124</f>
        <v>Special rate</v>
      </c>
      <c r="C190" s="207" t="str">
        <f>'WS7 - Impact on Rates'!C124</f>
        <v/>
      </c>
      <c r="D190" s="207" t="str">
        <f>'WS7 - Impact on Rates'!D124</f>
        <v>$ nominal p.a.</v>
      </c>
      <c r="E190" s="54"/>
      <c r="F190" s="3"/>
      <c r="G190" s="3"/>
      <c r="H190" s="3"/>
      <c r="I190" s="31"/>
      <c r="J190" s="235" t="str">
        <f>'WS7 - Impact on Rates'!J124</f>
        <v>.</v>
      </c>
      <c r="K190" s="236" t="str">
        <f>'WS7 - Impact on Rates'!K124</f>
        <v>.</v>
      </c>
      <c r="L190" s="236">
        <f>'WS7 - Impact on Rates'!L124</f>
        <v>0</v>
      </c>
      <c r="M190" s="236">
        <f>'WS7 - Impact on Rates'!M124</f>
        <v>0</v>
      </c>
      <c r="N190" s="236">
        <f>'WS7 - Impact on Rates'!N124</f>
        <v>0</v>
      </c>
      <c r="O190" s="236">
        <f>'WS7 - Impact on Rates'!O124</f>
        <v>0</v>
      </c>
      <c r="P190" s="236">
        <f>'WS7 - Impact on Rates'!P124</f>
        <v>0</v>
      </c>
      <c r="Q190" s="237">
        <f>'WS7 - Impact on Rates'!Q124</f>
        <v>0</v>
      </c>
      <c r="R190" s="3"/>
      <c r="S190" s="3"/>
      <c r="T190" s="31"/>
      <c r="U190" s="3"/>
      <c r="V190" s="151"/>
      <c r="W190" s="151"/>
      <c r="X190" s="151"/>
      <c r="Y190" s="151"/>
      <c r="Z190" s="151"/>
      <c r="AA190" s="151"/>
      <c r="AB190" s="151"/>
      <c r="AC190" s="151"/>
      <c r="AD190" s="151"/>
      <c r="AE190" s="151"/>
      <c r="AF190" s="151"/>
    </row>
    <row r="191" spans="2:32" outlineLevel="1" x14ac:dyDescent="0.2">
      <c r="B191" s="267" t="str">
        <f>'WS7 - Impact on Rates'!B125</f>
        <v>Special rate</v>
      </c>
      <c r="C191" s="207" t="str">
        <f>'WS7 - Impact on Rates'!C125</f>
        <v/>
      </c>
      <c r="D191" s="207" t="str">
        <f>'WS7 - Impact on Rates'!D125</f>
        <v>$ nominal p.a.</v>
      </c>
      <c r="E191" s="54"/>
      <c r="F191" s="3"/>
      <c r="G191" s="3"/>
      <c r="H191" s="3"/>
      <c r="I191" s="31"/>
      <c r="J191" s="235" t="str">
        <f>'WS7 - Impact on Rates'!J125</f>
        <v>.</v>
      </c>
      <c r="K191" s="236" t="str">
        <f>'WS7 - Impact on Rates'!K125</f>
        <v>.</v>
      </c>
      <c r="L191" s="236">
        <f>'WS7 - Impact on Rates'!L125</f>
        <v>0</v>
      </c>
      <c r="M191" s="236">
        <f>'WS7 - Impact on Rates'!M125</f>
        <v>0</v>
      </c>
      <c r="N191" s="236">
        <f>'WS7 - Impact on Rates'!N125</f>
        <v>0</v>
      </c>
      <c r="O191" s="236">
        <f>'WS7 - Impact on Rates'!O125</f>
        <v>0</v>
      </c>
      <c r="P191" s="236">
        <f>'WS7 - Impact on Rates'!P125</f>
        <v>0</v>
      </c>
      <c r="Q191" s="237">
        <f>'WS7 - Impact on Rates'!Q125</f>
        <v>0</v>
      </c>
      <c r="R191" s="3"/>
      <c r="S191" s="3"/>
      <c r="T191" s="31"/>
      <c r="U191" s="3"/>
      <c r="V191" s="151"/>
      <c r="W191" s="151"/>
      <c r="X191" s="151"/>
      <c r="Y191" s="151"/>
      <c r="Z191" s="151"/>
      <c r="AA191" s="151"/>
      <c r="AB191" s="151"/>
      <c r="AC191" s="151"/>
      <c r="AD191" s="151"/>
      <c r="AE191" s="151"/>
      <c r="AF191" s="151"/>
    </row>
    <row r="192" spans="2:32" outlineLevel="1" x14ac:dyDescent="0.2">
      <c r="B192" s="267" t="str">
        <f>'WS7 - Impact on Rates'!B126</f>
        <v>Special rate</v>
      </c>
      <c r="C192" s="207" t="str">
        <f>'WS7 - Impact on Rates'!C126</f>
        <v/>
      </c>
      <c r="D192" s="207" t="str">
        <f>'WS7 - Impact on Rates'!D126</f>
        <v>$ nominal p.a.</v>
      </c>
      <c r="E192" s="54"/>
      <c r="F192" s="3"/>
      <c r="G192" s="3"/>
      <c r="H192" s="3"/>
      <c r="I192" s="31"/>
      <c r="J192" s="235" t="str">
        <f>'WS7 - Impact on Rates'!J126</f>
        <v>.</v>
      </c>
      <c r="K192" s="236" t="str">
        <f>'WS7 - Impact on Rates'!K126</f>
        <v>.</v>
      </c>
      <c r="L192" s="236">
        <f>'WS7 - Impact on Rates'!L126</f>
        <v>0</v>
      </c>
      <c r="M192" s="236">
        <f>'WS7 - Impact on Rates'!M126</f>
        <v>0</v>
      </c>
      <c r="N192" s="236">
        <f>'WS7 - Impact on Rates'!N126</f>
        <v>0</v>
      </c>
      <c r="O192" s="236">
        <f>'WS7 - Impact on Rates'!O126</f>
        <v>0</v>
      </c>
      <c r="P192" s="236">
        <f>'WS7 - Impact on Rates'!P126</f>
        <v>0</v>
      </c>
      <c r="Q192" s="237">
        <f>'WS7 - Impact on Rates'!Q126</f>
        <v>0</v>
      </c>
      <c r="R192" s="3"/>
      <c r="S192" s="3"/>
      <c r="T192" s="31"/>
      <c r="U192" s="3"/>
      <c r="V192" s="151"/>
      <c r="W192" s="151"/>
      <c r="X192" s="151"/>
      <c r="Y192" s="151"/>
      <c r="Z192" s="151"/>
      <c r="AA192" s="151"/>
      <c r="AB192" s="151"/>
      <c r="AC192" s="151"/>
      <c r="AD192" s="151"/>
      <c r="AE192" s="151"/>
      <c r="AF192" s="151"/>
    </row>
    <row r="193" spans="2:32" outlineLevel="1" x14ac:dyDescent="0.2">
      <c r="B193" s="267" t="str">
        <f>'WS7 - Impact on Rates'!B127</f>
        <v>Special rate</v>
      </c>
      <c r="C193" s="207" t="str">
        <f>'WS7 - Impact on Rates'!C127</f>
        <v/>
      </c>
      <c r="D193" s="207" t="str">
        <f>'WS7 - Impact on Rates'!D127</f>
        <v>$ nominal p.a.</v>
      </c>
      <c r="E193" s="54"/>
      <c r="F193" s="3"/>
      <c r="G193" s="3"/>
      <c r="H193" s="3"/>
      <c r="I193" s="31"/>
      <c r="J193" s="235" t="str">
        <f>'WS7 - Impact on Rates'!J127</f>
        <v>.</v>
      </c>
      <c r="K193" s="236" t="str">
        <f>'WS7 - Impact on Rates'!K127</f>
        <v>.</v>
      </c>
      <c r="L193" s="236">
        <f>'WS7 - Impact on Rates'!L127</f>
        <v>0</v>
      </c>
      <c r="M193" s="236">
        <f>'WS7 - Impact on Rates'!M127</f>
        <v>0</v>
      </c>
      <c r="N193" s="236">
        <f>'WS7 - Impact on Rates'!N127</f>
        <v>0</v>
      </c>
      <c r="O193" s="236">
        <f>'WS7 - Impact on Rates'!O127</f>
        <v>0</v>
      </c>
      <c r="P193" s="236">
        <f>'WS7 - Impact on Rates'!P127</f>
        <v>0</v>
      </c>
      <c r="Q193" s="237">
        <f>'WS7 - Impact on Rates'!Q127</f>
        <v>0</v>
      </c>
      <c r="R193" s="3"/>
      <c r="S193" s="3"/>
      <c r="T193" s="31"/>
      <c r="U193" s="3"/>
      <c r="V193" s="151"/>
      <c r="W193" s="151"/>
      <c r="X193" s="151"/>
      <c r="Y193" s="151"/>
      <c r="Z193" s="151"/>
      <c r="AA193" s="151"/>
      <c r="AB193" s="151"/>
      <c r="AC193" s="151"/>
      <c r="AD193" s="151"/>
      <c r="AE193" s="151"/>
      <c r="AF193" s="151"/>
    </row>
    <row r="194" spans="2:32" outlineLevel="1" x14ac:dyDescent="0.2">
      <c r="B194" s="267" t="str">
        <f>'WS7 - Impact on Rates'!B128</f>
        <v>Special rate</v>
      </c>
      <c r="C194" s="207" t="str">
        <f>'WS7 - Impact on Rates'!C128</f>
        <v/>
      </c>
      <c r="D194" s="207" t="str">
        <f>'WS7 - Impact on Rates'!D128</f>
        <v>$ nominal p.a.</v>
      </c>
      <c r="E194" s="54"/>
      <c r="F194" s="3"/>
      <c r="G194" s="3"/>
      <c r="H194" s="3"/>
      <c r="I194" s="31"/>
      <c r="J194" s="235" t="str">
        <f>'WS7 - Impact on Rates'!J128</f>
        <v>.</v>
      </c>
      <c r="K194" s="236" t="str">
        <f>'WS7 - Impact on Rates'!K128</f>
        <v>.</v>
      </c>
      <c r="L194" s="236">
        <f>'WS7 - Impact on Rates'!L128</f>
        <v>0</v>
      </c>
      <c r="M194" s="236">
        <f>'WS7 - Impact on Rates'!M128</f>
        <v>0</v>
      </c>
      <c r="N194" s="236">
        <f>'WS7 - Impact on Rates'!N128</f>
        <v>0</v>
      </c>
      <c r="O194" s="236">
        <f>'WS7 - Impact on Rates'!O128</f>
        <v>0</v>
      </c>
      <c r="P194" s="236">
        <f>'WS7 - Impact on Rates'!P128</f>
        <v>0</v>
      </c>
      <c r="Q194" s="237">
        <f>'WS7 - Impact on Rates'!Q128</f>
        <v>0</v>
      </c>
      <c r="R194" s="3"/>
      <c r="S194" s="3"/>
      <c r="T194" s="31"/>
      <c r="U194" s="3"/>
      <c r="V194" s="151"/>
      <c r="W194" s="151"/>
      <c r="X194" s="151"/>
      <c r="Y194" s="151"/>
      <c r="Z194" s="151"/>
      <c r="AA194" s="151"/>
      <c r="AB194" s="151"/>
      <c r="AC194" s="151"/>
      <c r="AD194" s="151"/>
      <c r="AE194" s="151"/>
      <c r="AF194" s="151"/>
    </row>
    <row r="195" spans="2:32" outlineLevel="1" x14ac:dyDescent="0.2">
      <c r="B195" s="267" t="str">
        <f>'WS7 - Impact on Rates'!B129</f>
        <v>Special rate</v>
      </c>
      <c r="C195" s="207" t="str">
        <f>'WS7 - Impact on Rates'!C129</f>
        <v/>
      </c>
      <c r="D195" s="207" t="str">
        <f>'WS7 - Impact on Rates'!D129</f>
        <v>$ nominal p.a.</v>
      </c>
      <c r="E195" s="54"/>
      <c r="F195" s="3"/>
      <c r="G195" s="3"/>
      <c r="H195" s="3"/>
      <c r="I195" s="31"/>
      <c r="J195" s="235" t="str">
        <f>'WS7 - Impact on Rates'!J129</f>
        <v>.</v>
      </c>
      <c r="K195" s="236" t="str">
        <f>'WS7 - Impact on Rates'!K129</f>
        <v>.</v>
      </c>
      <c r="L195" s="236">
        <f>'WS7 - Impact on Rates'!L129</f>
        <v>0</v>
      </c>
      <c r="M195" s="236">
        <f>'WS7 - Impact on Rates'!M129</f>
        <v>0</v>
      </c>
      <c r="N195" s="236">
        <f>'WS7 - Impact on Rates'!N129</f>
        <v>0</v>
      </c>
      <c r="O195" s="236">
        <f>'WS7 - Impact on Rates'!O129</f>
        <v>0</v>
      </c>
      <c r="P195" s="236">
        <f>'WS7 - Impact on Rates'!P129</f>
        <v>0</v>
      </c>
      <c r="Q195" s="237">
        <f>'WS7 - Impact on Rates'!Q129</f>
        <v>0</v>
      </c>
      <c r="R195" s="3"/>
      <c r="S195" s="3"/>
      <c r="T195" s="31"/>
      <c r="U195" s="3"/>
      <c r="V195" s="151"/>
      <c r="W195" s="151"/>
      <c r="X195" s="151"/>
      <c r="Y195" s="151"/>
      <c r="Z195" s="151"/>
      <c r="AA195" s="151"/>
      <c r="AB195" s="151"/>
      <c r="AC195" s="151"/>
      <c r="AD195" s="151"/>
      <c r="AE195" s="151"/>
      <c r="AF195" s="151"/>
    </row>
    <row r="196" spans="2:32" ht="12.75" outlineLevel="1" thickBot="1" x14ac:dyDescent="0.25">
      <c r="B196" s="267" t="str">
        <f>'WS7 - Impact on Rates'!B130</f>
        <v>Special rate</v>
      </c>
      <c r="C196" s="207" t="str">
        <f>'WS7 - Impact on Rates'!C130</f>
        <v/>
      </c>
      <c r="D196" s="207" t="str">
        <f>'WS7 - Impact on Rates'!D130</f>
        <v>$ nominal p.a.</v>
      </c>
      <c r="E196" s="54"/>
      <c r="F196" s="3"/>
      <c r="G196" s="3"/>
      <c r="H196" s="3"/>
      <c r="I196" s="31"/>
      <c r="J196" s="235" t="str">
        <f>'WS7 - Impact on Rates'!J130</f>
        <v>.</v>
      </c>
      <c r="K196" s="236" t="str">
        <f>'WS7 - Impact on Rates'!K130</f>
        <v>.</v>
      </c>
      <c r="L196" s="236">
        <f>'WS7 - Impact on Rates'!L130</f>
        <v>0</v>
      </c>
      <c r="M196" s="236">
        <f>'WS7 - Impact on Rates'!M130</f>
        <v>0</v>
      </c>
      <c r="N196" s="236">
        <f>'WS7 - Impact on Rates'!N130</f>
        <v>0</v>
      </c>
      <c r="O196" s="236">
        <f>'WS7 - Impact on Rates'!O130</f>
        <v>0</v>
      </c>
      <c r="P196" s="236">
        <f>'WS7 - Impact on Rates'!P130</f>
        <v>0</v>
      </c>
      <c r="Q196" s="237">
        <f>'WS7 - Impact on Rates'!Q130</f>
        <v>0</v>
      </c>
      <c r="R196" s="3"/>
      <c r="S196" s="3"/>
      <c r="T196" s="31"/>
      <c r="U196" s="3"/>
      <c r="V196" s="151"/>
      <c r="W196" s="151"/>
      <c r="X196" s="151"/>
      <c r="Y196" s="151"/>
      <c r="Z196" s="151"/>
      <c r="AA196" s="151"/>
      <c r="AB196" s="151"/>
      <c r="AC196" s="151"/>
      <c r="AD196" s="151"/>
      <c r="AE196" s="151"/>
      <c r="AF196" s="151"/>
    </row>
    <row r="197" spans="2:32" ht="13.5" thickTop="1" thickBot="1" x14ac:dyDescent="0.25">
      <c r="B197" s="332" t="str">
        <f>B167</f>
        <v>Residential</v>
      </c>
      <c r="C197" s="207" t="str">
        <f>'WS7 - Impact on Rates'!C131</f>
        <v>TOTAL AVERAGE</v>
      </c>
      <c r="D197" s="3"/>
      <c r="E197" s="54"/>
      <c r="F197" s="3"/>
      <c r="G197" s="3"/>
      <c r="H197" s="3"/>
      <c r="I197" s="31"/>
      <c r="J197" s="235">
        <f>'WS7 - Impact on Rates'!J131</f>
        <v>1087.8681447394329</v>
      </c>
      <c r="K197" s="236">
        <f>'WS7 - Impact on Rates'!K131</f>
        <v>1251.0483664503479</v>
      </c>
      <c r="L197" s="236">
        <f>'WS7 - Impact on Rates'!L131</f>
        <v>1288.5798174438582</v>
      </c>
      <c r="M197" s="236">
        <f>'WS7 - Impact on Rates'!M131</f>
        <v>1327.2372119671743</v>
      </c>
      <c r="N197" s="236">
        <f>'WS7 - Impact on Rates'!N131</f>
        <v>1367.0543283261893</v>
      </c>
      <c r="O197" s="236">
        <f>'WS7 - Impact on Rates'!O131</f>
        <v>1408.0659581759751</v>
      </c>
      <c r="P197" s="236">
        <f>'WS7 - Impact on Rates'!P131</f>
        <v>1450.3079369212544</v>
      </c>
      <c r="Q197" s="237">
        <f>'WS7 - Impact on Rates'!Q131</f>
        <v>1493.8171750288923</v>
      </c>
      <c r="R197" s="3"/>
      <c r="S197" s="3"/>
      <c r="T197" s="31"/>
      <c r="U197" s="3"/>
      <c r="V197" s="151"/>
      <c r="W197" s="151"/>
      <c r="X197" s="151"/>
      <c r="Y197" s="151"/>
      <c r="Z197" s="151"/>
      <c r="AA197" s="151"/>
      <c r="AB197" s="151"/>
      <c r="AC197" s="151"/>
      <c r="AD197" s="151"/>
      <c r="AE197" s="151"/>
      <c r="AF197" s="151"/>
    </row>
    <row r="198" spans="2:32" ht="12.75" thickTop="1" x14ac:dyDescent="0.2">
      <c r="B198" s="267" t="str">
        <f>'WS7 - Impact on Rates'!B132</f>
        <v>Business</v>
      </c>
      <c r="C198" s="207" t="str">
        <f>'WS7 - Impact on Rates'!C132</f>
        <v>Business</v>
      </c>
      <c r="D198" s="207" t="str">
        <f>'WS7 - Impact on Rates'!D132</f>
        <v>$ nominal p.a.</v>
      </c>
      <c r="E198" s="54"/>
      <c r="F198" s="3"/>
      <c r="G198" s="3"/>
      <c r="H198" s="3"/>
      <c r="I198" s="31"/>
      <c r="J198" s="235">
        <f>'WS7 - Impact on Rates'!J132</f>
        <v>6485.491834712353</v>
      </c>
      <c r="K198" s="236">
        <f>'WS7 - Impact on Rates'!K132</f>
        <v>7458.3156099192056</v>
      </c>
      <c r="L198" s="236">
        <f>'WS7 - Impact on Rates'!L132</f>
        <v>7682.0650782167813</v>
      </c>
      <c r="M198" s="236">
        <f>'WS7 - Impact on Rates'!M132</f>
        <v>7912.5270305632848</v>
      </c>
      <c r="N198" s="236">
        <f>'WS7 - Impact on Rates'!N132</f>
        <v>8149.9028414801833</v>
      </c>
      <c r="O198" s="236">
        <f>'WS7 - Impact on Rates'!O132</f>
        <v>8394.399926724589</v>
      </c>
      <c r="P198" s="236">
        <f>'WS7 - Impact on Rates'!P132</f>
        <v>8646.2319245263261</v>
      </c>
      <c r="Q198" s="237">
        <f>'WS7 - Impact on Rates'!Q132</f>
        <v>8905.6188822621152</v>
      </c>
      <c r="R198" s="3"/>
      <c r="S198" s="3"/>
      <c r="T198" s="31"/>
      <c r="U198" s="3"/>
      <c r="V198" s="151"/>
      <c r="W198" s="151"/>
      <c r="X198" s="151"/>
      <c r="Y198" s="151"/>
      <c r="Z198" s="151"/>
      <c r="AA198" s="151"/>
      <c r="AB198" s="151"/>
      <c r="AC198" s="151"/>
      <c r="AD198" s="151"/>
      <c r="AE198" s="151"/>
      <c r="AF198" s="151"/>
    </row>
    <row r="199" spans="2:32" x14ac:dyDescent="0.2">
      <c r="B199" s="267" t="str">
        <f>'WS7 - Impact on Rates'!B133</f>
        <v>Business</v>
      </c>
      <c r="C199" s="207" t="str">
        <f>'WS7 - Impact on Rates'!C133</f>
        <v>Chatswood Town Centre</v>
      </c>
      <c r="D199" s="207" t="str">
        <f>'WS7 - Impact on Rates'!D133</f>
        <v>$ nominal p.a.</v>
      </c>
      <c r="E199" s="54"/>
      <c r="F199" s="3"/>
      <c r="G199" s="3"/>
      <c r="H199" s="3"/>
      <c r="I199" s="31"/>
      <c r="J199" s="235">
        <f>'WS7 - Impact on Rates'!J133</f>
        <v>7802.7999950660378</v>
      </c>
      <c r="K199" s="236">
        <f>'WS7 - Impact on Rates'!K133</f>
        <v>8973.219994325942</v>
      </c>
      <c r="L199" s="236">
        <f>'WS7 - Impact on Rates'!L133</f>
        <v>9242.4165941557203</v>
      </c>
      <c r="M199" s="236">
        <f>'WS7 - Impact on Rates'!M133</f>
        <v>9519.6890919803936</v>
      </c>
      <c r="N199" s="236">
        <f>'WS7 - Impact on Rates'!N133</f>
        <v>9805.2797647398056</v>
      </c>
      <c r="O199" s="236">
        <f>'WS7 - Impact on Rates'!O133</f>
        <v>10099.438157682</v>
      </c>
      <c r="P199" s="236">
        <f>'WS7 - Impact on Rates'!P133</f>
        <v>10402.421302412458</v>
      </c>
      <c r="Q199" s="237">
        <f>'WS7 - Impact on Rates'!Q133</f>
        <v>10714.493941484836</v>
      </c>
      <c r="R199" s="3"/>
      <c r="S199" s="3"/>
      <c r="T199" s="31"/>
      <c r="U199" s="3"/>
      <c r="V199" s="151"/>
      <c r="W199" s="151"/>
      <c r="X199" s="151"/>
      <c r="Y199" s="151"/>
      <c r="Z199" s="151"/>
      <c r="AA199" s="151"/>
      <c r="AB199" s="151"/>
      <c r="AC199" s="151"/>
      <c r="AD199" s="151"/>
      <c r="AE199" s="151"/>
      <c r="AF199" s="151"/>
    </row>
    <row r="200" spans="2:32" x14ac:dyDescent="0.2">
      <c r="B200" s="267" t="str">
        <f>'WS7 - Impact on Rates'!B134</f>
        <v>Business</v>
      </c>
      <c r="C200" s="207" t="str">
        <f>'WS7 - Impact on Rates'!C134</f>
        <v>Chatswood Major Retail - Chase</v>
      </c>
      <c r="D200" s="207" t="str">
        <f>'WS7 - Impact on Rates'!D134</f>
        <v>$ nominal p.a.</v>
      </c>
      <c r="E200" s="54"/>
      <c r="F200" s="3"/>
      <c r="G200" s="3"/>
      <c r="H200" s="3"/>
      <c r="I200" s="31"/>
      <c r="J200" s="235">
        <f>'WS7 - Impact on Rates'!J134</f>
        <v>940896.80999999994</v>
      </c>
      <c r="K200" s="236">
        <f>'WS7 - Impact on Rates'!K134</f>
        <v>1082031.3314999999</v>
      </c>
      <c r="L200" s="236">
        <f>'WS7 - Impact on Rates'!L134</f>
        <v>1114492.2714450001</v>
      </c>
      <c r="M200" s="236">
        <f>'WS7 - Impact on Rates'!M134</f>
        <v>1147927.0395883499</v>
      </c>
      <c r="N200" s="236">
        <f>'WS7 - Impact on Rates'!N134</f>
        <v>1182364.8507760004</v>
      </c>
      <c r="O200" s="236">
        <f>'WS7 - Impact on Rates'!O134</f>
        <v>1217835.7962992804</v>
      </c>
      <c r="P200" s="236">
        <f>'WS7 - Impact on Rates'!P134</f>
        <v>1254370.8701882588</v>
      </c>
      <c r="Q200" s="237">
        <f>'WS7 - Impact on Rates'!Q134</f>
        <v>1292001.9962939066</v>
      </c>
      <c r="R200" s="3"/>
      <c r="S200" s="3"/>
      <c r="T200" s="31"/>
      <c r="U200" s="3"/>
      <c r="V200" s="151"/>
      <c r="W200" s="151"/>
      <c r="X200" s="151"/>
      <c r="Y200" s="151"/>
      <c r="Z200" s="151"/>
      <c r="AA200" s="151"/>
      <c r="AB200" s="151"/>
      <c r="AC200" s="151"/>
      <c r="AD200" s="151"/>
      <c r="AE200" s="151"/>
      <c r="AF200" s="151"/>
    </row>
    <row r="201" spans="2:32" outlineLevel="1" x14ac:dyDescent="0.2">
      <c r="B201" s="267" t="str">
        <f>'WS7 - Impact on Rates'!B135</f>
        <v>Business</v>
      </c>
      <c r="C201" s="207" t="str">
        <f>'WS7 - Impact on Rates'!C135</f>
        <v>Chatswood Major Retail - Westfield</v>
      </c>
      <c r="D201" s="207" t="str">
        <f>'WS7 - Impact on Rates'!D135</f>
        <v>$ nominal p.a.</v>
      </c>
      <c r="E201" s="54"/>
      <c r="F201" s="3"/>
      <c r="G201" s="3"/>
      <c r="H201" s="3"/>
      <c r="I201" s="31"/>
      <c r="J201" s="235">
        <f>'WS7 - Impact on Rates'!J135</f>
        <v>120181.5056</v>
      </c>
      <c r="K201" s="236">
        <f>'WS7 - Impact on Rates'!K135</f>
        <v>138208.73144000003</v>
      </c>
      <c r="L201" s="236">
        <f>'WS7 - Impact on Rates'!L135</f>
        <v>142354.99338320002</v>
      </c>
      <c r="M201" s="236">
        <f>'WS7 - Impact on Rates'!M135</f>
        <v>146625.64318469603</v>
      </c>
      <c r="N201" s="236">
        <f>'WS7 - Impact on Rates'!N135</f>
        <v>151024.4124802369</v>
      </c>
      <c r="O201" s="236">
        <f>'WS7 - Impact on Rates'!O135</f>
        <v>155555.14485464399</v>
      </c>
      <c r="P201" s="236">
        <f>'WS7 - Impact on Rates'!P135</f>
        <v>160221.79920028333</v>
      </c>
      <c r="Q201" s="237">
        <f>'WS7 - Impact on Rates'!Q135</f>
        <v>165028.45317629183</v>
      </c>
      <c r="R201" s="3"/>
      <c r="S201" s="3"/>
      <c r="T201" s="31"/>
      <c r="U201" s="3"/>
      <c r="V201" s="151"/>
      <c r="W201" s="151"/>
      <c r="X201" s="151"/>
      <c r="Y201" s="151"/>
      <c r="Z201" s="151"/>
      <c r="AA201" s="151"/>
      <c r="AB201" s="151"/>
      <c r="AC201" s="151"/>
      <c r="AD201" s="151"/>
      <c r="AE201" s="151"/>
      <c r="AF201" s="151"/>
    </row>
    <row r="202" spans="2:32" outlineLevel="1" x14ac:dyDescent="0.2">
      <c r="B202" s="267" t="str">
        <f>'WS7 - Impact on Rates'!B136</f>
        <v>Business</v>
      </c>
      <c r="C202" s="207" t="str">
        <f>'WS7 - Impact on Rates'!C136</f>
        <v>Strata Storage</v>
      </c>
      <c r="D202" s="207" t="str">
        <f>'WS7 - Impact on Rates'!D136</f>
        <v>$ nominal p.a.</v>
      </c>
      <c r="E202" s="54"/>
      <c r="F202" s="3"/>
      <c r="G202" s="3"/>
      <c r="H202" s="3"/>
      <c r="I202" s="31"/>
      <c r="J202" s="235">
        <f>'WS7 - Impact on Rates'!J136</f>
        <v>871.17046106194687</v>
      </c>
      <c r="K202" s="236">
        <f>'WS7 - Impact on Rates'!K136</f>
        <v>1001.8460302212389</v>
      </c>
      <c r="L202" s="236">
        <f>'WS7 - Impact on Rates'!L136</f>
        <v>1031.9014111278761</v>
      </c>
      <c r="M202" s="236">
        <f>'WS7 - Impact on Rates'!M136</f>
        <v>1062.8584534617123</v>
      </c>
      <c r="N202" s="236">
        <f>'WS7 - Impact on Rates'!N136</f>
        <v>1094.7442070655638</v>
      </c>
      <c r="O202" s="236">
        <f>'WS7 - Impact on Rates'!O136</f>
        <v>1127.5865332775309</v>
      </c>
      <c r="P202" s="236">
        <f>'WS7 - Impact on Rates'!P136</f>
        <v>1161.4141292758566</v>
      </c>
      <c r="Q202" s="237">
        <f>'WS7 - Impact on Rates'!Q136</f>
        <v>1196.2565531541325</v>
      </c>
      <c r="R202" s="3"/>
      <c r="S202" s="3"/>
      <c r="T202" s="31"/>
      <c r="U202" s="3"/>
      <c r="V202" s="151"/>
      <c r="W202" s="151"/>
      <c r="X202" s="151"/>
      <c r="Y202" s="151"/>
      <c r="Z202" s="151"/>
      <c r="AA202" s="151"/>
      <c r="AB202" s="151"/>
      <c r="AC202" s="151"/>
      <c r="AD202" s="151"/>
      <c r="AE202" s="151"/>
      <c r="AF202" s="151"/>
    </row>
    <row r="203" spans="2:32" outlineLevel="1" x14ac:dyDescent="0.2">
      <c r="B203" s="267" t="str">
        <f>'WS7 - Impact on Rates'!B137</f>
        <v>Business</v>
      </c>
      <c r="C203" s="207" t="str">
        <f>'WS7 - Impact on Rates'!C137</f>
        <v/>
      </c>
      <c r="D203" s="207" t="str">
        <f>'WS7 - Impact on Rates'!D137</f>
        <v>$ nominal p.a.</v>
      </c>
      <c r="E203" s="54"/>
      <c r="F203" s="3"/>
      <c r="G203" s="3"/>
      <c r="H203" s="3"/>
      <c r="I203" s="31"/>
      <c r="J203" s="235" t="str">
        <f>'WS7 - Impact on Rates'!J137</f>
        <v>.</v>
      </c>
      <c r="K203" s="236" t="str">
        <f>'WS7 - Impact on Rates'!K137</f>
        <v>.</v>
      </c>
      <c r="L203" s="236">
        <f>'WS7 - Impact on Rates'!L137</f>
        <v>0</v>
      </c>
      <c r="M203" s="236">
        <f>'WS7 - Impact on Rates'!M137</f>
        <v>0</v>
      </c>
      <c r="N203" s="236">
        <f>'WS7 - Impact on Rates'!N137</f>
        <v>0</v>
      </c>
      <c r="O203" s="236">
        <f>'WS7 - Impact on Rates'!O137</f>
        <v>0</v>
      </c>
      <c r="P203" s="236">
        <f>'WS7 - Impact on Rates'!P137</f>
        <v>0</v>
      </c>
      <c r="Q203" s="237">
        <f>'WS7 - Impact on Rates'!Q137</f>
        <v>0</v>
      </c>
      <c r="R203" s="3"/>
      <c r="S203" s="3"/>
      <c r="T203" s="31"/>
      <c r="U203" s="3"/>
      <c r="V203" s="151"/>
      <c r="W203" s="151"/>
      <c r="X203" s="151"/>
      <c r="Y203" s="151"/>
      <c r="Z203" s="151"/>
      <c r="AA203" s="151"/>
      <c r="AB203" s="151"/>
      <c r="AC203" s="151"/>
      <c r="AD203" s="151"/>
      <c r="AE203" s="151"/>
      <c r="AF203" s="151"/>
    </row>
    <row r="204" spans="2:32" outlineLevel="1" x14ac:dyDescent="0.2">
      <c r="B204" s="267" t="str">
        <f>'WS7 - Impact on Rates'!B138</f>
        <v>Business</v>
      </c>
      <c r="C204" s="207" t="str">
        <f>'WS7 - Impact on Rates'!C138</f>
        <v/>
      </c>
      <c r="D204" s="207" t="str">
        <f>'WS7 - Impact on Rates'!D138</f>
        <v>$ nominal p.a.</v>
      </c>
      <c r="E204" s="54"/>
      <c r="F204" s="3"/>
      <c r="G204" s="3"/>
      <c r="H204" s="3"/>
      <c r="I204" s="31"/>
      <c r="J204" s="235" t="str">
        <f>'WS7 - Impact on Rates'!J138</f>
        <v>.</v>
      </c>
      <c r="K204" s="236" t="str">
        <f>'WS7 - Impact on Rates'!K138</f>
        <v>.</v>
      </c>
      <c r="L204" s="236">
        <f>'WS7 - Impact on Rates'!L138</f>
        <v>0</v>
      </c>
      <c r="M204" s="236">
        <f>'WS7 - Impact on Rates'!M138</f>
        <v>0</v>
      </c>
      <c r="N204" s="236">
        <f>'WS7 - Impact on Rates'!N138</f>
        <v>0</v>
      </c>
      <c r="O204" s="236">
        <f>'WS7 - Impact on Rates'!O138</f>
        <v>0</v>
      </c>
      <c r="P204" s="236">
        <f>'WS7 - Impact on Rates'!P138</f>
        <v>0</v>
      </c>
      <c r="Q204" s="237">
        <f>'WS7 - Impact on Rates'!Q138</f>
        <v>0</v>
      </c>
      <c r="R204" s="3"/>
      <c r="S204" s="3"/>
      <c r="T204" s="31"/>
      <c r="U204" s="3"/>
      <c r="V204" s="151"/>
      <c r="W204" s="151"/>
      <c r="X204" s="151"/>
      <c r="Y204" s="151"/>
      <c r="Z204" s="151"/>
      <c r="AA204" s="151"/>
      <c r="AB204" s="151"/>
      <c r="AC204" s="151"/>
      <c r="AD204" s="151"/>
      <c r="AE204" s="151"/>
      <c r="AF204" s="151"/>
    </row>
    <row r="205" spans="2:32" outlineLevel="1" x14ac:dyDescent="0.2">
      <c r="B205" s="267" t="str">
        <f>'WS7 - Impact on Rates'!B139</f>
        <v>Business</v>
      </c>
      <c r="C205" s="207" t="str">
        <f>'WS7 - Impact on Rates'!C139</f>
        <v/>
      </c>
      <c r="D205" s="207" t="str">
        <f>'WS7 - Impact on Rates'!D139</f>
        <v>$ nominal p.a.</v>
      </c>
      <c r="E205" s="54"/>
      <c r="F205" s="3"/>
      <c r="G205" s="3"/>
      <c r="H205" s="3"/>
      <c r="I205" s="31"/>
      <c r="J205" s="235" t="str">
        <f>'WS7 - Impact on Rates'!J139</f>
        <v>.</v>
      </c>
      <c r="K205" s="236" t="str">
        <f>'WS7 - Impact on Rates'!K139</f>
        <v>.</v>
      </c>
      <c r="L205" s="236">
        <f>'WS7 - Impact on Rates'!L139</f>
        <v>0</v>
      </c>
      <c r="M205" s="236">
        <f>'WS7 - Impact on Rates'!M139</f>
        <v>0</v>
      </c>
      <c r="N205" s="236">
        <f>'WS7 - Impact on Rates'!N139</f>
        <v>0</v>
      </c>
      <c r="O205" s="236">
        <f>'WS7 - Impact on Rates'!O139</f>
        <v>0</v>
      </c>
      <c r="P205" s="236">
        <f>'WS7 - Impact on Rates'!P139</f>
        <v>0</v>
      </c>
      <c r="Q205" s="237">
        <f>'WS7 - Impact on Rates'!Q139</f>
        <v>0</v>
      </c>
      <c r="R205" s="3"/>
      <c r="S205" s="3"/>
      <c r="T205" s="31"/>
      <c r="U205" s="3"/>
      <c r="V205" s="151"/>
      <c r="W205" s="151"/>
      <c r="X205" s="151"/>
      <c r="Y205" s="151"/>
      <c r="Z205" s="151"/>
      <c r="AA205" s="151"/>
      <c r="AB205" s="151"/>
      <c r="AC205" s="151"/>
      <c r="AD205" s="151"/>
      <c r="AE205" s="151"/>
      <c r="AF205" s="151"/>
    </row>
    <row r="206" spans="2:32" outlineLevel="1" x14ac:dyDescent="0.2">
      <c r="B206" s="267" t="str">
        <f>'WS7 - Impact on Rates'!B140</f>
        <v>Business</v>
      </c>
      <c r="C206" s="207" t="str">
        <f>'WS7 - Impact on Rates'!C140</f>
        <v/>
      </c>
      <c r="D206" s="207" t="str">
        <f>'WS7 - Impact on Rates'!D140</f>
        <v>$ nominal p.a.</v>
      </c>
      <c r="E206" s="54"/>
      <c r="F206" s="3"/>
      <c r="G206" s="3"/>
      <c r="H206" s="3"/>
      <c r="I206" s="31"/>
      <c r="J206" s="235" t="str">
        <f>'WS7 - Impact on Rates'!J140</f>
        <v>.</v>
      </c>
      <c r="K206" s="236" t="str">
        <f>'WS7 - Impact on Rates'!K140</f>
        <v>.</v>
      </c>
      <c r="L206" s="236">
        <f>'WS7 - Impact on Rates'!L140</f>
        <v>0</v>
      </c>
      <c r="M206" s="236">
        <f>'WS7 - Impact on Rates'!M140</f>
        <v>0</v>
      </c>
      <c r="N206" s="236">
        <f>'WS7 - Impact on Rates'!N140</f>
        <v>0</v>
      </c>
      <c r="O206" s="236">
        <f>'WS7 - Impact on Rates'!O140</f>
        <v>0</v>
      </c>
      <c r="P206" s="236">
        <f>'WS7 - Impact on Rates'!P140</f>
        <v>0</v>
      </c>
      <c r="Q206" s="237">
        <f>'WS7 - Impact on Rates'!Q140</f>
        <v>0</v>
      </c>
      <c r="R206" s="3"/>
      <c r="S206" s="3"/>
      <c r="T206" s="31"/>
      <c r="U206" s="3"/>
      <c r="V206" s="151"/>
      <c r="W206" s="151"/>
      <c r="X206" s="151"/>
      <c r="Y206" s="151"/>
      <c r="Z206" s="151"/>
      <c r="AA206" s="151"/>
      <c r="AB206" s="151"/>
      <c r="AC206" s="151"/>
      <c r="AD206" s="151"/>
      <c r="AE206" s="151"/>
      <c r="AF206" s="151"/>
    </row>
    <row r="207" spans="2:32" outlineLevel="1" x14ac:dyDescent="0.2">
      <c r="B207" s="267" t="str">
        <f>'WS7 - Impact on Rates'!B141</f>
        <v>Business</v>
      </c>
      <c r="C207" s="207" t="str">
        <f>'WS7 - Impact on Rates'!C141</f>
        <v/>
      </c>
      <c r="D207" s="207" t="str">
        <f>'WS7 - Impact on Rates'!D141</f>
        <v>$ nominal p.a.</v>
      </c>
      <c r="E207" s="54"/>
      <c r="F207" s="3"/>
      <c r="G207" s="3"/>
      <c r="H207" s="3"/>
      <c r="I207" s="31"/>
      <c r="J207" s="235" t="str">
        <f>'WS7 - Impact on Rates'!J141</f>
        <v>.</v>
      </c>
      <c r="K207" s="236" t="str">
        <f>'WS7 - Impact on Rates'!K141</f>
        <v>.</v>
      </c>
      <c r="L207" s="236">
        <f>'WS7 - Impact on Rates'!L141</f>
        <v>0</v>
      </c>
      <c r="M207" s="236">
        <f>'WS7 - Impact on Rates'!M141</f>
        <v>0</v>
      </c>
      <c r="N207" s="236">
        <f>'WS7 - Impact on Rates'!N141</f>
        <v>0</v>
      </c>
      <c r="O207" s="236">
        <f>'WS7 - Impact on Rates'!O141</f>
        <v>0</v>
      </c>
      <c r="P207" s="236">
        <f>'WS7 - Impact on Rates'!P141</f>
        <v>0</v>
      </c>
      <c r="Q207" s="237">
        <f>'WS7 - Impact on Rates'!Q141</f>
        <v>0</v>
      </c>
      <c r="R207" s="3"/>
      <c r="S207" s="3"/>
      <c r="T207" s="31"/>
      <c r="U207" s="3"/>
      <c r="V207" s="151"/>
      <c r="W207" s="151"/>
      <c r="X207" s="151"/>
      <c r="Y207" s="151"/>
      <c r="Z207" s="151"/>
      <c r="AA207" s="151"/>
      <c r="AB207" s="151"/>
      <c r="AC207" s="151"/>
      <c r="AD207" s="151"/>
      <c r="AE207" s="151"/>
      <c r="AF207" s="151"/>
    </row>
    <row r="208" spans="2:32" outlineLevel="1" x14ac:dyDescent="0.2">
      <c r="B208" s="267" t="str">
        <f>'WS7 - Impact on Rates'!B142</f>
        <v>Business</v>
      </c>
      <c r="C208" s="207" t="str">
        <f>'WS7 - Impact on Rates'!C142</f>
        <v/>
      </c>
      <c r="D208" s="207" t="str">
        <f>'WS7 - Impact on Rates'!D142</f>
        <v>$ nominal p.a.</v>
      </c>
      <c r="E208" s="54"/>
      <c r="F208" s="3"/>
      <c r="G208" s="3"/>
      <c r="H208" s="3"/>
      <c r="I208" s="31"/>
      <c r="J208" s="235" t="str">
        <f>'WS7 - Impact on Rates'!J142</f>
        <v>.</v>
      </c>
      <c r="K208" s="236" t="str">
        <f>'WS7 - Impact on Rates'!K142</f>
        <v>.</v>
      </c>
      <c r="L208" s="236">
        <f>'WS7 - Impact on Rates'!L142</f>
        <v>0</v>
      </c>
      <c r="M208" s="236">
        <f>'WS7 - Impact on Rates'!M142</f>
        <v>0</v>
      </c>
      <c r="N208" s="236">
        <f>'WS7 - Impact on Rates'!N142</f>
        <v>0</v>
      </c>
      <c r="O208" s="236">
        <f>'WS7 - Impact on Rates'!O142</f>
        <v>0</v>
      </c>
      <c r="P208" s="236">
        <f>'WS7 - Impact on Rates'!P142</f>
        <v>0</v>
      </c>
      <c r="Q208" s="237">
        <f>'WS7 - Impact on Rates'!Q142</f>
        <v>0</v>
      </c>
      <c r="R208" s="3"/>
      <c r="S208" s="3"/>
      <c r="T208" s="31"/>
      <c r="U208" s="3"/>
      <c r="V208" s="151"/>
      <c r="W208" s="151"/>
      <c r="X208" s="151"/>
      <c r="Y208" s="151"/>
      <c r="Z208" s="151"/>
      <c r="AA208" s="151"/>
      <c r="AB208" s="151"/>
      <c r="AC208" s="151"/>
      <c r="AD208" s="151"/>
      <c r="AE208" s="151"/>
      <c r="AF208" s="151"/>
    </row>
    <row r="209" spans="2:32" outlineLevel="1" x14ac:dyDescent="0.2">
      <c r="B209" s="267" t="str">
        <f>'WS7 - Impact on Rates'!B143</f>
        <v>Business</v>
      </c>
      <c r="C209" s="207" t="str">
        <f>'WS7 - Impact on Rates'!C143</f>
        <v/>
      </c>
      <c r="D209" s="207" t="str">
        <f>'WS7 - Impact on Rates'!D143</f>
        <v>$ nominal p.a.</v>
      </c>
      <c r="E209" s="54"/>
      <c r="F209" s="3"/>
      <c r="G209" s="3"/>
      <c r="H209" s="3"/>
      <c r="I209" s="31"/>
      <c r="J209" s="235" t="str">
        <f>'WS7 - Impact on Rates'!J143</f>
        <v>.</v>
      </c>
      <c r="K209" s="236" t="str">
        <f>'WS7 - Impact on Rates'!K143</f>
        <v>.</v>
      </c>
      <c r="L209" s="236">
        <f>'WS7 - Impact on Rates'!L143</f>
        <v>0</v>
      </c>
      <c r="M209" s="236">
        <f>'WS7 - Impact on Rates'!M143</f>
        <v>0</v>
      </c>
      <c r="N209" s="236">
        <f>'WS7 - Impact on Rates'!N143</f>
        <v>0</v>
      </c>
      <c r="O209" s="236">
        <f>'WS7 - Impact on Rates'!O143</f>
        <v>0</v>
      </c>
      <c r="P209" s="236">
        <f>'WS7 - Impact on Rates'!P143</f>
        <v>0</v>
      </c>
      <c r="Q209" s="237">
        <f>'WS7 - Impact on Rates'!Q143</f>
        <v>0</v>
      </c>
      <c r="R209" s="3"/>
      <c r="S209" s="3"/>
      <c r="T209" s="31"/>
      <c r="U209" s="3"/>
      <c r="V209" s="151"/>
      <c r="W209" s="151"/>
      <c r="X209" s="151"/>
      <c r="Y209" s="151"/>
      <c r="Z209" s="151"/>
      <c r="AA209" s="151"/>
      <c r="AB209" s="151"/>
      <c r="AC209" s="151"/>
      <c r="AD209" s="151"/>
      <c r="AE209" s="151"/>
      <c r="AF209" s="151"/>
    </row>
    <row r="210" spans="2:32" outlineLevel="1" x14ac:dyDescent="0.2">
      <c r="B210" s="267" t="str">
        <f>'WS7 - Impact on Rates'!B144</f>
        <v>Business</v>
      </c>
      <c r="C210" s="207" t="str">
        <f>'WS7 - Impact on Rates'!C144</f>
        <v/>
      </c>
      <c r="D210" s="207" t="str">
        <f>'WS7 - Impact on Rates'!D144</f>
        <v>$ nominal p.a.</v>
      </c>
      <c r="E210" s="54"/>
      <c r="F210" s="3"/>
      <c r="G210" s="3"/>
      <c r="H210" s="3"/>
      <c r="I210" s="31"/>
      <c r="J210" s="235" t="str">
        <f>'WS7 - Impact on Rates'!J144</f>
        <v>.</v>
      </c>
      <c r="K210" s="236" t="str">
        <f>'WS7 - Impact on Rates'!K144</f>
        <v>.</v>
      </c>
      <c r="L210" s="236">
        <f>'WS7 - Impact on Rates'!L144</f>
        <v>0</v>
      </c>
      <c r="M210" s="236">
        <f>'WS7 - Impact on Rates'!M144</f>
        <v>0</v>
      </c>
      <c r="N210" s="236">
        <f>'WS7 - Impact on Rates'!N144</f>
        <v>0</v>
      </c>
      <c r="O210" s="236">
        <f>'WS7 - Impact on Rates'!O144</f>
        <v>0</v>
      </c>
      <c r="P210" s="236">
        <f>'WS7 - Impact on Rates'!P144</f>
        <v>0</v>
      </c>
      <c r="Q210" s="237">
        <f>'WS7 - Impact on Rates'!Q144</f>
        <v>0</v>
      </c>
      <c r="R210" s="3"/>
      <c r="S210" s="3"/>
      <c r="T210" s="31"/>
      <c r="U210" s="3"/>
      <c r="V210" s="151"/>
      <c r="W210" s="151"/>
      <c r="X210" s="151"/>
      <c r="Y210" s="151"/>
      <c r="Z210" s="151"/>
      <c r="AA210" s="151"/>
      <c r="AB210" s="151"/>
      <c r="AC210" s="151"/>
      <c r="AD210" s="151"/>
      <c r="AE210" s="151"/>
      <c r="AF210" s="151"/>
    </row>
    <row r="211" spans="2:32" outlineLevel="1" x14ac:dyDescent="0.2">
      <c r="B211" s="267" t="str">
        <f>'WS7 - Impact on Rates'!B145</f>
        <v>Business</v>
      </c>
      <c r="C211" s="207" t="str">
        <f>'WS7 - Impact on Rates'!C145</f>
        <v/>
      </c>
      <c r="D211" s="207" t="str">
        <f>'WS7 - Impact on Rates'!D145</f>
        <v>$ nominal p.a.</v>
      </c>
      <c r="E211" s="54"/>
      <c r="F211" s="3"/>
      <c r="G211" s="3"/>
      <c r="H211" s="3"/>
      <c r="I211" s="31"/>
      <c r="J211" s="235" t="str">
        <f>'WS7 - Impact on Rates'!J145</f>
        <v>.</v>
      </c>
      <c r="K211" s="236" t="str">
        <f>'WS7 - Impact on Rates'!K145</f>
        <v>.</v>
      </c>
      <c r="L211" s="236">
        <f>'WS7 - Impact on Rates'!L145</f>
        <v>0</v>
      </c>
      <c r="M211" s="236">
        <f>'WS7 - Impact on Rates'!M145</f>
        <v>0</v>
      </c>
      <c r="N211" s="236">
        <f>'WS7 - Impact on Rates'!N145</f>
        <v>0</v>
      </c>
      <c r="O211" s="236">
        <f>'WS7 - Impact on Rates'!O145</f>
        <v>0</v>
      </c>
      <c r="P211" s="236">
        <f>'WS7 - Impact on Rates'!P145</f>
        <v>0</v>
      </c>
      <c r="Q211" s="237">
        <f>'WS7 - Impact on Rates'!Q145</f>
        <v>0</v>
      </c>
      <c r="R211" s="3"/>
      <c r="S211" s="3"/>
      <c r="T211" s="31"/>
      <c r="U211" s="3"/>
      <c r="V211" s="151"/>
      <c r="W211" s="151"/>
      <c r="X211" s="151"/>
      <c r="Y211" s="151"/>
      <c r="Z211" s="151"/>
      <c r="AA211" s="151"/>
      <c r="AB211" s="151"/>
      <c r="AC211" s="151"/>
      <c r="AD211" s="151"/>
      <c r="AE211" s="151"/>
      <c r="AF211" s="151"/>
    </row>
    <row r="212" spans="2:32" outlineLevel="1" x14ac:dyDescent="0.2">
      <c r="B212" s="267" t="str">
        <f>'WS7 - Impact on Rates'!B146</f>
        <v>Business</v>
      </c>
      <c r="C212" s="207" t="str">
        <f>'WS7 - Impact on Rates'!C146</f>
        <v/>
      </c>
      <c r="D212" s="207" t="str">
        <f>'WS7 - Impact on Rates'!D146</f>
        <v>$ nominal p.a.</v>
      </c>
      <c r="E212" s="54"/>
      <c r="F212" s="3"/>
      <c r="G212" s="3"/>
      <c r="H212" s="3"/>
      <c r="I212" s="31"/>
      <c r="J212" s="235" t="str">
        <f>'WS7 - Impact on Rates'!J146</f>
        <v>.</v>
      </c>
      <c r="K212" s="236" t="str">
        <f>'WS7 - Impact on Rates'!K146</f>
        <v>.</v>
      </c>
      <c r="L212" s="236">
        <f>'WS7 - Impact on Rates'!L146</f>
        <v>0</v>
      </c>
      <c r="M212" s="236">
        <f>'WS7 - Impact on Rates'!M146</f>
        <v>0</v>
      </c>
      <c r="N212" s="236">
        <f>'WS7 - Impact on Rates'!N146</f>
        <v>0</v>
      </c>
      <c r="O212" s="236">
        <f>'WS7 - Impact on Rates'!O146</f>
        <v>0</v>
      </c>
      <c r="P212" s="236">
        <f>'WS7 - Impact on Rates'!P146</f>
        <v>0</v>
      </c>
      <c r="Q212" s="237">
        <f>'WS7 - Impact on Rates'!Q146</f>
        <v>0</v>
      </c>
      <c r="R212" s="3"/>
      <c r="S212" s="3"/>
      <c r="T212" s="31"/>
      <c r="U212" s="3"/>
      <c r="V212" s="151"/>
      <c r="W212" s="151"/>
      <c r="X212" s="151"/>
      <c r="Y212" s="151"/>
      <c r="Z212" s="151"/>
      <c r="AA212" s="151"/>
      <c r="AB212" s="151"/>
      <c r="AC212" s="151"/>
      <c r="AD212" s="151"/>
      <c r="AE212" s="151"/>
      <c r="AF212" s="151"/>
    </row>
    <row r="213" spans="2:32" outlineLevel="1" x14ac:dyDescent="0.2">
      <c r="B213" s="267" t="str">
        <f>'WS7 - Impact on Rates'!B147</f>
        <v>Business</v>
      </c>
      <c r="C213" s="207" t="str">
        <f>'WS7 - Impact on Rates'!C147</f>
        <v/>
      </c>
      <c r="D213" s="207" t="str">
        <f>'WS7 - Impact on Rates'!D147</f>
        <v>$ nominal p.a.</v>
      </c>
      <c r="E213" s="54"/>
      <c r="F213" s="3"/>
      <c r="G213" s="3"/>
      <c r="H213" s="3"/>
      <c r="I213" s="31"/>
      <c r="J213" s="235" t="str">
        <f>'WS7 - Impact on Rates'!J147</f>
        <v>.</v>
      </c>
      <c r="K213" s="236" t="str">
        <f>'WS7 - Impact on Rates'!K147</f>
        <v>.</v>
      </c>
      <c r="L213" s="236">
        <f>'WS7 - Impact on Rates'!L147</f>
        <v>0</v>
      </c>
      <c r="M213" s="236">
        <f>'WS7 - Impact on Rates'!M147</f>
        <v>0</v>
      </c>
      <c r="N213" s="236">
        <f>'WS7 - Impact on Rates'!N147</f>
        <v>0</v>
      </c>
      <c r="O213" s="236">
        <f>'WS7 - Impact on Rates'!O147</f>
        <v>0</v>
      </c>
      <c r="P213" s="236">
        <f>'WS7 - Impact on Rates'!P147</f>
        <v>0</v>
      </c>
      <c r="Q213" s="237">
        <f>'WS7 - Impact on Rates'!Q147</f>
        <v>0</v>
      </c>
      <c r="R213" s="3"/>
      <c r="S213" s="3"/>
      <c r="T213" s="31"/>
      <c r="U213" s="3"/>
      <c r="V213" s="151"/>
      <c r="W213" s="151"/>
      <c r="X213" s="151"/>
      <c r="Y213" s="151"/>
      <c r="Z213" s="151"/>
      <c r="AA213" s="151"/>
      <c r="AB213" s="151"/>
      <c r="AC213" s="151"/>
      <c r="AD213" s="151"/>
      <c r="AE213" s="151"/>
      <c r="AF213" s="151"/>
    </row>
    <row r="214" spans="2:32" outlineLevel="1" x14ac:dyDescent="0.2">
      <c r="B214" s="267" t="str">
        <f>'WS7 - Impact on Rates'!B148</f>
        <v>Business</v>
      </c>
      <c r="C214" s="207" t="str">
        <f>'WS7 - Impact on Rates'!C148</f>
        <v/>
      </c>
      <c r="D214" s="207" t="str">
        <f>'WS7 - Impact on Rates'!D148</f>
        <v>$ nominal p.a.</v>
      </c>
      <c r="E214" s="54"/>
      <c r="F214" s="3"/>
      <c r="G214" s="3"/>
      <c r="H214" s="3"/>
      <c r="I214" s="31"/>
      <c r="J214" s="235" t="str">
        <f>'WS7 - Impact on Rates'!J148</f>
        <v>.</v>
      </c>
      <c r="K214" s="236" t="str">
        <f>'WS7 - Impact on Rates'!K148</f>
        <v>.</v>
      </c>
      <c r="L214" s="236">
        <f>'WS7 - Impact on Rates'!L148</f>
        <v>0</v>
      </c>
      <c r="M214" s="236">
        <f>'WS7 - Impact on Rates'!M148</f>
        <v>0</v>
      </c>
      <c r="N214" s="236">
        <f>'WS7 - Impact on Rates'!N148</f>
        <v>0</v>
      </c>
      <c r="O214" s="236">
        <f>'WS7 - Impact on Rates'!O148</f>
        <v>0</v>
      </c>
      <c r="P214" s="236">
        <f>'WS7 - Impact on Rates'!P148</f>
        <v>0</v>
      </c>
      <c r="Q214" s="237">
        <f>'WS7 - Impact on Rates'!Q148</f>
        <v>0</v>
      </c>
      <c r="R214" s="3"/>
      <c r="S214" s="3"/>
      <c r="T214" s="31"/>
      <c r="U214" s="3"/>
      <c r="V214" s="151"/>
      <c r="W214" s="151"/>
      <c r="X214" s="151"/>
      <c r="Y214" s="151"/>
      <c r="Z214" s="151"/>
      <c r="AA214" s="151"/>
      <c r="AB214" s="151"/>
      <c r="AC214" s="151"/>
      <c r="AD214" s="151"/>
      <c r="AE214" s="151"/>
      <c r="AF214" s="151"/>
    </row>
    <row r="215" spans="2:32" outlineLevel="1" x14ac:dyDescent="0.2">
      <c r="B215" s="267" t="str">
        <f>'WS7 - Impact on Rates'!B149</f>
        <v>Business</v>
      </c>
      <c r="C215" s="207" t="str">
        <f>'WS7 - Impact on Rates'!C149</f>
        <v/>
      </c>
      <c r="D215" s="207" t="str">
        <f>'WS7 - Impact on Rates'!D149</f>
        <v>$ nominal p.a.</v>
      </c>
      <c r="E215" s="54"/>
      <c r="F215" s="3"/>
      <c r="G215" s="3"/>
      <c r="H215" s="3"/>
      <c r="I215" s="31"/>
      <c r="J215" s="235" t="str">
        <f>'WS7 - Impact on Rates'!J149</f>
        <v>.</v>
      </c>
      <c r="K215" s="236" t="str">
        <f>'WS7 - Impact on Rates'!K149</f>
        <v>.</v>
      </c>
      <c r="L215" s="236">
        <f>'WS7 - Impact on Rates'!L149</f>
        <v>0</v>
      </c>
      <c r="M215" s="236">
        <f>'WS7 - Impact on Rates'!M149</f>
        <v>0</v>
      </c>
      <c r="N215" s="236">
        <f>'WS7 - Impact on Rates'!N149</f>
        <v>0</v>
      </c>
      <c r="O215" s="236">
        <f>'WS7 - Impact on Rates'!O149</f>
        <v>0</v>
      </c>
      <c r="P215" s="236">
        <f>'WS7 - Impact on Rates'!P149</f>
        <v>0</v>
      </c>
      <c r="Q215" s="237">
        <f>'WS7 - Impact on Rates'!Q149</f>
        <v>0</v>
      </c>
      <c r="R215" s="3"/>
      <c r="S215" s="3"/>
      <c r="T215" s="31"/>
      <c r="U215" s="3"/>
      <c r="V215" s="151"/>
      <c r="W215" s="151"/>
      <c r="X215" s="151"/>
      <c r="Y215" s="151"/>
      <c r="Z215" s="151"/>
      <c r="AA215" s="151"/>
      <c r="AB215" s="151"/>
      <c r="AC215" s="151"/>
      <c r="AD215" s="151"/>
      <c r="AE215" s="151"/>
      <c r="AF215" s="151"/>
    </row>
    <row r="216" spans="2:32" outlineLevel="1" x14ac:dyDescent="0.2">
      <c r="B216" s="267" t="str">
        <f>'WS7 - Impact on Rates'!B150</f>
        <v>Business</v>
      </c>
      <c r="C216" s="207" t="str">
        <f>'WS7 - Impact on Rates'!C150</f>
        <v/>
      </c>
      <c r="D216" s="207" t="str">
        <f>'WS7 - Impact on Rates'!D150</f>
        <v>$ nominal p.a.</v>
      </c>
      <c r="E216" s="54"/>
      <c r="F216" s="3"/>
      <c r="G216" s="3"/>
      <c r="H216" s="3"/>
      <c r="I216" s="31"/>
      <c r="J216" s="235" t="str">
        <f>'WS7 - Impact on Rates'!J150</f>
        <v>.</v>
      </c>
      <c r="K216" s="236" t="str">
        <f>'WS7 - Impact on Rates'!K150</f>
        <v>.</v>
      </c>
      <c r="L216" s="236">
        <f>'WS7 - Impact on Rates'!L150</f>
        <v>0</v>
      </c>
      <c r="M216" s="236">
        <f>'WS7 - Impact on Rates'!M150</f>
        <v>0</v>
      </c>
      <c r="N216" s="236">
        <f>'WS7 - Impact on Rates'!N150</f>
        <v>0</v>
      </c>
      <c r="O216" s="236">
        <f>'WS7 - Impact on Rates'!O150</f>
        <v>0</v>
      </c>
      <c r="P216" s="236">
        <f>'WS7 - Impact on Rates'!P150</f>
        <v>0</v>
      </c>
      <c r="Q216" s="237">
        <f>'WS7 - Impact on Rates'!Q150</f>
        <v>0</v>
      </c>
      <c r="R216" s="3"/>
      <c r="S216" s="3"/>
      <c r="T216" s="31"/>
      <c r="U216" s="3"/>
      <c r="V216" s="151"/>
      <c r="W216" s="151"/>
      <c r="X216" s="151"/>
      <c r="Y216" s="151"/>
      <c r="Z216" s="151"/>
      <c r="AA216" s="151"/>
      <c r="AB216" s="151"/>
      <c r="AC216" s="151"/>
      <c r="AD216" s="151"/>
      <c r="AE216" s="151"/>
      <c r="AF216" s="151"/>
    </row>
    <row r="217" spans="2:32" outlineLevel="1" x14ac:dyDescent="0.2">
      <c r="B217" s="267" t="str">
        <f>'WS7 - Impact on Rates'!B151</f>
        <v>Business</v>
      </c>
      <c r="C217" s="207" t="str">
        <f>'WS7 - Impact on Rates'!C151</f>
        <v/>
      </c>
      <c r="D217" s="207" t="str">
        <f>'WS7 - Impact on Rates'!D151</f>
        <v>$ nominal p.a.</v>
      </c>
      <c r="E217" s="54"/>
      <c r="F217" s="3"/>
      <c r="G217" s="3"/>
      <c r="H217" s="3"/>
      <c r="I217" s="31"/>
      <c r="J217" s="235" t="str">
        <f>'WS7 - Impact on Rates'!J151</f>
        <v>.</v>
      </c>
      <c r="K217" s="236" t="str">
        <f>'WS7 - Impact on Rates'!K151</f>
        <v>.</v>
      </c>
      <c r="L217" s="236">
        <f>'WS7 - Impact on Rates'!L151</f>
        <v>0</v>
      </c>
      <c r="M217" s="236">
        <f>'WS7 - Impact on Rates'!M151</f>
        <v>0</v>
      </c>
      <c r="N217" s="236">
        <f>'WS7 - Impact on Rates'!N151</f>
        <v>0</v>
      </c>
      <c r="O217" s="236">
        <f>'WS7 - Impact on Rates'!O151</f>
        <v>0</v>
      </c>
      <c r="P217" s="236">
        <f>'WS7 - Impact on Rates'!P151</f>
        <v>0</v>
      </c>
      <c r="Q217" s="237">
        <f>'WS7 - Impact on Rates'!Q151</f>
        <v>0</v>
      </c>
      <c r="R217" s="3"/>
      <c r="S217" s="3"/>
      <c r="T217" s="31"/>
      <c r="U217" s="3"/>
      <c r="V217" s="151"/>
      <c r="W217" s="151"/>
      <c r="X217" s="151"/>
      <c r="Y217" s="151"/>
      <c r="Z217" s="151"/>
      <c r="AA217" s="151"/>
      <c r="AB217" s="151"/>
      <c r="AC217" s="151"/>
      <c r="AD217" s="151"/>
      <c r="AE217" s="151"/>
      <c r="AF217" s="151"/>
    </row>
    <row r="218" spans="2:32" outlineLevel="1" x14ac:dyDescent="0.2">
      <c r="B218" s="267" t="str">
        <f>'WS7 - Impact on Rates'!B152</f>
        <v>Business</v>
      </c>
      <c r="C218" s="207" t="str">
        <f>'WS7 - Impact on Rates'!C152</f>
        <v/>
      </c>
      <c r="D218" s="207" t="str">
        <f>'WS7 - Impact on Rates'!D152</f>
        <v>$ nominal p.a.</v>
      </c>
      <c r="E218" s="54"/>
      <c r="F218" s="3"/>
      <c r="G218" s="3"/>
      <c r="H218" s="3"/>
      <c r="I218" s="31"/>
      <c r="J218" s="235" t="str">
        <f>'WS7 - Impact on Rates'!J152</f>
        <v>.</v>
      </c>
      <c r="K218" s="236" t="str">
        <f>'WS7 - Impact on Rates'!K152</f>
        <v>.</v>
      </c>
      <c r="L218" s="236">
        <f>'WS7 - Impact on Rates'!L152</f>
        <v>0</v>
      </c>
      <c r="M218" s="236">
        <f>'WS7 - Impact on Rates'!M152</f>
        <v>0</v>
      </c>
      <c r="N218" s="236">
        <f>'WS7 - Impact on Rates'!N152</f>
        <v>0</v>
      </c>
      <c r="O218" s="236">
        <f>'WS7 - Impact on Rates'!O152</f>
        <v>0</v>
      </c>
      <c r="P218" s="236">
        <f>'WS7 - Impact on Rates'!P152</f>
        <v>0</v>
      </c>
      <c r="Q218" s="237">
        <f>'WS7 - Impact on Rates'!Q152</f>
        <v>0</v>
      </c>
      <c r="R218" s="3"/>
      <c r="S218" s="3"/>
      <c r="T218" s="31"/>
      <c r="U218" s="3"/>
      <c r="V218" s="151"/>
      <c r="W218" s="151"/>
      <c r="X218" s="151"/>
      <c r="Y218" s="151"/>
      <c r="Z218" s="151"/>
      <c r="AA218" s="151"/>
      <c r="AB218" s="151"/>
      <c r="AC218" s="151"/>
      <c r="AD218" s="151"/>
      <c r="AE218" s="151"/>
      <c r="AF218" s="151"/>
    </row>
    <row r="219" spans="2:32" outlineLevel="1" x14ac:dyDescent="0.2">
      <c r="B219" s="267" t="str">
        <f>'WS7 - Impact on Rates'!B153</f>
        <v>Business</v>
      </c>
      <c r="C219" s="207" t="str">
        <f>'WS7 - Impact on Rates'!C153</f>
        <v/>
      </c>
      <c r="D219" s="207" t="str">
        <f>'WS7 - Impact on Rates'!D153</f>
        <v>$ nominal p.a.</v>
      </c>
      <c r="E219" s="54"/>
      <c r="F219" s="3"/>
      <c r="G219" s="3"/>
      <c r="H219" s="3"/>
      <c r="I219" s="31"/>
      <c r="J219" s="235" t="str">
        <f>'WS7 - Impact on Rates'!J153</f>
        <v>.</v>
      </c>
      <c r="K219" s="236" t="str">
        <f>'WS7 - Impact on Rates'!K153</f>
        <v>.</v>
      </c>
      <c r="L219" s="236">
        <f>'WS7 - Impact on Rates'!L153</f>
        <v>0</v>
      </c>
      <c r="M219" s="236">
        <f>'WS7 - Impact on Rates'!M153</f>
        <v>0</v>
      </c>
      <c r="N219" s="236">
        <f>'WS7 - Impact on Rates'!N153</f>
        <v>0</v>
      </c>
      <c r="O219" s="236">
        <f>'WS7 - Impact on Rates'!O153</f>
        <v>0</v>
      </c>
      <c r="P219" s="236">
        <f>'WS7 - Impact on Rates'!P153</f>
        <v>0</v>
      </c>
      <c r="Q219" s="237">
        <f>'WS7 - Impact on Rates'!Q153</f>
        <v>0</v>
      </c>
      <c r="R219" s="3"/>
      <c r="S219" s="3"/>
      <c r="T219" s="31"/>
      <c r="U219" s="3"/>
      <c r="V219" s="151"/>
      <c r="W219" s="151"/>
      <c r="X219" s="151"/>
      <c r="Y219" s="151"/>
      <c r="Z219" s="151"/>
      <c r="AA219" s="151"/>
      <c r="AB219" s="151"/>
      <c r="AC219" s="151"/>
      <c r="AD219" s="151"/>
      <c r="AE219" s="151"/>
      <c r="AF219" s="151"/>
    </row>
    <row r="220" spans="2:32" outlineLevel="1" x14ac:dyDescent="0.2">
      <c r="B220" s="267" t="str">
        <f>'WS7 - Impact on Rates'!B154</f>
        <v>Business</v>
      </c>
      <c r="C220" s="207" t="str">
        <f>'WS7 - Impact on Rates'!C154</f>
        <v/>
      </c>
      <c r="D220" s="207" t="str">
        <f>'WS7 - Impact on Rates'!D154</f>
        <v>$ nominal p.a.</v>
      </c>
      <c r="E220" s="54"/>
      <c r="F220" s="3"/>
      <c r="G220" s="3"/>
      <c r="H220" s="3"/>
      <c r="I220" s="31"/>
      <c r="J220" s="235" t="str">
        <f>'WS7 - Impact on Rates'!J154</f>
        <v>.</v>
      </c>
      <c r="K220" s="236" t="str">
        <f>'WS7 - Impact on Rates'!K154</f>
        <v>.</v>
      </c>
      <c r="L220" s="236">
        <f>'WS7 - Impact on Rates'!L154</f>
        <v>0</v>
      </c>
      <c r="M220" s="236">
        <f>'WS7 - Impact on Rates'!M154</f>
        <v>0</v>
      </c>
      <c r="N220" s="236">
        <f>'WS7 - Impact on Rates'!N154</f>
        <v>0</v>
      </c>
      <c r="O220" s="236">
        <f>'WS7 - Impact on Rates'!O154</f>
        <v>0</v>
      </c>
      <c r="P220" s="236">
        <f>'WS7 - Impact on Rates'!P154</f>
        <v>0</v>
      </c>
      <c r="Q220" s="237">
        <f>'WS7 - Impact on Rates'!Q154</f>
        <v>0</v>
      </c>
      <c r="R220" s="3"/>
      <c r="S220" s="3"/>
      <c r="T220" s="31"/>
      <c r="U220" s="3"/>
      <c r="V220" s="151"/>
      <c r="W220" s="151"/>
      <c r="X220" s="151"/>
      <c r="Y220" s="151"/>
      <c r="Z220" s="151"/>
      <c r="AA220" s="151"/>
      <c r="AB220" s="151"/>
      <c r="AC220" s="151"/>
      <c r="AD220" s="151"/>
      <c r="AE220" s="151"/>
      <c r="AF220" s="151"/>
    </row>
    <row r="221" spans="2:32" outlineLevel="1" x14ac:dyDescent="0.2">
      <c r="B221" s="267" t="str">
        <f>'WS7 - Impact on Rates'!B155</f>
        <v>Business</v>
      </c>
      <c r="C221" s="207" t="str">
        <f>'WS7 - Impact on Rates'!C155</f>
        <v/>
      </c>
      <c r="D221" s="207" t="str">
        <f>'WS7 - Impact on Rates'!D155</f>
        <v>$ nominal p.a.</v>
      </c>
      <c r="E221" s="54"/>
      <c r="F221" s="3"/>
      <c r="G221" s="3"/>
      <c r="H221" s="3"/>
      <c r="I221" s="31"/>
      <c r="J221" s="235" t="str">
        <f>'WS7 - Impact on Rates'!J155</f>
        <v>.</v>
      </c>
      <c r="K221" s="236" t="str">
        <f>'WS7 - Impact on Rates'!K155</f>
        <v>.</v>
      </c>
      <c r="L221" s="236">
        <f>'WS7 - Impact on Rates'!L155</f>
        <v>0</v>
      </c>
      <c r="M221" s="236">
        <f>'WS7 - Impact on Rates'!M155</f>
        <v>0</v>
      </c>
      <c r="N221" s="236">
        <f>'WS7 - Impact on Rates'!N155</f>
        <v>0</v>
      </c>
      <c r="O221" s="236">
        <f>'WS7 - Impact on Rates'!O155</f>
        <v>0</v>
      </c>
      <c r="P221" s="236">
        <f>'WS7 - Impact on Rates'!P155</f>
        <v>0</v>
      </c>
      <c r="Q221" s="237">
        <f>'WS7 - Impact on Rates'!Q155</f>
        <v>0</v>
      </c>
      <c r="R221" s="3"/>
      <c r="S221" s="3"/>
      <c r="T221" s="31"/>
      <c r="U221" s="3"/>
      <c r="V221" s="151"/>
      <c r="W221" s="151"/>
      <c r="X221" s="151"/>
      <c r="Y221" s="151"/>
      <c r="Z221" s="151"/>
      <c r="AA221" s="151"/>
      <c r="AB221" s="151"/>
      <c r="AC221" s="151"/>
      <c r="AD221" s="151"/>
      <c r="AE221" s="151"/>
      <c r="AF221" s="151"/>
    </row>
    <row r="222" spans="2:32" outlineLevel="1" x14ac:dyDescent="0.2">
      <c r="B222" s="267" t="str">
        <f>'WS7 - Impact on Rates'!B156</f>
        <v>Business</v>
      </c>
      <c r="C222" s="207" t="str">
        <f>'WS7 - Impact on Rates'!C156</f>
        <v/>
      </c>
      <c r="D222" s="207" t="str">
        <f>'WS7 - Impact on Rates'!D156</f>
        <v>$ nominal p.a.</v>
      </c>
      <c r="E222" s="54"/>
      <c r="F222" s="3"/>
      <c r="G222" s="3"/>
      <c r="H222" s="3"/>
      <c r="I222" s="31"/>
      <c r="J222" s="235" t="str">
        <f>'WS7 - Impact on Rates'!J156</f>
        <v>.</v>
      </c>
      <c r="K222" s="236" t="str">
        <f>'WS7 - Impact on Rates'!K156</f>
        <v>.</v>
      </c>
      <c r="L222" s="236">
        <f>'WS7 - Impact on Rates'!L156</f>
        <v>0</v>
      </c>
      <c r="M222" s="236">
        <f>'WS7 - Impact on Rates'!M156</f>
        <v>0</v>
      </c>
      <c r="N222" s="236">
        <f>'WS7 - Impact on Rates'!N156</f>
        <v>0</v>
      </c>
      <c r="O222" s="236">
        <f>'WS7 - Impact on Rates'!O156</f>
        <v>0</v>
      </c>
      <c r="P222" s="236">
        <f>'WS7 - Impact on Rates'!P156</f>
        <v>0</v>
      </c>
      <c r="Q222" s="237">
        <f>'WS7 - Impact on Rates'!Q156</f>
        <v>0</v>
      </c>
      <c r="R222" s="3"/>
      <c r="S222" s="3"/>
      <c r="T222" s="31"/>
      <c r="U222" s="3"/>
      <c r="V222" s="151"/>
      <c r="W222" s="151"/>
      <c r="X222" s="151"/>
      <c r="Y222" s="151"/>
      <c r="Z222" s="151"/>
      <c r="AA222" s="151"/>
      <c r="AB222" s="151"/>
      <c r="AC222" s="151"/>
      <c r="AD222" s="151"/>
      <c r="AE222" s="151"/>
      <c r="AF222" s="151"/>
    </row>
    <row r="223" spans="2:32" x14ac:dyDescent="0.2">
      <c r="B223" s="267" t="str">
        <f>'WS7 - Impact on Rates'!B157</f>
        <v>Special rate</v>
      </c>
      <c r="C223" s="207" t="str">
        <f>'WS7 - Impact on Rates'!C157</f>
        <v/>
      </c>
      <c r="D223" s="207" t="str">
        <f>'WS7 - Impact on Rates'!D157</f>
        <v>$ nominal p.a.</v>
      </c>
      <c r="E223" s="54"/>
      <c r="F223" s="3"/>
      <c r="G223" s="3"/>
      <c r="H223" s="3"/>
      <c r="I223" s="31"/>
      <c r="J223" s="235" t="str">
        <f>'WS7 - Impact on Rates'!J157</f>
        <v>.</v>
      </c>
      <c r="K223" s="236" t="str">
        <f>'WS7 - Impact on Rates'!K157</f>
        <v>.</v>
      </c>
      <c r="L223" s="236">
        <f>'WS7 - Impact on Rates'!L157</f>
        <v>0</v>
      </c>
      <c r="M223" s="236">
        <f>'WS7 - Impact on Rates'!M157</f>
        <v>0</v>
      </c>
      <c r="N223" s="236">
        <f>'WS7 - Impact on Rates'!N157</f>
        <v>0</v>
      </c>
      <c r="O223" s="236">
        <f>'WS7 - Impact on Rates'!O157</f>
        <v>0</v>
      </c>
      <c r="P223" s="236">
        <f>'WS7 - Impact on Rates'!P157</f>
        <v>0</v>
      </c>
      <c r="Q223" s="237">
        <f>'WS7 - Impact on Rates'!Q157</f>
        <v>0</v>
      </c>
      <c r="R223" s="3"/>
      <c r="S223" s="3"/>
      <c r="T223" s="31"/>
      <c r="U223" s="3"/>
      <c r="V223" s="151"/>
      <c r="W223" s="151"/>
      <c r="X223" s="151"/>
      <c r="Y223" s="151"/>
      <c r="Z223" s="151"/>
      <c r="AA223" s="151"/>
      <c r="AB223" s="151"/>
      <c r="AC223" s="151"/>
      <c r="AD223" s="151"/>
      <c r="AE223" s="151"/>
      <c r="AF223" s="151"/>
    </row>
    <row r="224" spans="2:32" x14ac:dyDescent="0.2">
      <c r="B224" s="267" t="str">
        <f>'WS7 - Impact on Rates'!B158</f>
        <v>Special rate</v>
      </c>
      <c r="C224" s="207" t="str">
        <f>'WS7 - Impact on Rates'!C158</f>
        <v/>
      </c>
      <c r="D224" s="207" t="str">
        <f>'WS7 - Impact on Rates'!D158</f>
        <v>$ nominal p.a.</v>
      </c>
      <c r="E224" s="54"/>
      <c r="F224" s="3"/>
      <c r="G224" s="3"/>
      <c r="H224" s="3"/>
      <c r="I224" s="31"/>
      <c r="J224" s="235" t="str">
        <f>'WS7 - Impact on Rates'!J158</f>
        <v>.</v>
      </c>
      <c r="K224" s="236" t="str">
        <f>'WS7 - Impact on Rates'!K158</f>
        <v>.</v>
      </c>
      <c r="L224" s="236">
        <f>'WS7 - Impact on Rates'!L158</f>
        <v>0</v>
      </c>
      <c r="M224" s="236">
        <f>'WS7 - Impact on Rates'!M158</f>
        <v>0</v>
      </c>
      <c r="N224" s="236">
        <f>'WS7 - Impact on Rates'!N158</f>
        <v>0</v>
      </c>
      <c r="O224" s="236">
        <f>'WS7 - Impact on Rates'!O158</f>
        <v>0</v>
      </c>
      <c r="P224" s="236">
        <f>'WS7 - Impact on Rates'!P158</f>
        <v>0</v>
      </c>
      <c r="Q224" s="237">
        <f>'WS7 - Impact on Rates'!Q158</f>
        <v>0</v>
      </c>
      <c r="R224" s="3"/>
      <c r="S224" s="3"/>
      <c r="T224" s="31"/>
      <c r="U224" s="3"/>
      <c r="V224" s="151"/>
      <c r="W224" s="151"/>
      <c r="X224" s="151"/>
      <c r="Y224" s="151"/>
      <c r="Z224" s="151"/>
      <c r="AA224" s="151"/>
      <c r="AB224" s="151"/>
      <c r="AC224" s="151"/>
      <c r="AD224" s="151"/>
      <c r="AE224" s="151"/>
      <c r="AF224" s="151"/>
    </row>
    <row r="225" spans="2:32" x14ac:dyDescent="0.2">
      <c r="B225" s="267" t="str">
        <f>'WS7 - Impact on Rates'!B159</f>
        <v>Special rate</v>
      </c>
      <c r="C225" s="207" t="str">
        <f>'WS7 - Impact on Rates'!C159</f>
        <v/>
      </c>
      <c r="D225" s="207" t="str">
        <f>'WS7 - Impact on Rates'!D159</f>
        <v>$ nominal p.a.</v>
      </c>
      <c r="E225" s="54"/>
      <c r="F225" s="3"/>
      <c r="G225" s="3"/>
      <c r="H225" s="3"/>
      <c r="I225" s="31"/>
      <c r="J225" s="235" t="str">
        <f>'WS7 - Impact on Rates'!J159</f>
        <v>.</v>
      </c>
      <c r="K225" s="236" t="str">
        <f>'WS7 - Impact on Rates'!K159</f>
        <v>.</v>
      </c>
      <c r="L225" s="236">
        <f>'WS7 - Impact on Rates'!L159</f>
        <v>0</v>
      </c>
      <c r="M225" s="236">
        <f>'WS7 - Impact on Rates'!M159</f>
        <v>0</v>
      </c>
      <c r="N225" s="236">
        <f>'WS7 - Impact on Rates'!N159</f>
        <v>0</v>
      </c>
      <c r="O225" s="236">
        <f>'WS7 - Impact on Rates'!O159</f>
        <v>0</v>
      </c>
      <c r="P225" s="236">
        <f>'WS7 - Impact on Rates'!P159</f>
        <v>0</v>
      </c>
      <c r="Q225" s="237">
        <f>'WS7 - Impact on Rates'!Q159</f>
        <v>0</v>
      </c>
      <c r="R225" s="3"/>
      <c r="S225" s="3"/>
      <c r="T225" s="31"/>
      <c r="U225" s="3"/>
      <c r="V225" s="151"/>
      <c r="W225" s="151"/>
      <c r="X225" s="151"/>
      <c r="Y225" s="151"/>
      <c r="Z225" s="151"/>
      <c r="AA225" s="151"/>
      <c r="AB225" s="151"/>
      <c r="AC225" s="151"/>
      <c r="AD225" s="151"/>
      <c r="AE225" s="151"/>
      <c r="AF225" s="151"/>
    </row>
    <row r="226" spans="2:32" x14ac:dyDescent="0.2">
      <c r="B226" s="267" t="str">
        <f>'WS7 - Impact on Rates'!B160</f>
        <v>Special rate</v>
      </c>
      <c r="C226" s="207" t="str">
        <f>'WS7 - Impact on Rates'!C160</f>
        <v/>
      </c>
      <c r="D226" s="207" t="str">
        <f>'WS7 - Impact on Rates'!D160</f>
        <v>$ nominal p.a.</v>
      </c>
      <c r="E226" s="54"/>
      <c r="F226" s="3"/>
      <c r="G226" s="3"/>
      <c r="H226" s="3"/>
      <c r="I226" s="31"/>
      <c r="J226" s="235" t="str">
        <f>'WS7 - Impact on Rates'!J160</f>
        <v>.</v>
      </c>
      <c r="K226" s="236" t="str">
        <f>'WS7 - Impact on Rates'!K160</f>
        <v>.</v>
      </c>
      <c r="L226" s="236">
        <f>'WS7 - Impact on Rates'!L160</f>
        <v>0</v>
      </c>
      <c r="M226" s="236">
        <f>'WS7 - Impact on Rates'!M160</f>
        <v>0</v>
      </c>
      <c r="N226" s="236">
        <f>'WS7 - Impact on Rates'!N160</f>
        <v>0</v>
      </c>
      <c r="O226" s="236">
        <f>'WS7 - Impact on Rates'!O160</f>
        <v>0</v>
      </c>
      <c r="P226" s="236">
        <f>'WS7 - Impact on Rates'!P160</f>
        <v>0</v>
      </c>
      <c r="Q226" s="237">
        <f>'WS7 - Impact on Rates'!Q160</f>
        <v>0</v>
      </c>
      <c r="R226" s="3"/>
      <c r="S226" s="3"/>
      <c r="T226" s="31"/>
      <c r="U226" s="3"/>
      <c r="V226" s="151"/>
      <c r="W226" s="151"/>
      <c r="X226" s="151"/>
      <c r="Y226" s="151"/>
      <c r="Z226" s="151"/>
      <c r="AA226" s="151"/>
      <c r="AB226" s="151"/>
      <c r="AC226" s="151"/>
      <c r="AD226" s="151"/>
      <c r="AE226" s="151"/>
      <c r="AF226" s="151"/>
    </row>
    <row r="227" spans="2:32" x14ac:dyDescent="0.2">
      <c r="B227" s="267" t="str">
        <f>'WS7 - Impact on Rates'!B161</f>
        <v>Special rate</v>
      </c>
      <c r="C227" s="207" t="str">
        <f>'WS7 - Impact on Rates'!C161</f>
        <v/>
      </c>
      <c r="D227" s="207" t="str">
        <f>'WS7 - Impact on Rates'!D161</f>
        <v>$ nominal p.a.</v>
      </c>
      <c r="E227" s="54"/>
      <c r="F227" s="3"/>
      <c r="G227" s="3"/>
      <c r="H227" s="3"/>
      <c r="I227" s="31"/>
      <c r="J227" s="235" t="str">
        <f>'WS7 - Impact on Rates'!J161</f>
        <v>.</v>
      </c>
      <c r="K227" s="236" t="str">
        <f>'WS7 - Impact on Rates'!K161</f>
        <v>.</v>
      </c>
      <c r="L227" s="236">
        <f>'WS7 - Impact on Rates'!L161</f>
        <v>0</v>
      </c>
      <c r="M227" s="236">
        <f>'WS7 - Impact on Rates'!M161</f>
        <v>0</v>
      </c>
      <c r="N227" s="236">
        <f>'WS7 - Impact on Rates'!N161</f>
        <v>0</v>
      </c>
      <c r="O227" s="236">
        <f>'WS7 - Impact on Rates'!O161</f>
        <v>0</v>
      </c>
      <c r="P227" s="236">
        <f>'WS7 - Impact on Rates'!P161</f>
        <v>0</v>
      </c>
      <c r="Q227" s="237">
        <f>'WS7 - Impact on Rates'!Q161</f>
        <v>0</v>
      </c>
      <c r="R227" s="3"/>
      <c r="S227" s="3"/>
      <c r="T227" s="31"/>
      <c r="U227" s="3"/>
      <c r="V227" s="151"/>
      <c r="W227" s="151"/>
      <c r="X227" s="151"/>
      <c r="Y227" s="151"/>
      <c r="Z227" s="151"/>
      <c r="AA227" s="151"/>
      <c r="AB227" s="151"/>
      <c r="AC227" s="151"/>
      <c r="AD227" s="151"/>
      <c r="AE227" s="151"/>
      <c r="AF227" s="151"/>
    </row>
    <row r="228" spans="2:32" outlineLevel="1" x14ac:dyDescent="0.2">
      <c r="B228" s="267" t="str">
        <f>'WS7 - Impact on Rates'!B162</f>
        <v>Special rate</v>
      </c>
      <c r="C228" s="207" t="str">
        <f>'WS7 - Impact on Rates'!C162</f>
        <v/>
      </c>
      <c r="D228" s="207" t="str">
        <f>'WS7 - Impact on Rates'!D162</f>
        <v>$ nominal p.a.</v>
      </c>
      <c r="E228" s="54"/>
      <c r="F228" s="3"/>
      <c r="G228" s="3"/>
      <c r="H228" s="3"/>
      <c r="I228" s="31"/>
      <c r="J228" s="235" t="str">
        <f>'WS7 - Impact on Rates'!J162</f>
        <v>.</v>
      </c>
      <c r="K228" s="236" t="str">
        <f>'WS7 - Impact on Rates'!K162</f>
        <v>.</v>
      </c>
      <c r="L228" s="236">
        <f>'WS7 - Impact on Rates'!L162</f>
        <v>0</v>
      </c>
      <c r="M228" s="236">
        <f>'WS7 - Impact on Rates'!M162</f>
        <v>0</v>
      </c>
      <c r="N228" s="236">
        <f>'WS7 - Impact on Rates'!N162</f>
        <v>0</v>
      </c>
      <c r="O228" s="236">
        <f>'WS7 - Impact on Rates'!O162</f>
        <v>0</v>
      </c>
      <c r="P228" s="236">
        <f>'WS7 - Impact on Rates'!P162</f>
        <v>0</v>
      </c>
      <c r="Q228" s="237">
        <f>'WS7 - Impact on Rates'!Q162</f>
        <v>0</v>
      </c>
      <c r="R228" s="3"/>
      <c r="S228" s="3"/>
      <c r="T228" s="31"/>
      <c r="U228" s="3"/>
      <c r="V228" s="151"/>
      <c r="W228" s="151"/>
      <c r="X228" s="151"/>
      <c r="Y228" s="151"/>
      <c r="Z228" s="151"/>
      <c r="AA228" s="151"/>
      <c r="AB228" s="151"/>
      <c r="AC228" s="151"/>
      <c r="AD228" s="151"/>
      <c r="AE228" s="151"/>
      <c r="AF228" s="151"/>
    </row>
    <row r="229" spans="2:32" outlineLevel="1" x14ac:dyDescent="0.2">
      <c r="B229" s="267" t="str">
        <f>'WS7 - Impact on Rates'!B163</f>
        <v>Special rate</v>
      </c>
      <c r="C229" s="207" t="str">
        <f>'WS7 - Impact on Rates'!C163</f>
        <v/>
      </c>
      <c r="D229" s="207" t="str">
        <f>'WS7 - Impact on Rates'!D163</f>
        <v>$ nominal p.a.</v>
      </c>
      <c r="E229" s="54"/>
      <c r="F229" s="3"/>
      <c r="G229" s="3"/>
      <c r="H229" s="3"/>
      <c r="I229" s="31"/>
      <c r="J229" s="235" t="str">
        <f>'WS7 - Impact on Rates'!J163</f>
        <v>.</v>
      </c>
      <c r="K229" s="236" t="str">
        <f>'WS7 - Impact on Rates'!K163</f>
        <v>.</v>
      </c>
      <c r="L229" s="236">
        <f>'WS7 - Impact on Rates'!L163</f>
        <v>0</v>
      </c>
      <c r="M229" s="236">
        <f>'WS7 - Impact on Rates'!M163</f>
        <v>0</v>
      </c>
      <c r="N229" s="236">
        <f>'WS7 - Impact on Rates'!N163</f>
        <v>0</v>
      </c>
      <c r="O229" s="236">
        <f>'WS7 - Impact on Rates'!O163</f>
        <v>0</v>
      </c>
      <c r="P229" s="236">
        <f>'WS7 - Impact on Rates'!P163</f>
        <v>0</v>
      </c>
      <c r="Q229" s="237">
        <f>'WS7 - Impact on Rates'!Q163</f>
        <v>0</v>
      </c>
      <c r="R229" s="3"/>
      <c r="S229" s="3"/>
      <c r="T229" s="31"/>
      <c r="U229" s="3"/>
      <c r="V229" s="151"/>
      <c r="W229" s="151"/>
      <c r="X229" s="151"/>
      <c r="Y229" s="151"/>
      <c r="Z229" s="151"/>
      <c r="AA229" s="151"/>
      <c r="AB229" s="151"/>
      <c r="AC229" s="151"/>
      <c r="AD229" s="151"/>
      <c r="AE229" s="151"/>
      <c r="AF229" s="151"/>
    </row>
    <row r="230" spans="2:32" outlineLevel="1" x14ac:dyDescent="0.2">
      <c r="B230" s="267" t="str">
        <f>'WS7 - Impact on Rates'!B164</f>
        <v>Special rate</v>
      </c>
      <c r="C230" s="207" t="str">
        <f>'WS7 - Impact on Rates'!C164</f>
        <v/>
      </c>
      <c r="D230" s="207" t="str">
        <f>'WS7 - Impact on Rates'!D164</f>
        <v>$ nominal p.a.</v>
      </c>
      <c r="E230" s="54"/>
      <c r="F230" s="3"/>
      <c r="G230" s="3"/>
      <c r="H230" s="3"/>
      <c r="I230" s="31"/>
      <c r="J230" s="235" t="str">
        <f>'WS7 - Impact on Rates'!J164</f>
        <v>.</v>
      </c>
      <c r="K230" s="236" t="str">
        <f>'WS7 - Impact on Rates'!K164</f>
        <v>.</v>
      </c>
      <c r="L230" s="236">
        <f>'WS7 - Impact on Rates'!L164</f>
        <v>0</v>
      </c>
      <c r="M230" s="236">
        <f>'WS7 - Impact on Rates'!M164</f>
        <v>0</v>
      </c>
      <c r="N230" s="236">
        <f>'WS7 - Impact on Rates'!N164</f>
        <v>0</v>
      </c>
      <c r="O230" s="236">
        <f>'WS7 - Impact on Rates'!O164</f>
        <v>0</v>
      </c>
      <c r="P230" s="236">
        <f>'WS7 - Impact on Rates'!P164</f>
        <v>0</v>
      </c>
      <c r="Q230" s="237">
        <f>'WS7 - Impact on Rates'!Q164</f>
        <v>0</v>
      </c>
      <c r="R230" s="3"/>
      <c r="S230" s="3"/>
      <c r="T230" s="31"/>
      <c r="U230" s="3"/>
      <c r="V230" s="151"/>
      <c r="W230" s="151"/>
      <c r="X230" s="151"/>
      <c r="Y230" s="151"/>
      <c r="Z230" s="151"/>
      <c r="AA230" s="151"/>
      <c r="AB230" s="151"/>
      <c r="AC230" s="151"/>
      <c r="AD230" s="151"/>
      <c r="AE230" s="151"/>
      <c r="AF230" s="151"/>
    </row>
    <row r="231" spans="2:32" outlineLevel="1" x14ac:dyDescent="0.2">
      <c r="B231" s="267" t="str">
        <f>'WS7 - Impact on Rates'!B165</f>
        <v>Special rate</v>
      </c>
      <c r="C231" s="207" t="str">
        <f>'WS7 - Impact on Rates'!C165</f>
        <v/>
      </c>
      <c r="D231" s="207" t="str">
        <f>'WS7 - Impact on Rates'!D165</f>
        <v>$ nominal p.a.</v>
      </c>
      <c r="E231" s="54"/>
      <c r="F231" s="3"/>
      <c r="G231" s="3"/>
      <c r="H231" s="3"/>
      <c r="I231" s="31"/>
      <c r="J231" s="235" t="str">
        <f>'WS7 - Impact on Rates'!J165</f>
        <v>.</v>
      </c>
      <c r="K231" s="236" t="str">
        <f>'WS7 - Impact on Rates'!K165</f>
        <v>.</v>
      </c>
      <c r="L231" s="236">
        <f>'WS7 - Impact on Rates'!L165</f>
        <v>0</v>
      </c>
      <c r="M231" s="236">
        <f>'WS7 - Impact on Rates'!M165</f>
        <v>0</v>
      </c>
      <c r="N231" s="236">
        <f>'WS7 - Impact on Rates'!N165</f>
        <v>0</v>
      </c>
      <c r="O231" s="236">
        <f>'WS7 - Impact on Rates'!O165</f>
        <v>0</v>
      </c>
      <c r="P231" s="236">
        <f>'WS7 - Impact on Rates'!P165</f>
        <v>0</v>
      </c>
      <c r="Q231" s="237">
        <f>'WS7 - Impact on Rates'!Q165</f>
        <v>0</v>
      </c>
      <c r="R231" s="3"/>
      <c r="S231" s="3"/>
      <c r="T231" s="31"/>
      <c r="U231" s="3"/>
      <c r="V231" s="151"/>
      <c r="W231" s="151"/>
      <c r="X231" s="151"/>
      <c r="Y231" s="151"/>
      <c r="Z231" s="151"/>
      <c r="AA231" s="151"/>
      <c r="AB231" s="151"/>
      <c r="AC231" s="151"/>
      <c r="AD231" s="151"/>
      <c r="AE231" s="151"/>
      <c r="AF231" s="151"/>
    </row>
    <row r="232" spans="2:32" outlineLevel="1" x14ac:dyDescent="0.2">
      <c r="B232" s="267" t="str">
        <f>'WS7 - Impact on Rates'!B166</f>
        <v>Special rate</v>
      </c>
      <c r="C232" s="207" t="str">
        <f>'WS7 - Impact on Rates'!C166</f>
        <v/>
      </c>
      <c r="D232" s="207" t="str">
        <f>'WS7 - Impact on Rates'!D166</f>
        <v>$ nominal p.a.</v>
      </c>
      <c r="E232" s="54"/>
      <c r="F232" s="3"/>
      <c r="G232" s="3"/>
      <c r="H232" s="3"/>
      <c r="I232" s="31"/>
      <c r="J232" s="235" t="str">
        <f>'WS7 - Impact on Rates'!J166</f>
        <v>.</v>
      </c>
      <c r="K232" s="236" t="str">
        <f>'WS7 - Impact on Rates'!K166</f>
        <v>.</v>
      </c>
      <c r="L232" s="236">
        <f>'WS7 - Impact on Rates'!L166</f>
        <v>0</v>
      </c>
      <c r="M232" s="236">
        <f>'WS7 - Impact on Rates'!M166</f>
        <v>0</v>
      </c>
      <c r="N232" s="236">
        <f>'WS7 - Impact on Rates'!N166</f>
        <v>0</v>
      </c>
      <c r="O232" s="236">
        <f>'WS7 - Impact on Rates'!O166</f>
        <v>0</v>
      </c>
      <c r="P232" s="236">
        <f>'WS7 - Impact on Rates'!P166</f>
        <v>0</v>
      </c>
      <c r="Q232" s="237">
        <f>'WS7 - Impact on Rates'!Q166</f>
        <v>0</v>
      </c>
      <c r="R232" s="3"/>
      <c r="S232" s="3"/>
      <c r="T232" s="31"/>
      <c r="U232" s="3"/>
      <c r="V232" s="151"/>
      <c r="W232" s="151"/>
      <c r="X232" s="151"/>
      <c r="Y232" s="151"/>
      <c r="Z232" s="151"/>
      <c r="AA232" s="151"/>
      <c r="AB232" s="151"/>
      <c r="AC232" s="151"/>
      <c r="AD232" s="151"/>
      <c r="AE232" s="151"/>
      <c r="AF232" s="151"/>
    </row>
    <row r="233" spans="2:32" outlineLevel="1" x14ac:dyDescent="0.2">
      <c r="B233" s="267" t="str">
        <f>'WS7 - Impact on Rates'!B167</f>
        <v>Special rate</v>
      </c>
      <c r="C233" s="207" t="str">
        <f>'WS7 - Impact on Rates'!C167</f>
        <v/>
      </c>
      <c r="D233" s="207" t="str">
        <f>'WS7 - Impact on Rates'!D167</f>
        <v>$ nominal p.a.</v>
      </c>
      <c r="E233" s="54"/>
      <c r="F233" s="3"/>
      <c r="G233" s="3"/>
      <c r="H233" s="3"/>
      <c r="I233" s="31"/>
      <c r="J233" s="235" t="str">
        <f>'WS7 - Impact on Rates'!J167</f>
        <v>.</v>
      </c>
      <c r="K233" s="236" t="str">
        <f>'WS7 - Impact on Rates'!K167</f>
        <v>.</v>
      </c>
      <c r="L233" s="236">
        <f>'WS7 - Impact on Rates'!L167</f>
        <v>0</v>
      </c>
      <c r="M233" s="236">
        <f>'WS7 - Impact on Rates'!M167</f>
        <v>0</v>
      </c>
      <c r="N233" s="236">
        <f>'WS7 - Impact on Rates'!N167</f>
        <v>0</v>
      </c>
      <c r="O233" s="236">
        <f>'WS7 - Impact on Rates'!O167</f>
        <v>0</v>
      </c>
      <c r="P233" s="236">
        <f>'WS7 - Impact on Rates'!P167</f>
        <v>0</v>
      </c>
      <c r="Q233" s="237">
        <f>'WS7 - Impact on Rates'!Q167</f>
        <v>0</v>
      </c>
      <c r="R233" s="3"/>
      <c r="S233" s="3"/>
      <c r="T233" s="31"/>
      <c r="U233" s="3"/>
      <c r="V233" s="151"/>
      <c r="W233" s="151"/>
      <c r="X233" s="151"/>
      <c r="Y233" s="151"/>
      <c r="Z233" s="151"/>
      <c r="AA233" s="151"/>
      <c r="AB233" s="151"/>
      <c r="AC233" s="151"/>
      <c r="AD233" s="151"/>
      <c r="AE233" s="151"/>
      <c r="AF233" s="151"/>
    </row>
    <row r="234" spans="2:32" outlineLevel="1" x14ac:dyDescent="0.2">
      <c r="B234" s="267" t="str">
        <f>'WS7 - Impact on Rates'!B168</f>
        <v>Special rate</v>
      </c>
      <c r="C234" s="207" t="str">
        <f>'WS7 - Impact on Rates'!C168</f>
        <v/>
      </c>
      <c r="D234" s="207" t="str">
        <f>'WS7 - Impact on Rates'!D168</f>
        <v>$ nominal p.a.</v>
      </c>
      <c r="E234" s="54"/>
      <c r="F234" s="3"/>
      <c r="G234" s="3"/>
      <c r="H234" s="3"/>
      <c r="I234" s="31"/>
      <c r="J234" s="235" t="str">
        <f>'WS7 - Impact on Rates'!J168</f>
        <v>.</v>
      </c>
      <c r="K234" s="236" t="str">
        <f>'WS7 - Impact on Rates'!K168</f>
        <v>.</v>
      </c>
      <c r="L234" s="236">
        <f>'WS7 - Impact on Rates'!L168</f>
        <v>0</v>
      </c>
      <c r="M234" s="236">
        <f>'WS7 - Impact on Rates'!M168</f>
        <v>0</v>
      </c>
      <c r="N234" s="236">
        <f>'WS7 - Impact on Rates'!N168</f>
        <v>0</v>
      </c>
      <c r="O234" s="236">
        <f>'WS7 - Impact on Rates'!O168</f>
        <v>0</v>
      </c>
      <c r="P234" s="236">
        <f>'WS7 - Impact on Rates'!P168</f>
        <v>0</v>
      </c>
      <c r="Q234" s="237">
        <f>'WS7 - Impact on Rates'!Q168</f>
        <v>0</v>
      </c>
      <c r="R234" s="3"/>
      <c r="S234" s="3"/>
      <c r="T234" s="31"/>
      <c r="U234" s="3"/>
      <c r="V234" s="151"/>
      <c r="W234" s="151"/>
      <c r="X234" s="151"/>
      <c r="Y234" s="151"/>
      <c r="Z234" s="151"/>
      <c r="AA234" s="151"/>
      <c r="AB234" s="151"/>
      <c r="AC234" s="151"/>
      <c r="AD234" s="151"/>
      <c r="AE234" s="151"/>
      <c r="AF234" s="151"/>
    </row>
    <row r="235" spans="2:32" outlineLevel="1" x14ac:dyDescent="0.2">
      <c r="B235" s="267" t="str">
        <f>'WS7 - Impact on Rates'!B169</f>
        <v>Special rate</v>
      </c>
      <c r="C235" s="207" t="str">
        <f>'WS7 - Impact on Rates'!C169</f>
        <v/>
      </c>
      <c r="D235" s="207" t="str">
        <f>'WS7 - Impact on Rates'!D169</f>
        <v>$ nominal p.a.</v>
      </c>
      <c r="E235" s="54"/>
      <c r="F235" s="3"/>
      <c r="G235" s="3"/>
      <c r="H235" s="3"/>
      <c r="I235" s="31"/>
      <c r="J235" s="235" t="str">
        <f>'WS7 - Impact on Rates'!J169</f>
        <v>.</v>
      </c>
      <c r="K235" s="236" t="str">
        <f>'WS7 - Impact on Rates'!K169</f>
        <v>.</v>
      </c>
      <c r="L235" s="236">
        <f>'WS7 - Impact on Rates'!L169</f>
        <v>0</v>
      </c>
      <c r="M235" s="236">
        <f>'WS7 - Impact on Rates'!M169</f>
        <v>0</v>
      </c>
      <c r="N235" s="236">
        <f>'WS7 - Impact on Rates'!N169</f>
        <v>0</v>
      </c>
      <c r="O235" s="236">
        <f>'WS7 - Impact on Rates'!O169</f>
        <v>0</v>
      </c>
      <c r="P235" s="236">
        <f>'WS7 - Impact on Rates'!P169</f>
        <v>0</v>
      </c>
      <c r="Q235" s="237">
        <f>'WS7 - Impact on Rates'!Q169</f>
        <v>0</v>
      </c>
      <c r="R235" s="3"/>
      <c r="S235" s="3"/>
      <c r="T235" s="31"/>
      <c r="U235" s="3"/>
      <c r="V235" s="151"/>
      <c r="W235" s="151"/>
      <c r="X235" s="151"/>
      <c r="Y235" s="151"/>
      <c r="Z235" s="151"/>
      <c r="AA235" s="151"/>
      <c r="AB235" s="151"/>
      <c r="AC235" s="151"/>
      <c r="AD235" s="151"/>
      <c r="AE235" s="151"/>
      <c r="AF235" s="151"/>
    </row>
    <row r="236" spans="2:32" outlineLevel="1" x14ac:dyDescent="0.2">
      <c r="B236" s="267" t="str">
        <f>'WS7 - Impact on Rates'!B170</f>
        <v>Special rate</v>
      </c>
      <c r="C236" s="207" t="str">
        <f>'WS7 - Impact on Rates'!C170</f>
        <v/>
      </c>
      <c r="D236" s="207" t="str">
        <f>'WS7 - Impact on Rates'!D170</f>
        <v>$ nominal p.a.</v>
      </c>
      <c r="E236" s="54"/>
      <c r="F236" s="3"/>
      <c r="G236" s="3"/>
      <c r="H236" s="3"/>
      <c r="I236" s="31"/>
      <c r="J236" s="235" t="str">
        <f>'WS7 - Impact on Rates'!J170</f>
        <v>.</v>
      </c>
      <c r="K236" s="236" t="str">
        <f>'WS7 - Impact on Rates'!K170</f>
        <v>.</v>
      </c>
      <c r="L236" s="236">
        <f>'WS7 - Impact on Rates'!L170</f>
        <v>0</v>
      </c>
      <c r="M236" s="236">
        <f>'WS7 - Impact on Rates'!M170</f>
        <v>0</v>
      </c>
      <c r="N236" s="236">
        <f>'WS7 - Impact on Rates'!N170</f>
        <v>0</v>
      </c>
      <c r="O236" s="236">
        <f>'WS7 - Impact on Rates'!O170</f>
        <v>0</v>
      </c>
      <c r="P236" s="236">
        <f>'WS7 - Impact on Rates'!P170</f>
        <v>0</v>
      </c>
      <c r="Q236" s="237">
        <f>'WS7 - Impact on Rates'!Q170</f>
        <v>0</v>
      </c>
      <c r="R236" s="3"/>
      <c r="S236" s="3"/>
      <c r="T236" s="31"/>
      <c r="U236" s="3"/>
      <c r="V236" s="151"/>
      <c r="W236" s="151"/>
      <c r="X236" s="151"/>
      <c r="Y236" s="151"/>
      <c r="Z236" s="151"/>
      <c r="AA236" s="151"/>
      <c r="AB236" s="151"/>
      <c r="AC236" s="151"/>
      <c r="AD236" s="151"/>
      <c r="AE236" s="151"/>
      <c r="AF236" s="151"/>
    </row>
    <row r="237" spans="2:32" outlineLevel="1" x14ac:dyDescent="0.2">
      <c r="B237" s="267" t="str">
        <f>'WS7 - Impact on Rates'!B171</f>
        <v>Special rate</v>
      </c>
      <c r="C237" s="207" t="str">
        <f>'WS7 - Impact on Rates'!C171</f>
        <v/>
      </c>
      <c r="D237" s="207" t="str">
        <f>'WS7 - Impact on Rates'!D171</f>
        <v>$ nominal p.a.</v>
      </c>
      <c r="E237" s="54"/>
      <c r="F237" s="3"/>
      <c r="G237" s="3"/>
      <c r="H237" s="3"/>
      <c r="I237" s="31"/>
      <c r="J237" s="235" t="str">
        <f>'WS7 - Impact on Rates'!J171</f>
        <v>.</v>
      </c>
      <c r="K237" s="236" t="str">
        <f>'WS7 - Impact on Rates'!K171</f>
        <v>.</v>
      </c>
      <c r="L237" s="236">
        <f>'WS7 - Impact on Rates'!L171</f>
        <v>0</v>
      </c>
      <c r="M237" s="236">
        <f>'WS7 - Impact on Rates'!M171</f>
        <v>0</v>
      </c>
      <c r="N237" s="236">
        <f>'WS7 - Impact on Rates'!N171</f>
        <v>0</v>
      </c>
      <c r="O237" s="236">
        <f>'WS7 - Impact on Rates'!O171</f>
        <v>0</v>
      </c>
      <c r="P237" s="236">
        <f>'WS7 - Impact on Rates'!P171</f>
        <v>0</v>
      </c>
      <c r="Q237" s="237">
        <f>'WS7 - Impact on Rates'!Q171</f>
        <v>0</v>
      </c>
      <c r="R237" s="3"/>
      <c r="S237" s="3"/>
      <c r="T237" s="31"/>
      <c r="U237" s="3"/>
      <c r="V237" s="151"/>
      <c r="W237" s="151"/>
      <c r="X237" s="151"/>
      <c r="Y237" s="151"/>
      <c r="Z237" s="151"/>
      <c r="AA237" s="151"/>
      <c r="AB237" s="151"/>
      <c r="AC237" s="151"/>
      <c r="AD237" s="151"/>
      <c r="AE237" s="151"/>
      <c r="AF237" s="151"/>
    </row>
    <row r="238" spans="2:32" outlineLevel="1" x14ac:dyDescent="0.2">
      <c r="B238" s="267" t="str">
        <f>'WS7 - Impact on Rates'!B172</f>
        <v>Special rate</v>
      </c>
      <c r="C238" s="207" t="str">
        <f>'WS7 - Impact on Rates'!C172</f>
        <v/>
      </c>
      <c r="D238" s="207" t="str">
        <f>'WS7 - Impact on Rates'!D172</f>
        <v>$ nominal p.a.</v>
      </c>
      <c r="E238" s="54"/>
      <c r="F238" s="3"/>
      <c r="G238" s="3"/>
      <c r="H238" s="3"/>
      <c r="I238" s="31"/>
      <c r="J238" s="235" t="str">
        <f>'WS7 - Impact on Rates'!J172</f>
        <v>.</v>
      </c>
      <c r="K238" s="236" t="str">
        <f>'WS7 - Impact on Rates'!K172</f>
        <v>.</v>
      </c>
      <c r="L238" s="236">
        <f>'WS7 - Impact on Rates'!L172</f>
        <v>0</v>
      </c>
      <c r="M238" s="236">
        <f>'WS7 - Impact on Rates'!M172</f>
        <v>0</v>
      </c>
      <c r="N238" s="236">
        <f>'WS7 - Impact on Rates'!N172</f>
        <v>0</v>
      </c>
      <c r="O238" s="236">
        <f>'WS7 - Impact on Rates'!O172</f>
        <v>0</v>
      </c>
      <c r="P238" s="236">
        <f>'WS7 - Impact on Rates'!P172</f>
        <v>0</v>
      </c>
      <c r="Q238" s="237">
        <f>'WS7 - Impact on Rates'!Q172</f>
        <v>0</v>
      </c>
      <c r="R238" s="3"/>
      <c r="S238" s="3"/>
      <c r="T238" s="31"/>
      <c r="U238" s="3"/>
      <c r="V238" s="151"/>
      <c r="W238" s="151"/>
      <c r="X238" s="151"/>
      <c r="Y238" s="151"/>
      <c r="Z238" s="151"/>
      <c r="AA238" s="151"/>
      <c r="AB238" s="151"/>
      <c r="AC238" s="151"/>
      <c r="AD238" s="151"/>
      <c r="AE238" s="151"/>
      <c r="AF238" s="151"/>
    </row>
    <row r="239" spans="2:32" outlineLevel="1" x14ac:dyDescent="0.2">
      <c r="B239" s="267" t="str">
        <f>'WS7 - Impact on Rates'!B173</f>
        <v>Special rate</v>
      </c>
      <c r="C239" s="207" t="str">
        <f>'WS7 - Impact on Rates'!C173</f>
        <v/>
      </c>
      <c r="D239" s="207" t="str">
        <f>'WS7 - Impact on Rates'!D173</f>
        <v>$ nominal p.a.</v>
      </c>
      <c r="E239" s="54"/>
      <c r="F239" s="3"/>
      <c r="G239" s="3"/>
      <c r="H239" s="3"/>
      <c r="I239" s="31"/>
      <c r="J239" s="235" t="str">
        <f>'WS7 - Impact on Rates'!J173</f>
        <v>.</v>
      </c>
      <c r="K239" s="236" t="str">
        <f>'WS7 - Impact on Rates'!K173</f>
        <v>.</v>
      </c>
      <c r="L239" s="236">
        <f>'WS7 - Impact on Rates'!L173</f>
        <v>0</v>
      </c>
      <c r="M239" s="236">
        <f>'WS7 - Impact on Rates'!M173</f>
        <v>0</v>
      </c>
      <c r="N239" s="236">
        <f>'WS7 - Impact on Rates'!N173</f>
        <v>0</v>
      </c>
      <c r="O239" s="236">
        <f>'WS7 - Impact on Rates'!O173</f>
        <v>0</v>
      </c>
      <c r="P239" s="236">
        <f>'WS7 - Impact on Rates'!P173</f>
        <v>0</v>
      </c>
      <c r="Q239" s="237">
        <f>'WS7 - Impact on Rates'!Q173</f>
        <v>0</v>
      </c>
      <c r="R239" s="3"/>
      <c r="S239" s="3"/>
      <c r="T239" s="31"/>
      <c r="U239" s="3"/>
      <c r="V239" s="151"/>
      <c r="W239" s="151"/>
      <c r="X239" s="151"/>
      <c r="Y239" s="151"/>
      <c r="Z239" s="151"/>
      <c r="AA239" s="151"/>
      <c r="AB239" s="151"/>
      <c r="AC239" s="151"/>
      <c r="AD239" s="151"/>
      <c r="AE239" s="151"/>
      <c r="AF239" s="151"/>
    </row>
    <row r="240" spans="2:32" outlineLevel="1" x14ac:dyDescent="0.2">
      <c r="B240" s="267" t="str">
        <f>'WS7 - Impact on Rates'!B174</f>
        <v>Special rate</v>
      </c>
      <c r="C240" s="207" t="str">
        <f>'WS7 - Impact on Rates'!C174</f>
        <v/>
      </c>
      <c r="D240" s="207" t="str">
        <f>'WS7 - Impact on Rates'!D174</f>
        <v>$ nominal p.a.</v>
      </c>
      <c r="E240" s="54"/>
      <c r="F240" s="3"/>
      <c r="G240" s="3"/>
      <c r="H240" s="3"/>
      <c r="I240" s="31"/>
      <c r="J240" s="235" t="str">
        <f>'WS7 - Impact on Rates'!J174</f>
        <v>.</v>
      </c>
      <c r="K240" s="236" t="str">
        <f>'WS7 - Impact on Rates'!K174</f>
        <v>.</v>
      </c>
      <c r="L240" s="236">
        <f>'WS7 - Impact on Rates'!L174</f>
        <v>0</v>
      </c>
      <c r="M240" s="236">
        <f>'WS7 - Impact on Rates'!M174</f>
        <v>0</v>
      </c>
      <c r="N240" s="236">
        <f>'WS7 - Impact on Rates'!N174</f>
        <v>0</v>
      </c>
      <c r="O240" s="236">
        <f>'WS7 - Impact on Rates'!O174</f>
        <v>0</v>
      </c>
      <c r="P240" s="236">
        <f>'WS7 - Impact on Rates'!P174</f>
        <v>0</v>
      </c>
      <c r="Q240" s="237">
        <f>'WS7 - Impact on Rates'!Q174</f>
        <v>0</v>
      </c>
      <c r="R240" s="3"/>
      <c r="S240" s="3"/>
      <c r="T240" s="31"/>
      <c r="U240" s="3"/>
      <c r="V240" s="151"/>
      <c r="W240" s="151"/>
      <c r="X240" s="151"/>
      <c r="Y240" s="151"/>
      <c r="Z240" s="151"/>
      <c r="AA240" s="151"/>
      <c r="AB240" s="151"/>
      <c r="AC240" s="151"/>
      <c r="AD240" s="151"/>
      <c r="AE240" s="151"/>
      <c r="AF240" s="151"/>
    </row>
    <row r="241" spans="2:32" outlineLevel="1" x14ac:dyDescent="0.2">
      <c r="B241" s="267" t="str">
        <f>'WS7 - Impact on Rates'!B175</f>
        <v>Special rate</v>
      </c>
      <c r="C241" s="207" t="str">
        <f>'WS7 - Impact on Rates'!C175</f>
        <v/>
      </c>
      <c r="D241" s="207" t="str">
        <f>'WS7 - Impact on Rates'!D175</f>
        <v>$ nominal p.a.</v>
      </c>
      <c r="E241" s="54"/>
      <c r="F241" s="3"/>
      <c r="G241" s="3"/>
      <c r="H241" s="3"/>
      <c r="I241" s="31"/>
      <c r="J241" s="235" t="str">
        <f>'WS7 - Impact on Rates'!J175</f>
        <v>.</v>
      </c>
      <c r="K241" s="236" t="str">
        <f>'WS7 - Impact on Rates'!K175</f>
        <v>.</v>
      </c>
      <c r="L241" s="236">
        <f>'WS7 - Impact on Rates'!L175</f>
        <v>0</v>
      </c>
      <c r="M241" s="236">
        <f>'WS7 - Impact on Rates'!M175</f>
        <v>0</v>
      </c>
      <c r="N241" s="236">
        <f>'WS7 - Impact on Rates'!N175</f>
        <v>0</v>
      </c>
      <c r="O241" s="236">
        <f>'WS7 - Impact on Rates'!O175</f>
        <v>0</v>
      </c>
      <c r="P241" s="236">
        <f>'WS7 - Impact on Rates'!P175</f>
        <v>0</v>
      </c>
      <c r="Q241" s="237">
        <f>'WS7 - Impact on Rates'!Q175</f>
        <v>0</v>
      </c>
      <c r="R241" s="3"/>
      <c r="S241" s="3"/>
      <c r="T241" s="31"/>
      <c r="U241" s="3"/>
      <c r="V241" s="151"/>
      <c r="W241" s="151"/>
      <c r="X241" s="151"/>
      <c r="Y241" s="151"/>
      <c r="Z241" s="151"/>
      <c r="AA241" s="151"/>
      <c r="AB241" s="151"/>
      <c r="AC241" s="151"/>
      <c r="AD241" s="151"/>
      <c r="AE241" s="151"/>
      <c r="AF241" s="151"/>
    </row>
    <row r="242" spans="2:32" ht="12.75" outlineLevel="1" thickBot="1" x14ac:dyDescent="0.25">
      <c r="B242" s="267" t="str">
        <f>'WS7 - Impact on Rates'!B176</f>
        <v>Special rate</v>
      </c>
      <c r="C242" s="207" t="str">
        <f>'WS7 - Impact on Rates'!C176</f>
        <v/>
      </c>
      <c r="D242" s="207" t="str">
        <f>'WS7 - Impact on Rates'!D176</f>
        <v>$ nominal p.a.</v>
      </c>
      <c r="E242" s="54"/>
      <c r="F242" s="3"/>
      <c r="G242" s="3"/>
      <c r="H242" s="3"/>
      <c r="I242" s="31"/>
      <c r="J242" s="235" t="str">
        <f>'WS7 - Impact on Rates'!J176</f>
        <v>.</v>
      </c>
      <c r="K242" s="236" t="str">
        <f>'WS7 - Impact on Rates'!K176</f>
        <v>.</v>
      </c>
      <c r="L242" s="236">
        <f>'WS7 - Impact on Rates'!L176</f>
        <v>0</v>
      </c>
      <c r="M242" s="236">
        <f>'WS7 - Impact on Rates'!M176</f>
        <v>0</v>
      </c>
      <c r="N242" s="236">
        <f>'WS7 - Impact on Rates'!N176</f>
        <v>0</v>
      </c>
      <c r="O242" s="236">
        <f>'WS7 - Impact on Rates'!O176</f>
        <v>0</v>
      </c>
      <c r="P242" s="236">
        <f>'WS7 - Impact on Rates'!P176</f>
        <v>0</v>
      </c>
      <c r="Q242" s="237">
        <f>'WS7 - Impact on Rates'!Q176</f>
        <v>0</v>
      </c>
      <c r="R242" s="3"/>
      <c r="S242" s="3"/>
      <c r="T242" s="31"/>
      <c r="U242" s="3"/>
      <c r="V242" s="151"/>
      <c r="W242" s="151"/>
      <c r="X242" s="151"/>
      <c r="Y242" s="151"/>
      <c r="Z242" s="151"/>
      <c r="AA242" s="151"/>
      <c r="AB242" s="151"/>
      <c r="AC242" s="151"/>
      <c r="AD242" s="151"/>
      <c r="AE242" s="151"/>
      <c r="AF242" s="151"/>
    </row>
    <row r="243" spans="2:32" ht="13.5" thickTop="1" thickBot="1" x14ac:dyDescent="0.25">
      <c r="B243" s="332" t="str">
        <f>B213</f>
        <v>Business</v>
      </c>
      <c r="C243" s="207" t="str">
        <f>'WS7 - Impact on Rates'!C177</f>
        <v>TOTAL AVERAGE</v>
      </c>
      <c r="D243" s="207"/>
      <c r="E243" s="54"/>
      <c r="F243" s="3"/>
      <c r="G243" s="3"/>
      <c r="H243" s="3"/>
      <c r="I243" s="31"/>
      <c r="J243" s="235">
        <f>'WS7 - Impact on Rates'!J177</f>
        <v>7374.7837216628586</v>
      </c>
      <c r="K243" s="236">
        <f>'WS7 - Impact on Rates'!K177</f>
        <v>8481.0012799122869</v>
      </c>
      <c r="L243" s="236">
        <f>'WS7 - Impact on Rates'!L177</f>
        <v>8735.4313183096565</v>
      </c>
      <c r="M243" s="236">
        <f>'WS7 - Impact on Rates'!M177</f>
        <v>8997.4942578589453</v>
      </c>
      <c r="N243" s="236">
        <f>'WS7 - Impact on Rates'!N177</f>
        <v>9267.4190855947145</v>
      </c>
      <c r="O243" s="236">
        <f>'WS7 - Impact on Rates'!O177</f>
        <v>9545.4416581625555</v>
      </c>
      <c r="P243" s="236">
        <f>'WS7 - Impact on Rates'!P177</f>
        <v>9831.8049079074335</v>
      </c>
      <c r="Q243" s="237">
        <f>'WS7 - Impact on Rates'!Q177</f>
        <v>10126.759055144657</v>
      </c>
      <c r="R243" s="3"/>
      <c r="S243" s="3"/>
      <c r="T243" s="31"/>
      <c r="U243" s="3"/>
      <c r="V243" s="151"/>
      <c r="W243" s="151"/>
      <c r="X243" s="151"/>
      <c r="Y243" s="151"/>
      <c r="Z243" s="151"/>
      <c r="AA243" s="151"/>
      <c r="AB243" s="151"/>
      <c r="AC243" s="151"/>
      <c r="AD243" s="151"/>
      <c r="AE243" s="151"/>
      <c r="AF243" s="151"/>
    </row>
    <row r="244" spans="2:32" ht="12.75" thickTop="1" x14ac:dyDescent="0.2">
      <c r="B244" s="267" t="str">
        <f>'WS7 - Impact on Rates'!B178</f>
        <v>Farmland</v>
      </c>
      <c r="C244" s="207" t="str">
        <f>'WS7 - Impact on Rates'!C178</f>
        <v>Farmland</v>
      </c>
      <c r="D244" s="207" t="str">
        <f>'WS7 - Impact on Rates'!D178</f>
        <v>$ nominal p.a.</v>
      </c>
      <c r="E244" s="54"/>
      <c r="F244" s="3"/>
      <c r="G244" s="3"/>
      <c r="H244" s="3"/>
      <c r="I244" s="31"/>
      <c r="J244" s="235" t="str">
        <f>'WS7 - Impact on Rates'!J178</f>
        <v>.</v>
      </c>
      <c r="K244" s="236" t="str">
        <f>'WS7 - Impact on Rates'!K178</f>
        <v>.</v>
      </c>
      <c r="L244" s="236">
        <f>'WS7 - Impact on Rates'!L178</f>
        <v>0</v>
      </c>
      <c r="M244" s="236">
        <f>'WS7 - Impact on Rates'!M178</f>
        <v>0</v>
      </c>
      <c r="N244" s="236">
        <f>'WS7 - Impact on Rates'!N178</f>
        <v>0</v>
      </c>
      <c r="O244" s="236">
        <f>'WS7 - Impact on Rates'!O178</f>
        <v>0</v>
      </c>
      <c r="P244" s="236">
        <f>'WS7 - Impact on Rates'!P178</f>
        <v>0</v>
      </c>
      <c r="Q244" s="237">
        <f>'WS7 - Impact on Rates'!Q178</f>
        <v>0</v>
      </c>
      <c r="R244" s="3"/>
      <c r="S244" s="3"/>
      <c r="T244" s="31"/>
      <c r="U244" s="3"/>
      <c r="V244" s="151"/>
      <c r="W244" s="151"/>
      <c r="X244" s="151"/>
      <c r="Y244" s="151"/>
      <c r="Z244" s="151"/>
      <c r="AA244" s="151"/>
      <c r="AB244" s="151"/>
      <c r="AC244" s="151"/>
      <c r="AD244" s="151"/>
      <c r="AE244" s="151"/>
      <c r="AF244" s="151"/>
    </row>
    <row r="245" spans="2:32" x14ac:dyDescent="0.2">
      <c r="B245" s="267" t="str">
        <f>'WS7 - Impact on Rates'!B179</f>
        <v>Farmland</v>
      </c>
      <c r="C245" s="207" t="str">
        <f>'WS7 - Impact on Rates'!C179</f>
        <v/>
      </c>
      <c r="D245" s="207" t="str">
        <f>'WS7 - Impact on Rates'!D179</f>
        <v>$ nominal p.a.</v>
      </c>
      <c r="E245" s="54"/>
      <c r="F245" s="3"/>
      <c r="G245" s="3"/>
      <c r="H245" s="3"/>
      <c r="I245" s="31"/>
      <c r="J245" s="235" t="str">
        <f>'WS7 - Impact on Rates'!J179</f>
        <v>.</v>
      </c>
      <c r="K245" s="236" t="str">
        <f>'WS7 - Impact on Rates'!K179</f>
        <v>.</v>
      </c>
      <c r="L245" s="236">
        <f>'WS7 - Impact on Rates'!L179</f>
        <v>0</v>
      </c>
      <c r="M245" s="236">
        <f>'WS7 - Impact on Rates'!M179</f>
        <v>0</v>
      </c>
      <c r="N245" s="236">
        <f>'WS7 - Impact on Rates'!N179</f>
        <v>0</v>
      </c>
      <c r="O245" s="236">
        <f>'WS7 - Impact on Rates'!O179</f>
        <v>0</v>
      </c>
      <c r="P245" s="236">
        <f>'WS7 - Impact on Rates'!P179</f>
        <v>0</v>
      </c>
      <c r="Q245" s="237">
        <f>'WS7 - Impact on Rates'!Q179</f>
        <v>0</v>
      </c>
      <c r="R245" s="3"/>
      <c r="S245" s="3"/>
      <c r="T245" s="31"/>
      <c r="U245" s="3"/>
      <c r="V245" s="151"/>
      <c r="W245" s="151"/>
      <c r="X245" s="151"/>
      <c r="Y245" s="151"/>
      <c r="Z245" s="151"/>
      <c r="AA245" s="151"/>
      <c r="AB245" s="151"/>
      <c r="AC245" s="151"/>
      <c r="AD245" s="151"/>
      <c r="AE245" s="151"/>
      <c r="AF245" s="151"/>
    </row>
    <row r="246" spans="2:32" x14ac:dyDescent="0.2">
      <c r="B246" s="267" t="str">
        <f>'WS7 - Impact on Rates'!B180</f>
        <v>Farmland</v>
      </c>
      <c r="C246" s="207" t="str">
        <f>'WS7 - Impact on Rates'!C180</f>
        <v/>
      </c>
      <c r="D246" s="207" t="str">
        <f>'WS7 - Impact on Rates'!D180</f>
        <v>$ nominal p.a.</v>
      </c>
      <c r="E246" s="54"/>
      <c r="F246" s="3"/>
      <c r="G246" s="3"/>
      <c r="H246" s="3"/>
      <c r="I246" s="31"/>
      <c r="J246" s="235" t="str">
        <f>'WS7 - Impact on Rates'!J180</f>
        <v>.</v>
      </c>
      <c r="K246" s="236" t="str">
        <f>'WS7 - Impact on Rates'!K180</f>
        <v>.</v>
      </c>
      <c r="L246" s="236">
        <f>'WS7 - Impact on Rates'!L180</f>
        <v>0</v>
      </c>
      <c r="M246" s="236">
        <f>'WS7 - Impact on Rates'!M180</f>
        <v>0</v>
      </c>
      <c r="N246" s="236">
        <f>'WS7 - Impact on Rates'!N180</f>
        <v>0</v>
      </c>
      <c r="O246" s="236">
        <f>'WS7 - Impact on Rates'!O180</f>
        <v>0</v>
      </c>
      <c r="P246" s="236">
        <f>'WS7 - Impact on Rates'!P180</f>
        <v>0</v>
      </c>
      <c r="Q246" s="237">
        <f>'WS7 - Impact on Rates'!Q180</f>
        <v>0</v>
      </c>
      <c r="R246" s="3"/>
      <c r="S246" s="3"/>
      <c r="T246" s="31"/>
      <c r="U246" s="3"/>
      <c r="V246" s="151"/>
      <c r="W246" s="151"/>
      <c r="X246" s="151"/>
      <c r="Y246" s="151"/>
      <c r="Z246" s="151"/>
      <c r="AA246" s="151"/>
      <c r="AB246" s="151"/>
      <c r="AC246" s="151"/>
      <c r="AD246" s="151"/>
      <c r="AE246" s="151"/>
      <c r="AF246" s="151"/>
    </row>
    <row r="247" spans="2:32" outlineLevel="1" x14ac:dyDescent="0.2">
      <c r="B247" s="267" t="str">
        <f>'WS7 - Impact on Rates'!B181</f>
        <v>Farmland</v>
      </c>
      <c r="C247" s="207" t="str">
        <f>'WS7 - Impact on Rates'!C181</f>
        <v/>
      </c>
      <c r="D247" s="207" t="str">
        <f>'WS7 - Impact on Rates'!D181</f>
        <v>$ nominal p.a.</v>
      </c>
      <c r="E247" s="54"/>
      <c r="F247" s="3"/>
      <c r="G247" s="3"/>
      <c r="H247" s="3"/>
      <c r="I247" s="31"/>
      <c r="J247" s="235" t="str">
        <f>'WS7 - Impact on Rates'!J181</f>
        <v>.</v>
      </c>
      <c r="K247" s="236" t="str">
        <f>'WS7 - Impact on Rates'!K181</f>
        <v>.</v>
      </c>
      <c r="L247" s="236">
        <f>'WS7 - Impact on Rates'!L181</f>
        <v>0</v>
      </c>
      <c r="M247" s="236">
        <f>'WS7 - Impact on Rates'!M181</f>
        <v>0</v>
      </c>
      <c r="N247" s="236">
        <f>'WS7 - Impact on Rates'!N181</f>
        <v>0</v>
      </c>
      <c r="O247" s="236">
        <f>'WS7 - Impact on Rates'!O181</f>
        <v>0</v>
      </c>
      <c r="P247" s="236">
        <f>'WS7 - Impact on Rates'!P181</f>
        <v>0</v>
      </c>
      <c r="Q247" s="237">
        <f>'WS7 - Impact on Rates'!Q181</f>
        <v>0</v>
      </c>
      <c r="R247" s="3"/>
      <c r="S247" s="3"/>
      <c r="T247" s="31"/>
      <c r="U247" s="3"/>
      <c r="V247" s="151"/>
      <c r="W247" s="151"/>
      <c r="X247" s="151"/>
      <c r="Y247" s="151"/>
      <c r="Z247" s="151"/>
      <c r="AA247" s="151"/>
      <c r="AB247" s="151"/>
      <c r="AC247" s="151"/>
      <c r="AD247" s="151"/>
      <c r="AE247" s="151"/>
      <c r="AF247" s="151"/>
    </row>
    <row r="248" spans="2:32" outlineLevel="1" x14ac:dyDescent="0.2">
      <c r="B248" s="267" t="str">
        <f>'WS7 - Impact on Rates'!B182</f>
        <v>Farmland</v>
      </c>
      <c r="C248" s="207" t="str">
        <f>'WS7 - Impact on Rates'!C182</f>
        <v/>
      </c>
      <c r="D248" s="207" t="str">
        <f>'WS7 - Impact on Rates'!D182</f>
        <v>$ nominal p.a.</v>
      </c>
      <c r="E248" s="54"/>
      <c r="F248" s="3"/>
      <c r="G248" s="3"/>
      <c r="H248" s="3"/>
      <c r="I248" s="31"/>
      <c r="J248" s="235" t="str">
        <f>'WS7 - Impact on Rates'!J182</f>
        <v>.</v>
      </c>
      <c r="K248" s="236" t="str">
        <f>'WS7 - Impact on Rates'!K182</f>
        <v>.</v>
      </c>
      <c r="L248" s="236">
        <f>'WS7 - Impact on Rates'!L182</f>
        <v>0</v>
      </c>
      <c r="M248" s="236">
        <f>'WS7 - Impact on Rates'!M182</f>
        <v>0</v>
      </c>
      <c r="N248" s="236">
        <f>'WS7 - Impact on Rates'!N182</f>
        <v>0</v>
      </c>
      <c r="O248" s="236">
        <f>'WS7 - Impact on Rates'!O182</f>
        <v>0</v>
      </c>
      <c r="P248" s="236">
        <f>'WS7 - Impact on Rates'!P182</f>
        <v>0</v>
      </c>
      <c r="Q248" s="237">
        <f>'WS7 - Impact on Rates'!Q182</f>
        <v>0</v>
      </c>
      <c r="R248" s="3"/>
      <c r="S248" s="3"/>
      <c r="T248" s="31"/>
      <c r="U248" s="3"/>
      <c r="V248" s="151"/>
      <c r="W248" s="151"/>
      <c r="X248" s="151"/>
      <c r="Y248" s="151"/>
      <c r="Z248" s="151"/>
      <c r="AA248" s="151"/>
      <c r="AB248" s="151"/>
      <c r="AC248" s="151"/>
      <c r="AD248" s="151"/>
      <c r="AE248" s="151"/>
      <c r="AF248" s="151"/>
    </row>
    <row r="249" spans="2:32" outlineLevel="1" x14ac:dyDescent="0.2">
      <c r="B249" s="267" t="str">
        <f>'WS7 - Impact on Rates'!B183</f>
        <v>Farmland</v>
      </c>
      <c r="C249" s="207" t="str">
        <f>'WS7 - Impact on Rates'!C183</f>
        <v/>
      </c>
      <c r="D249" s="207" t="str">
        <f>'WS7 - Impact on Rates'!D183</f>
        <v>$ nominal p.a.</v>
      </c>
      <c r="E249" s="54"/>
      <c r="F249" s="3"/>
      <c r="G249" s="3"/>
      <c r="H249" s="3"/>
      <c r="I249" s="31"/>
      <c r="J249" s="235" t="str">
        <f>'WS7 - Impact on Rates'!J183</f>
        <v>.</v>
      </c>
      <c r="K249" s="236" t="str">
        <f>'WS7 - Impact on Rates'!K183</f>
        <v>.</v>
      </c>
      <c r="L249" s="236">
        <f>'WS7 - Impact on Rates'!L183</f>
        <v>0</v>
      </c>
      <c r="M249" s="236">
        <f>'WS7 - Impact on Rates'!M183</f>
        <v>0</v>
      </c>
      <c r="N249" s="236">
        <f>'WS7 - Impact on Rates'!N183</f>
        <v>0</v>
      </c>
      <c r="O249" s="236">
        <f>'WS7 - Impact on Rates'!O183</f>
        <v>0</v>
      </c>
      <c r="P249" s="236">
        <f>'WS7 - Impact on Rates'!P183</f>
        <v>0</v>
      </c>
      <c r="Q249" s="237">
        <f>'WS7 - Impact on Rates'!Q183</f>
        <v>0</v>
      </c>
      <c r="R249" s="3"/>
      <c r="S249" s="3"/>
      <c r="T249" s="31"/>
      <c r="U249" s="3"/>
      <c r="V249" s="151"/>
      <c r="W249" s="151"/>
      <c r="X249" s="151"/>
      <c r="Y249" s="151"/>
      <c r="Z249" s="151"/>
      <c r="AA249" s="151"/>
      <c r="AB249" s="151"/>
      <c r="AC249" s="151"/>
      <c r="AD249" s="151"/>
      <c r="AE249" s="151"/>
      <c r="AF249" s="151"/>
    </row>
    <row r="250" spans="2:32" outlineLevel="1" x14ac:dyDescent="0.2">
      <c r="B250" s="267" t="str">
        <f>'WS7 - Impact on Rates'!B184</f>
        <v>Farmland</v>
      </c>
      <c r="C250" s="207" t="str">
        <f>'WS7 - Impact on Rates'!C184</f>
        <v/>
      </c>
      <c r="D250" s="207" t="str">
        <f>'WS7 - Impact on Rates'!D184</f>
        <v>$ nominal p.a.</v>
      </c>
      <c r="E250" s="54"/>
      <c r="F250" s="3"/>
      <c r="G250" s="3"/>
      <c r="H250" s="3"/>
      <c r="I250" s="31"/>
      <c r="J250" s="235" t="str">
        <f>'WS7 - Impact on Rates'!J184</f>
        <v>.</v>
      </c>
      <c r="K250" s="236" t="str">
        <f>'WS7 - Impact on Rates'!K184</f>
        <v>.</v>
      </c>
      <c r="L250" s="236">
        <f>'WS7 - Impact on Rates'!L184</f>
        <v>0</v>
      </c>
      <c r="M250" s="236">
        <f>'WS7 - Impact on Rates'!M184</f>
        <v>0</v>
      </c>
      <c r="N250" s="236">
        <f>'WS7 - Impact on Rates'!N184</f>
        <v>0</v>
      </c>
      <c r="O250" s="236">
        <f>'WS7 - Impact on Rates'!O184</f>
        <v>0</v>
      </c>
      <c r="P250" s="236">
        <f>'WS7 - Impact on Rates'!P184</f>
        <v>0</v>
      </c>
      <c r="Q250" s="237">
        <f>'WS7 - Impact on Rates'!Q184</f>
        <v>0</v>
      </c>
      <c r="R250" s="3"/>
      <c r="S250" s="3"/>
      <c r="T250" s="31"/>
      <c r="U250" s="3"/>
      <c r="V250" s="151"/>
      <c r="W250" s="151"/>
      <c r="X250" s="151"/>
      <c r="Y250" s="151"/>
      <c r="Z250" s="151"/>
      <c r="AA250" s="151"/>
      <c r="AB250" s="151"/>
      <c r="AC250" s="151"/>
      <c r="AD250" s="151"/>
      <c r="AE250" s="151"/>
      <c r="AF250" s="151"/>
    </row>
    <row r="251" spans="2:32" outlineLevel="1" x14ac:dyDescent="0.2">
      <c r="B251" s="267" t="str">
        <f>'WS7 - Impact on Rates'!B185</f>
        <v>Farmland</v>
      </c>
      <c r="C251" s="207" t="str">
        <f>'WS7 - Impact on Rates'!C185</f>
        <v/>
      </c>
      <c r="D251" s="207" t="str">
        <f>'WS7 - Impact on Rates'!D185</f>
        <v>$ nominal p.a.</v>
      </c>
      <c r="E251" s="54"/>
      <c r="F251" s="3"/>
      <c r="G251" s="3"/>
      <c r="H251" s="3"/>
      <c r="I251" s="31"/>
      <c r="J251" s="235" t="str">
        <f>'WS7 - Impact on Rates'!J185</f>
        <v>.</v>
      </c>
      <c r="K251" s="236" t="str">
        <f>'WS7 - Impact on Rates'!K185</f>
        <v>.</v>
      </c>
      <c r="L251" s="236">
        <f>'WS7 - Impact on Rates'!L185</f>
        <v>0</v>
      </c>
      <c r="M251" s="236">
        <f>'WS7 - Impact on Rates'!M185</f>
        <v>0</v>
      </c>
      <c r="N251" s="236">
        <f>'WS7 - Impact on Rates'!N185</f>
        <v>0</v>
      </c>
      <c r="O251" s="236">
        <f>'WS7 - Impact on Rates'!O185</f>
        <v>0</v>
      </c>
      <c r="P251" s="236">
        <f>'WS7 - Impact on Rates'!P185</f>
        <v>0</v>
      </c>
      <c r="Q251" s="237">
        <f>'WS7 - Impact on Rates'!Q185</f>
        <v>0</v>
      </c>
      <c r="R251" s="3"/>
      <c r="S251" s="3"/>
      <c r="T251" s="31"/>
      <c r="U251" s="3"/>
      <c r="V251" s="151"/>
      <c r="W251" s="151"/>
      <c r="X251" s="151"/>
      <c r="Y251" s="151"/>
      <c r="Z251" s="151"/>
      <c r="AA251" s="151"/>
      <c r="AB251" s="151"/>
      <c r="AC251" s="151"/>
      <c r="AD251" s="151"/>
      <c r="AE251" s="151"/>
      <c r="AF251" s="151"/>
    </row>
    <row r="252" spans="2:32" outlineLevel="1" x14ac:dyDescent="0.2">
      <c r="B252" s="267" t="str">
        <f>'WS7 - Impact on Rates'!B186</f>
        <v>Farmland</v>
      </c>
      <c r="C252" s="207" t="str">
        <f>'WS7 - Impact on Rates'!C186</f>
        <v/>
      </c>
      <c r="D252" s="207" t="str">
        <f>'WS7 - Impact on Rates'!D186</f>
        <v>$ nominal p.a.</v>
      </c>
      <c r="E252" s="54"/>
      <c r="F252" s="3"/>
      <c r="G252" s="3"/>
      <c r="H252" s="3"/>
      <c r="I252" s="31"/>
      <c r="J252" s="235" t="str">
        <f>'WS7 - Impact on Rates'!J186</f>
        <v>.</v>
      </c>
      <c r="K252" s="236" t="str">
        <f>'WS7 - Impact on Rates'!K186</f>
        <v>.</v>
      </c>
      <c r="L252" s="236">
        <f>'WS7 - Impact on Rates'!L186</f>
        <v>0</v>
      </c>
      <c r="M252" s="236">
        <f>'WS7 - Impact on Rates'!M186</f>
        <v>0</v>
      </c>
      <c r="N252" s="236">
        <f>'WS7 - Impact on Rates'!N186</f>
        <v>0</v>
      </c>
      <c r="O252" s="236">
        <f>'WS7 - Impact on Rates'!O186</f>
        <v>0</v>
      </c>
      <c r="P252" s="236">
        <f>'WS7 - Impact on Rates'!P186</f>
        <v>0</v>
      </c>
      <c r="Q252" s="237">
        <f>'WS7 - Impact on Rates'!Q186</f>
        <v>0</v>
      </c>
      <c r="R252" s="3"/>
      <c r="S252" s="3"/>
      <c r="T252" s="31"/>
      <c r="U252" s="3"/>
      <c r="V252" s="151"/>
      <c r="W252" s="151"/>
      <c r="X252" s="151"/>
      <c r="Y252" s="151"/>
      <c r="Z252" s="151"/>
      <c r="AA252" s="151"/>
      <c r="AB252" s="151"/>
      <c r="AC252" s="151"/>
      <c r="AD252" s="151"/>
      <c r="AE252" s="151"/>
      <c r="AF252" s="151"/>
    </row>
    <row r="253" spans="2:32" outlineLevel="1" x14ac:dyDescent="0.2">
      <c r="B253" s="267" t="str">
        <f>'WS7 - Impact on Rates'!B187</f>
        <v>Farmland</v>
      </c>
      <c r="C253" s="207" t="str">
        <f>'WS7 - Impact on Rates'!C187</f>
        <v/>
      </c>
      <c r="D253" s="207" t="str">
        <f>'WS7 - Impact on Rates'!D187</f>
        <v>$ nominal p.a.</v>
      </c>
      <c r="E253" s="54"/>
      <c r="F253" s="3"/>
      <c r="G253" s="3"/>
      <c r="H253" s="3"/>
      <c r="I253" s="31"/>
      <c r="J253" s="235" t="str">
        <f>'WS7 - Impact on Rates'!J187</f>
        <v>.</v>
      </c>
      <c r="K253" s="236" t="str">
        <f>'WS7 - Impact on Rates'!K187</f>
        <v>.</v>
      </c>
      <c r="L253" s="236">
        <f>'WS7 - Impact on Rates'!L187</f>
        <v>0</v>
      </c>
      <c r="M253" s="236">
        <f>'WS7 - Impact on Rates'!M187</f>
        <v>0</v>
      </c>
      <c r="N253" s="236">
        <f>'WS7 - Impact on Rates'!N187</f>
        <v>0</v>
      </c>
      <c r="O253" s="236">
        <f>'WS7 - Impact on Rates'!O187</f>
        <v>0</v>
      </c>
      <c r="P253" s="236">
        <f>'WS7 - Impact on Rates'!P187</f>
        <v>0</v>
      </c>
      <c r="Q253" s="237">
        <f>'WS7 - Impact on Rates'!Q187</f>
        <v>0</v>
      </c>
      <c r="R253" s="3"/>
      <c r="S253" s="3"/>
      <c r="T253" s="31"/>
      <c r="U253" s="3"/>
      <c r="V253" s="151"/>
      <c r="W253" s="151"/>
      <c r="X253" s="151"/>
      <c r="Y253" s="151"/>
      <c r="Z253" s="151"/>
      <c r="AA253" s="151"/>
      <c r="AB253" s="151"/>
      <c r="AC253" s="151"/>
      <c r="AD253" s="151"/>
      <c r="AE253" s="151"/>
      <c r="AF253" s="151"/>
    </row>
    <row r="254" spans="2:32" x14ac:dyDescent="0.2">
      <c r="B254" s="267" t="str">
        <f>'WS7 - Impact on Rates'!B188</f>
        <v>Special rate</v>
      </c>
      <c r="C254" s="207" t="str">
        <f>'WS7 - Impact on Rates'!C188</f>
        <v/>
      </c>
      <c r="D254" s="207" t="str">
        <f>'WS7 - Impact on Rates'!D188</f>
        <v>$ nominal p.a.</v>
      </c>
      <c r="E254" s="54"/>
      <c r="F254" s="3"/>
      <c r="G254" s="3"/>
      <c r="H254" s="3"/>
      <c r="I254" s="31"/>
      <c r="J254" s="235" t="str">
        <f>'WS7 - Impact on Rates'!J188</f>
        <v>.</v>
      </c>
      <c r="K254" s="236" t="str">
        <f>'WS7 - Impact on Rates'!K188</f>
        <v>.</v>
      </c>
      <c r="L254" s="236">
        <f>'WS7 - Impact on Rates'!L188</f>
        <v>0</v>
      </c>
      <c r="M254" s="236">
        <f>'WS7 - Impact on Rates'!M188</f>
        <v>0</v>
      </c>
      <c r="N254" s="236">
        <f>'WS7 - Impact on Rates'!N188</f>
        <v>0</v>
      </c>
      <c r="O254" s="236">
        <f>'WS7 - Impact on Rates'!O188</f>
        <v>0</v>
      </c>
      <c r="P254" s="236">
        <f>'WS7 - Impact on Rates'!P188</f>
        <v>0</v>
      </c>
      <c r="Q254" s="237">
        <f>'WS7 - Impact on Rates'!Q188</f>
        <v>0</v>
      </c>
      <c r="R254" s="3"/>
      <c r="S254" s="3"/>
      <c r="T254" s="31"/>
      <c r="U254" s="3"/>
      <c r="V254" s="151"/>
      <c r="W254" s="151"/>
      <c r="X254" s="151"/>
      <c r="Y254" s="151"/>
      <c r="Z254" s="151"/>
      <c r="AA254" s="151"/>
      <c r="AB254" s="151"/>
      <c r="AC254" s="151"/>
      <c r="AD254" s="151"/>
      <c r="AE254" s="151"/>
      <c r="AF254" s="151"/>
    </row>
    <row r="255" spans="2:32" x14ac:dyDescent="0.2">
      <c r="B255" s="267" t="str">
        <f>'WS7 - Impact on Rates'!B189</f>
        <v>Special rate</v>
      </c>
      <c r="C255" s="207" t="str">
        <f>'WS7 - Impact on Rates'!C189</f>
        <v/>
      </c>
      <c r="D255" s="207" t="str">
        <f>'WS7 - Impact on Rates'!D189</f>
        <v>$ nominal p.a.</v>
      </c>
      <c r="E255" s="54"/>
      <c r="F255" s="3"/>
      <c r="G255" s="3"/>
      <c r="H255" s="3"/>
      <c r="I255" s="31"/>
      <c r="J255" s="235" t="str">
        <f>'WS7 - Impact on Rates'!J189</f>
        <v>.</v>
      </c>
      <c r="K255" s="236" t="str">
        <f>'WS7 - Impact on Rates'!K189</f>
        <v>.</v>
      </c>
      <c r="L255" s="236">
        <f>'WS7 - Impact on Rates'!L189</f>
        <v>0</v>
      </c>
      <c r="M255" s="236">
        <f>'WS7 - Impact on Rates'!M189</f>
        <v>0</v>
      </c>
      <c r="N255" s="236">
        <f>'WS7 - Impact on Rates'!N189</f>
        <v>0</v>
      </c>
      <c r="O255" s="236">
        <f>'WS7 - Impact on Rates'!O189</f>
        <v>0</v>
      </c>
      <c r="P255" s="236">
        <f>'WS7 - Impact on Rates'!P189</f>
        <v>0</v>
      </c>
      <c r="Q255" s="237">
        <f>'WS7 - Impact on Rates'!Q189</f>
        <v>0</v>
      </c>
      <c r="R255" s="3"/>
      <c r="S255" s="3"/>
      <c r="T255" s="31"/>
      <c r="U255" s="3"/>
      <c r="V255" s="151"/>
      <c r="W255" s="151"/>
      <c r="X255" s="151"/>
      <c r="Y255" s="151"/>
      <c r="Z255" s="151"/>
      <c r="AA255" s="151"/>
      <c r="AB255" s="151"/>
      <c r="AC255" s="151"/>
      <c r="AD255" s="151"/>
      <c r="AE255" s="151"/>
      <c r="AF255" s="151"/>
    </row>
    <row r="256" spans="2:32" outlineLevel="1" x14ac:dyDescent="0.2">
      <c r="B256" s="267" t="str">
        <f>'WS7 - Impact on Rates'!B190</f>
        <v>Special rate</v>
      </c>
      <c r="C256" s="207" t="str">
        <f>'WS7 - Impact on Rates'!C190</f>
        <v/>
      </c>
      <c r="D256" s="207" t="str">
        <f>'WS7 - Impact on Rates'!D190</f>
        <v>$ nominal p.a.</v>
      </c>
      <c r="E256" s="54"/>
      <c r="F256" s="3"/>
      <c r="G256" s="3"/>
      <c r="H256" s="3"/>
      <c r="I256" s="31"/>
      <c r="J256" s="235" t="str">
        <f>'WS7 - Impact on Rates'!J190</f>
        <v>.</v>
      </c>
      <c r="K256" s="236" t="str">
        <f>'WS7 - Impact on Rates'!K190</f>
        <v>.</v>
      </c>
      <c r="L256" s="236">
        <f>'WS7 - Impact on Rates'!L190</f>
        <v>0</v>
      </c>
      <c r="M256" s="236">
        <f>'WS7 - Impact on Rates'!M190</f>
        <v>0</v>
      </c>
      <c r="N256" s="236">
        <f>'WS7 - Impact on Rates'!N190</f>
        <v>0</v>
      </c>
      <c r="O256" s="236">
        <f>'WS7 - Impact on Rates'!O190</f>
        <v>0</v>
      </c>
      <c r="P256" s="236">
        <f>'WS7 - Impact on Rates'!P190</f>
        <v>0</v>
      </c>
      <c r="Q256" s="237">
        <f>'WS7 - Impact on Rates'!Q190</f>
        <v>0</v>
      </c>
      <c r="R256" s="3"/>
      <c r="S256" s="3"/>
      <c r="T256" s="31"/>
      <c r="U256" s="3"/>
      <c r="V256" s="151"/>
      <c r="W256" s="151"/>
      <c r="X256" s="151"/>
      <c r="Y256" s="151"/>
      <c r="Z256" s="151"/>
      <c r="AA256" s="151"/>
      <c r="AB256" s="151"/>
      <c r="AC256" s="151"/>
      <c r="AD256" s="151"/>
      <c r="AE256" s="151"/>
      <c r="AF256" s="151"/>
    </row>
    <row r="257" spans="2:32" outlineLevel="1" x14ac:dyDescent="0.2">
      <c r="B257" s="267" t="str">
        <f>'WS7 - Impact on Rates'!B191</f>
        <v>Special rate</v>
      </c>
      <c r="C257" s="207" t="str">
        <f>'WS7 - Impact on Rates'!C191</f>
        <v/>
      </c>
      <c r="D257" s="207" t="str">
        <f>'WS7 - Impact on Rates'!D191</f>
        <v>$ nominal p.a.</v>
      </c>
      <c r="E257" s="54"/>
      <c r="F257" s="3"/>
      <c r="G257" s="3"/>
      <c r="H257" s="3"/>
      <c r="I257" s="31"/>
      <c r="J257" s="235" t="str">
        <f>'WS7 - Impact on Rates'!J191</f>
        <v>.</v>
      </c>
      <c r="K257" s="236" t="str">
        <f>'WS7 - Impact on Rates'!K191</f>
        <v>.</v>
      </c>
      <c r="L257" s="236">
        <f>'WS7 - Impact on Rates'!L191</f>
        <v>0</v>
      </c>
      <c r="M257" s="236">
        <f>'WS7 - Impact on Rates'!M191</f>
        <v>0</v>
      </c>
      <c r="N257" s="236">
        <f>'WS7 - Impact on Rates'!N191</f>
        <v>0</v>
      </c>
      <c r="O257" s="236">
        <f>'WS7 - Impact on Rates'!O191</f>
        <v>0</v>
      </c>
      <c r="P257" s="236">
        <f>'WS7 - Impact on Rates'!P191</f>
        <v>0</v>
      </c>
      <c r="Q257" s="237">
        <f>'WS7 - Impact on Rates'!Q191</f>
        <v>0</v>
      </c>
      <c r="R257" s="3"/>
      <c r="S257" s="3"/>
      <c r="T257" s="31"/>
      <c r="U257" s="3"/>
      <c r="V257" s="151"/>
      <c r="W257" s="151"/>
      <c r="X257" s="151"/>
      <c r="Y257" s="151"/>
      <c r="Z257" s="151"/>
      <c r="AA257" s="151"/>
      <c r="AB257" s="151"/>
      <c r="AC257" s="151"/>
      <c r="AD257" s="151"/>
      <c r="AE257" s="151"/>
      <c r="AF257" s="151"/>
    </row>
    <row r="258" spans="2:32" outlineLevel="1" x14ac:dyDescent="0.2">
      <c r="B258" s="267" t="str">
        <f>'WS7 - Impact on Rates'!B192</f>
        <v>Special rate</v>
      </c>
      <c r="C258" s="207" t="str">
        <f>'WS7 - Impact on Rates'!C192</f>
        <v/>
      </c>
      <c r="D258" s="207" t="str">
        <f>'WS7 - Impact on Rates'!D192</f>
        <v>$ nominal p.a.</v>
      </c>
      <c r="E258" s="54"/>
      <c r="F258" s="3"/>
      <c r="G258" s="3"/>
      <c r="H258" s="3"/>
      <c r="I258" s="31"/>
      <c r="J258" s="235" t="str">
        <f>'WS7 - Impact on Rates'!J192</f>
        <v>.</v>
      </c>
      <c r="K258" s="236" t="str">
        <f>'WS7 - Impact on Rates'!K192</f>
        <v>.</v>
      </c>
      <c r="L258" s="236">
        <f>'WS7 - Impact on Rates'!L192</f>
        <v>0</v>
      </c>
      <c r="M258" s="236">
        <f>'WS7 - Impact on Rates'!M192</f>
        <v>0</v>
      </c>
      <c r="N258" s="236">
        <f>'WS7 - Impact on Rates'!N192</f>
        <v>0</v>
      </c>
      <c r="O258" s="236">
        <f>'WS7 - Impact on Rates'!O192</f>
        <v>0</v>
      </c>
      <c r="P258" s="236">
        <f>'WS7 - Impact on Rates'!P192</f>
        <v>0</v>
      </c>
      <c r="Q258" s="237">
        <f>'WS7 - Impact on Rates'!Q192</f>
        <v>0</v>
      </c>
      <c r="R258" s="3"/>
      <c r="S258" s="3"/>
      <c r="T258" s="31"/>
      <c r="U258" s="3"/>
      <c r="V258" s="151"/>
      <c r="W258" s="151"/>
      <c r="X258" s="151"/>
      <c r="Y258" s="151"/>
      <c r="Z258" s="151"/>
      <c r="AA258" s="151"/>
      <c r="AB258" s="151"/>
      <c r="AC258" s="151"/>
      <c r="AD258" s="151"/>
      <c r="AE258" s="151"/>
      <c r="AF258" s="151"/>
    </row>
    <row r="259" spans="2:32" outlineLevel="1" x14ac:dyDescent="0.2">
      <c r="B259" s="267" t="str">
        <f>'WS7 - Impact on Rates'!B193</f>
        <v>Special rate</v>
      </c>
      <c r="C259" s="207" t="str">
        <f>'WS7 - Impact on Rates'!C193</f>
        <v/>
      </c>
      <c r="D259" s="207" t="str">
        <f>'WS7 - Impact on Rates'!D193</f>
        <v>$ nominal p.a.</v>
      </c>
      <c r="E259" s="54"/>
      <c r="F259" s="3"/>
      <c r="G259" s="3"/>
      <c r="H259" s="3"/>
      <c r="I259" s="31"/>
      <c r="J259" s="235" t="str">
        <f>'WS7 - Impact on Rates'!J193</f>
        <v>.</v>
      </c>
      <c r="K259" s="236" t="str">
        <f>'WS7 - Impact on Rates'!K193</f>
        <v>.</v>
      </c>
      <c r="L259" s="236">
        <f>'WS7 - Impact on Rates'!L193</f>
        <v>0</v>
      </c>
      <c r="M259" s="236">
        <f>'WS7 - Impact on Rates'!M193</f>
        <v>0</v>
      </c>
      <c r="N259" s="236">
        <f>'WS7 - Impact on Rates'!N193</f>
        <v>0</v>
      </c>
      <c r="O259" s="236">
        <f>'WS7 - Impact on Rates'!O193</f>
        <v>0</v>
      </c>
      <c r="P259" s="236">
        <f>'WS7 - Impact on Rates'!P193</f>
        <v>0</v>
      </c>
      <c r="Q259" s="237">
        <f>'WS7 - Impact on Rates'!Q193</f>
        <v>0</v>
      </c>
      <c r="R259" s="3"/>
      <c r="S259" s="3"/>
      <c r="T259" s="31"/>
      <c r="U259" s="3"/>
      <c r="V259" s="151"/>
      <c r="W259" s="151"/>
      <c r="X259" s="151"/>
      <c r="Y259" s="151"/>
      <c r="Z259" s="151"/>
      <c r="AA259" s="151"/>
      <c r="AB259" s="151"/>
      <c r="AC259" s="151"/>
      <c r="AD259" s="151"/>
      <c r="AE259" s="151"/>
      <c r="AF259" s="151"/>
    </row>
    <row r="260" spans="2:32" outlineLevel="1" x14ac:dyDescent="0.2">
      <c r="B260" s="267" t="str">
        <f>'WS7 - Impact on Rates'!B194</f>
        <v>Special rate</v>
      </c>
      <c r="C260" s="207" t="str">
        <f>'WS7 - Impact on Rates'!C194</f>
        <v/>
      </c>
      <c r="D260" s="207" t="str">
        <f>'WS7 - Impact on Rates'!D194</f>
        <v>$ nominal p.a.</v>
      </c>
      <c r="E260" s="54"/>
      <c r="F260" s="3"/>
      <c r="G260" s="3"/>
      <c r="H260" s="3"/>
      <c r="I260" s="31"/>
      <c r="J260" s="235" t="str">
        <f>'WS7 - Impact on Rates'!J194</f>
        <v>.</v>
      </c>
      <c r="K260" s="236" t="str">
        <f>'WS7 - Impact on Rates'!K194</f>
        <v>.</v>
      </c>
      <c r="L260" s="236">
        <f>'WS7 - Impact on Rates'!L194</f>
        <v>0</v>
      </c>
      <c r="M260" s="236">
        <f>'WS7 - Impact on Rates'!M194</f>
        <v>0</v>
      </c>
      <c r="N260" s="236">
        <f>'WS7 - Impact on Rates'!N194</f>
        <v>0</v>
      </c>
      <c r="O260" s="236">
        <f>'WS7 - Impact on Rates'!O194</f>
        <v>0</v>
      </c>
      <c r="P260" s="236">
        <f>'WS7 - Impact on Rates'!P194</f>
        <v>0</v>
      </c>
      <c r="Q260" s="237">
        <f>'WS7 - Impact on Rates'!Q194</f>
        <v>0</v>
      </c>
      <c r="R260" s="3"/>
      <c r="S260" s="3"/>
      <c r="T260" s="31"/>
      <c r="U260" s="3"/>
      <c r="V260" s="151"/>
      <c r="W260" s="151"/>
      <c r="X260" s="151"/>
      <c r="Y260" s="151"/>
      <c r="Z260" s="151"/>
      <c r="AA260" s="151"/>
      <c r="AB260" s="151"/>
      <c r="AC260" s="151"/>
      <c r="AD260" s="151"/>
      <c r="AE260" s="151"/>
      <c r="AF260" s="151"/>
    </row>
    <row r="261" spans="2:32" outlineLevel="1" x14ac:dyDescent="0.2">
      <c r="B261" s="267" t="str">
        <f>'WS7 - Impact on Rates'!B195</f>
        <v>Special rate</v>
      </c>
      <c r="C261" s="207" t="str">
        <f>'WS7 - Impact on Rates'!C195</f>
        <v/>
      </c>
      <c r="D261" s="207" t="str">
        <f>'WS7 - Impact on Rates'!D195</f>
        <v>$ nominal p.a.</v>
      </c>
      <c r="E261" s="54"/>
      <c r="F261" s="3"/>
      <c r="G261" s="3"/>
      <c r="H261" s="3"/>
      <c r="I261" s="31"/>
      <c r="J261" s="235" t="str">
        <f>'WS7 - Impact on Rates'!J195</f>
        <v>.</v>
      </c>
      <c r="K261" s="236" t="str">
        <f>'WS7 - Impact on Rates'!K195</f>
        <v>.</v>
      </c>
      <c r="L261" s="236">
        <f>'WS7 - Impact on Rates'!L195</f>
        <v>0</v>
      </c>
      <c r="M261" s="236">
        <f>'WS7 - Impact on Rates'!M195</f>
        <v>0</v>
      </c>
      <c r="N261" s="236">
        <f>'WS7 - Impact on Rates'!N195</f>
        <v>0</v>
      </c>
      <c r="O261" s="236">
        <f>'WS7 - Impact on Rates'!O195</f>
        <v>0</v>
      </c>
      <c r="P261" s="236">
        <f>'WS7 - Impact on Rates'!P195</f>
        <v>0</v>
      </c>
      <c r="Q261" s="237">
        <f>'WS7 - Impact on Rates'!Q195</f>
        <v>0</v>
      </c>
      <c r="R261" s="3"/>
      <c r="S261" s="3"/>
      <c r="T261" s="31"/>
      <c r="U261" s="3"/>
      <c r="V261" s="151"/>
      <c r="W261" s="151"/>
      <c r="X261" s="151"/>
      <c r="Y261" s="151"/>
      <c r="Z261" s="151"/>
      <c r="AA261" s="151"/>
      <c r="AB261" s="151"/>
      <c r="AC261" s="151"/>
      <c r="AD261" s="151"/>
      <c r="AE261" s="151"/>
      <c r="AF261" s="151"/>
    </row>
    <row r="262" spans="2:32" outlineLevel="1" x14ac:dyDescent="0.2">
      <c r="B262" s="267" t="str">
        <f>'WS7 - Impact on Rates'!B196</f>
        <v>Special rate</v>
      </c>
      <c r="C262" s="207" t="str">
        <f>'WS7 - Impact on Rates'!C196</f>
        <v/>
      </c>
      <c r="D262" s="207" t="str">
        <f>'WS7 - Impact on Rates'!D196</f>
        <v>$ nominal p.a.</v>
      </c>
      <c r="E262" s="54"/>
      <c r="F262" s="3"/>
      <c r="G262" s="3"/>
      <c r="H262" s="3"/>
      <c r="I262" s="31"/>
      <c r="J262" s="235" t="str">
        <f>'WS7 - Impact on Rates'!J196</f>
        <v>.</v>
      </c>
      <c r="K262" s="236" t="str">
        <f>'WS7 - Impact on Rates'!K196</f>
        <v>.</v>
      </c>
      <c r="L262" s="236">
        <f>'WS7 - Impact on Rates'!L196</f>
        <v>0</v>
      </c>
      <c r="M262" s="236">
        <f>'WS7 - Impact on Rates'!M196</f>
        <v>0</v>
      </c>
      <c r="N262" s="236">
        <f>'WS7 - Impact on Rates'!N196</f>
        <v>0</v>
      </c>
      <c r="O262" s="236">
        <f>'WS7 - Impact on Rates'!O196</f>
        <v>0</v>
      </c>
      <c r="P262" s="236">
        <f>'WS7 - Impact on Rates'!P196</f>
        <v>0</v>
      </c>
      <c r="Q262" s="237">
        <f>'WS7 - Impact on Rates'!Q196</f>
        <v>0</v>
      </c>
      <c r="R262" s="3"/>
      <c r="S262" s="3"/>
      <c r="T262" s="31"/>
      <c r="U262" s="3"/>
      <c r="V262" s="151"/>
      <c r="W262" s="151"/>
      <c r="X262" s="151"/>
      <c r="Y262" s="151"/>
      <c r="Z262" s="151"/>
      <c r="AA262" s="151"/>
      <c r="AB262" s="151"/>
      <c r="AC262" s="151"/>
      <c r="AD262" s="151"/>
      <c r="AE262" s="151"/>
      <c r="AF262" s="151"/>
    </row>
    <row r="263" spans="2:32" ht="12.75" outlineLevel="1" thickBot="1" x14ac:dyDescent="0.25">
      <c r="B263" s="267" t="str">
        <f>'WS7 - Impact on Rates'!B197</f>
        <v>Special rate</v>
      </c>
      <c r="C263" s="207" t="str">
        <f>'WS7 - Impact on Rates'!C197</f>
        <v/>
      </c>
      <c r="D263" s="207" t="str">
        <f>'WS7 - Impact on Rates'!D197</f>
        <v>$ nominal p.a.</v>
      </c>
      <c r="E263" s="54"/>
      <c r="F263" s="3"/>
      <c r="G263" s="3"/>
      <c r="H263" s="3"/>
      <c r="I263" s="31"/>
      <c r="J263" s="235" t="str">
        <f>'WS7 - Impact on Rates'!J197</f>
        <v>.</v>
      </c>
      <c r="K263" s="236" t="str">
        <f>'WS7 - Impact on Rates'!K197</f>
        <v>.</v>
      </c>
      <c r="L263" s="236">
        <f>'WS7 - Impact on Rates'!L197</f>
        <v>0</v>
      </c>
      <c r="M263" s="236">
        <f>'WS7 - Impact on Rates'!M197</f>
        <v>0</v>
      </c>
      <c r="N263" s="236">
        <f>'WS7 - Impact on Rates'!N197</f>
        <v>0</v>
      </c>
      <c r="O263" s="236">
        <f>'WS7 - Impact on Rates'!O197</f>
        <v>0</v>
      </c>
      <c r="P263" s="236">
        <f>'WS7 - Impact on Rates'!P197</f>
        <v>0</v>
      </c>
      <c r="Q263" s="237">
        <f>'WS7 - Impact on Rates'!Q197</f>
        <v>0</v>
      </c>
      <c r="R263" s="3"/>
      <c r="S263" s="3"/>
      <c r="T263" s="31"/>
      <c r="U263" s="3"/>
      <c r="V263" s="151"/>
      <c r="W263" s="151"/>
      <c r="X263" s="151"/>
      <c r="Y263" s="151"/>
      <c r="Z263" s="151"/>
      <c r="AA263" s="151"/>
      <c r="AB263" s="151"/>
      <c r="AC263" s="151"/>
      <c r="AD263" s="151"/>
      <c r="AE263" s="151"/>
      <c r="AF263" s="151"/>
    </row>
    <row r="264" spans="2:32" ht="13.5" thickTop="1" thickBot="1" x14ac:dyDescent="0.25">
      <c r="B264" s="332" t="str">
        <f>B244</f>
        <v>Farmland</v>
      </c>
      <c r="C264" s="207" t="str">
        <f>'WS7 - Impact on Rates'!C198</f>
        <v>TOTAL AVERAGE</v>
      </c>
      <c r="D264" s="3"/>
      <c r="E264" s="54"/>
      <c r="F264" s="3"/>
      <c r="G264" s="3"/>
      <c r="H264" s="3"/>
      <c r="I264" s="31"/>
      <c r="J264" s="235" t="str">
        <f>'WS7 - Impact on Rates'!J198</f>
        <v>.</v>
      </c>
      <c r="K264" s="236" t="str">
        <f>'WS7 - Impact on Rates'!K198</f>
        <v>.</v>
      </c>
      <c r="L264" s="236" t="str">
        <f>'WS7 - Impact on Rates'!L198</f>
        <v>.</v>
      </c>
      <c r="M264" s="236" t="str">
        <f>'WS7 - Impact on Rates'!M198</f>
        <v>.</v>
      </c>
      <c r="N264" s="236" t="str">
        <f>'WS7 - Impact on Rates'!N198</f>
        <v>.</v>
      </c>
      <c r="O264" s="236" t="str">
        <f>'WS7 - Impact on Rates'!O198</f>
        <v>.</v>
      </c>
      <c r="P264" s="236" t="str">
        <f>'WS7 - Impact on Rates'!P198</f>
        <v>.</v>
      </c>
      <c r="Q264" s="237" t="str">
        <f>'WS7 - Impact on Rates'!Q198</f>
        <v>.</v>
      </c>
      <c r="R264" s="3"/>
      <c r="S264" s="3"/>
      <c r="T264" s="31"/>
      <c r="U264" s="3"/>
      <c r="V264" s="151"/>
      <c r="W264" s="151"/>
      <c r="X264" s="151"/>
      <c r="Y264" s="151"/>
      <c r="Z264" s="151"/>
      <c r="AA264" s="151"/>
      <c r="AB264" s="151"/>
      <c r="AC264" s="151"/>
      <c r="AD264" s="151"/>
      <c r="AE264" s="151"/>
      <c r="AF264" s="151"/>
    </row>
    <row r="265" spans="2:32" ht="12.75" thickTop="1" x14ac:dyDescent="0.2">
      <c r="B265" s="267" t="str">
        <f>'WS7 - Impact on Rates'!B199</f>
        <v>Mining</v>
      </c>
      <c r="C265" s="207" t="str">
        <f>'WS7 - Impact on Rates'!C199</f>
        <v/>
      </c>
      <c r="D265" s="3" t="str">
        <f>'WS7 - Impact on Rates'!D199</f>
        <v>$ nominal p.a.</v>
      </c>
      <c r="E265" s="54"/>
      <c r="F265" s="3"/>
      <c r="G265" s="3"/>
      <c r="H265" s="3"/>
      <c r="I265" s="31"/>
      <c r="J265" s="235" t="str">
        <f>'WS7 - Impact on Rates'!J199</f>
        <v>.</v>
      </c>
      <c r="K265" s="236" t="str">
        <f>'WS7 - Impact on Rates'!K199</f>
        <v>.</v>
      </c>
      <c r="L265" s="236">
        <f>'WS7 - Impact on Rates'!L199</f>
        <v>0</v>
      </c>
      <c r="M265" s="236">
        <f>'WS7 - Impact on Rates'!M199</f>
        <v>0</v>
      </c>
      <c r="N265" s="236">
        <f>'WS7 - Impact on Rates'!N199</f>
        <v>0</v>
      </c>
      <c r="O265" s="236">
        <f>'WS7 - Impact on Rates'!O199</f>
        <v>0</v>
      </c>
      <c r="P265" s="236">
        <f>'WS7 - Impact on Rates'!P199</f>
        <v>0</v>
      </c>
      <c r="Q265" s="237">
        <f>'WS7 - Impact on Rates'!Q199</f>
        <v>0</v>
      </c>
      <c r="R265" s="3"/>
      <c r="S265" s="3"/>
      <c r="T265" s="31"/>
      <c r="U265" s="3"/>
      <c r="V265" s="151"/>
      <c r="W265" s="151"/>
      <c r="X265" s="151"/>
      <c r="Y265" s="151"/>
      <c r="Z265" s="151"/>
      <c r="AA265" s="151"/>
      <c r="AB265" s="151"/>
      <c r="AC265" s="151"/>
      <c r="AD265" s="151"/>
      <c r="AE265" s="151"/>
      <c r="AF265" s="151"/>
    </row>
    <row r="266" spans="2:32" x14ac:dyDescent="0.2">
      <c r="B266" s="267" t="str">
        <f>'WS7 - Impact on Rates'!B200</f>
        <v>Mining</v>
      </c>
      <c r="C266" s="207" t="str">
        <f>'WS7 - Impact on Rates'!C200</f>
        <v/>
      </c>
      <c r="D266" s="3" t="str">
        <f>'WS7 - Impact on Rates'!D200</f>
        <v>$ nominal p.a.</v>
      </c>
      <c r="E266" s="54"/>
      <c r="F266" s="3"/>
      <c r="G266" s="3"/>
      <c r="H266" s="3"/>
      <c r="I266" s="31"/>
      <c r="J266" s="235" t="str">
        <f>'WS7 - Impact on Rates'!J200</f>
        <v>.</v>
      </c>
      <c r="K266" s="236" t="str">
        <f>'WS7 - Impact on Rates'!K200</f>
        <v>.</v>
      </c>
      <c r="L266" s="236">
        <f>'WS7 - Impact on Rates'!L200</f>
        <v>0</v>
      </c>
      <c r="M266" s="236">
        <f>'WS7 - Impact on Rates'!M200</f>
        <v>0</v>
      </c>
      <c r="N266" s="236">
        <f>'WS7 - Impact on Rates'!N200</f>
        <v>0</v>
      </c>
      <c r="O266" s="236">
        <f>'WS7 - Impact on Rates'!O200</f>
        <v>0</v>
      </c>
      <c r="P266" s="236">
        <f>'WS7 - Impact on Rates'!P200</f>
        <v>0</v>
      </c>
      <c r="Q266" s="237">
        <f>'WS7 - Impact on Rates'!Q200</f>
        <v>0</v>
      </c>
      <c r="R266" s="3"/>
      <c r="S266" s="3"/>
      <c r="T266" s="31"/>
      <c r="U266" s="3"/>
      <c r="V266" s="151"/>
      <c r="W266" s="151"/>
      <c r="X266" s="151"/>
      <c r="Y266" s="151"/>
      <c r="Z266" s="151"/>
      <c r="AA266" s="151"/>
      <c r="AB266" s="151"/>
      <c r="AC266" s="151"/>
      <c r="AD266" s="151"/>
      <c r="AE266" s="151"/>
      <c r="AF266" s="151"/>
    </row>
    <row r="267" spans="2:32" x14ac:dyDescent="0.2">
      <c r="B267" s="267" t="str">
        <f>'WS7 - Impact on Rates'!B201</f>
        <v>Mining</v>
      </c>
      <c r="C267" s="207" t="str">
        <f>'WS7 - Impact on Rates'!C201</f>
        <v/>
      </c>
      <c r="D267" s="3" t="str">
        <f>'WS7 - Impact on Rates'!D201</f>
        <v>$ nominal p.a.</v>
      </c>
      <c r="E267" s="54"/>
      <c r="F267" s="3"/>
      <c r="G267" s="3"/>
      <c r="H267" s="3"/>
      <c r="I267" s="31"/>
      <c r="J267" s="235" t="str">
        <f>'WS7 - Impact on Rates'!J201</f>
        <v>.</v>
      </c>
      <c r="K267" s="236" t="str">
        <f>'WS7 - Impact on Rates'!K201</f>
        <v>.</v>
      </c>
      <c r="L267" s="236">
        <f>'WS7 - Impact on Rates'!L201</f>
        <v>0</v>
      </c>
      <c r="M267" s="236">
        <f>'WS7 - Impact on Rates'!M201</f>
        <v>0</v>
      </c>
      <c r="N267" s="236">
        <f>'WS7 - Impact on Rates'!N201</f>
        <v>0</v>
      </c>
      <c r="O267" s="236">
        <f>'WS7 - Impact on Rates'!O201</f>
        <v>0</v>
      </c>
      <c r="P267" s="236">
        <f>'WS7 - Impact on Rates'!P201</f>
        <v>0</v>
      </c>
      <c r="Q267" s="237">
        <f>'WS7 - Impact on Rates'!Q201</f>
        <v>0</v>
      </c>
      <c r="R267" s="3"/>
      <c r="S267" s="3"/>
      <c r="T267" s="31"/>
      <c r="U267" s="3"/>
      <c r="V267" s="151"/>
      <c r="W267" s="151"/>
      <c r="X267" s="151"/>
      <c r="Y267" s="151"/>
      <c r="Z267" s="151"/>
      <c r="AA267" s="151"/>
      <c r="AB267" s="151"/>
      <c r="AC267" s="151"/>
      <c r="AD267" s="151"/>
      <c r="AE267" s="151"/>
      <c r="AF267" s="151"/>
    </row>
    <row r="268" spans="2:32" outlineLevel="1" x14ac:dyDescent="0.2">
      <c r="B268" s="267" t="str">
        <f>'WS7 - Impact on Rates'!B202</f>
        <v>Mining</v>
      </c>
      <c r="C268" s="207" t="str">
        <f>'WS7 - Impact on Rates'!C202</f>
        <v/>
      </c>
      <c r="D268" s="3" t="str">
        <f>'WS7 - Impact on Rates'!D202</f>
        <v>$ nominal p.a.</v>
      </c>
      <c r="E268" s="54"/>
      <c r="F268" s="3"/>
      <c r="G268" s="3"/>
      <c r="H268" s="3"/>
      <c r="I268" s="31"/>
      <c r="J268" s="235" t="str">
        <f>'WS7 - Impact on Rates'!J202</f>
        <v>.</v>
      </c>
      <c r="K268" s="236" t="str">
        <f>'WS7 - Impact on Rates'!K202</f>
        <v>.</v>
      </c>
      <c r="L268" s="236">
        <f>'WS7 - Impact on Rates'!L202</f>
        <v>0</v>
      </c>
      <c r="M268" s="236">
        <f>'WS7 - Impact on Rates'!M202</f>
        <v>0</v>
      </c>
      <c r="N268" s="236">
        <f>'WS7 - Impact on Rates'!N202</f>
        <v>0</v>
      </c>
      <c r="O268" s="236">
        <f>'WS7 - Impact on Rates'!O202</f>
        <v>0</v>
      </c>
      <c r="P268" s="236">
        <f>'WS7 - Impact on Rates'!P202</f>
        <v>0</v>
      </c>
      <c r="Q268" s="237">
        <f>'WS7 - Impact on Rates'!Q202</f>
        <v>0</v>
      </c>
      <c r="R268" s="3"/>
      <c r="S268" s="3"/>
      <c r="T268" s="31"/>
      <c r="U268" s="3"/>
      <c r="V268" s="151"/>
      <c r="W268" s="151"/>
      <c r="X268" s="151"/>
      <c r="Y268" s="151"/>
      <c r="Z268" s="151"/>
      <c r="AA268" s="151"/>
      <c r="AB268" s="151"/>
      <c r="AC268" s="151"/>
      <c r="AD268" s="151"/>
      <c r="AE268" s="151"/>
      <c r="AF268" s="151"/>
    </row>
    <row r="269" spans="2:32" outlineLevel="1" x14ac:dyDescent="0.2">
      <c r="B269" s="267" t="str">
        <f>'WS7 - Impact on Rates'!B203</f>
        <v>Mining</v>
      </c>
      <c r="C269" s="207" t="str">
        <f>'WS7 - Impact on Rates'!C203</f>
        <v/>
      </c>
      <c r="D269" s="3" t="str">
        <f>'WS7 - Impact on Rates'!D203</f>
        <v>$ nominal p.a.</v>
      </c>
      <c r="E269" s="54"/>
      <c r="F269" s="3"/>
      <c r="G269" s="3"/>
      <c r="H269" s="3"/>
      <c r="I269" s="31"/>
      <c r="J269" s="235" t="str">
        <f>'WS7 - Impact on Rates'!J203</f>
        <v>.</v>
      </c>
      <c r="K269" s="236" t="str">
        <f>'WS7 - Impact on Rates'!K203</f>
        <v>.</v>
      </c>
      <c r="L269" s="236">
        <f>'WS7 - Impact on Rates'!L203</f>
        <v>0</v>
      </c>
      <c r="M269" s="236">
        <f>'WS7 - Impact on Rates'!M203</f>
        <v>0</v>
      </c>
      <c r="N269" s="236">
        <f>'WS7 - Impact on Rates'!N203</f>
        <v>0</v>
      </c>
      <c r="O269" s="236">
        <f>'WS7 - Impact on Rates'!O203</f>
        <v>0</v>
      </c>
      <c r="P269" s="236">
        <f>'WS7 - Impact on Rates'!P203</f>
        <v>0</v>
      </c>
      <c r="Q269" s="237">
        <f>'WS7 - Impact on Rates'!Q203</f>
        <v>0</v>
      </c>
      <c r="R269" s="3"/>
      <c r="S269" s="3"/>
      <c r="T269" s="31"/>
      <c r="U269" s="3"/>
      <c r="V269" s="151"/>
      <c r="W269" s="151"/>
      <c r="X269" s="151"/>
      <c r="Y269" s="151"/>
      <c r="Z269" s="151"/>
      <c r="AA269" s="151"/>
      <c r="AB269" s="151"/>
      <c r="AC269" s="151"/>
      <c r="AD269" s="151"/>
      <c r="AE269" s="151"/>
      <c r="AF269" s="151"/>
    </row>
    <row r="270" spans="2:32" outlineLevel="1" x14ac:dyDescent="0.2">
      <c r="B270" s="267" t="str">
        <f>'WS7 - Impact on Rates'!B204</f>
        <v>Mining</v>
      </c>
      <c r="C270" s="207" t="str">
        <f>'WS7 - Impact on Rates'!C204</f>
        <v/>
      </c>
      <c r="D270" s="3" t="str">
        <f>'WS7 - Impact on Rates'!D204</f>
        <v>$ nominal p.a.</v>
      </c>
      <c r="E270" s="54"/>
      <c r="F270" s="3"/>
      <c r="G270" s="3"/>
      <c r="H270" s="3"/>
      <c r="I270" s="31"/>
      <c r="J270" s="235" t="str">
        <f>'WS7 - Impact on Rates'!J204</f>
        <v>.</v>
      </c>
      <c r="K270" s="236" t="str">
        <f>'WS7 - Impact on Rates'!K204</f>
        <v>.</v>
      </c>
      <c r="L270" s="236">
        <f>'WS7 - Impact on Rates'!L204</f>
        <v>0</v>
      </c>
      <c r="M270" s="236">
        <f>'WS7 - Impact on Rates'!M204</f>
        <v>0</v>
      </c>
      <c r="N270" s="236">
        <f>'WS7 - Impact on Rates'!N204</f>
        <v>0</v>
      </c>
      <c r="O270" s="236">
        <f>'WS7 - Impact on Rates'!O204</f>
        <v>0</v>
      </c>
      <c r="P270" s="236">
        <f>'WS7 - Impact on Rates'!P204</f>
        <v>0</v>
      </c>
      <c r="Q270" s="237">
        <f>'WS7 - Impact on Rates'!Q204</f>
        <v>0</v>
      </c>
      <c r="R270" s="3"/>
      <c r="S270" s="3"/>
      <c r="T270" s="31"/>
      <c r="U270" s="3"/>
      <c r="V270" s="151"/>
      <c r="W270" s="151"/>
      <c r="X270" s="151"/>
      <c r="Y270" s="151"/>
      <c r="Z270" s="151"/>
      <c r="AA270" s="151"/>
      <c r="AB270" s="151"/>
      <c r="AC270" s="151"/>
      <c r="AD270" s="151"/>
      <c r="AE270" s="151"/>
      <c r="AF270" s="151"/>
    </row>
    <row r="271" spans="2:32" outlineLevel="1" x14ac:dyDescent="0.2">
      <c r="B271" s="267" t="str">
        <f>'WS7 - Impact on Rates'!B205</f>
        <v>Mining</v>
      </c>
      <c r="C271" s="207" t="str">
        <f>'WS7 - Impact on Rates'!C205</f>
        <v/>
      </c>
      <c r="D271" s="3" t="str">
        <f>'WS7 - Impact on Rates'!D205</f>
        <v>$ nominal p.a.</v>
      </c>
      <c r="E271" s="54"/>
      <c r="F271" s="3"/>
      <c r="G271" s="3"/>
      <c r="H271" s="3"/>
      <c r="I271" s="31"/>
      <c r="J271" s="235" t="str">
        <f>'WS7 - Impact on Rates'!J205</f>
        <v>.</v>
      </c>
      <c r="K271" s="236" t="str">
        <f>'WS7 - Impact on Rates'!K205</f>
        <v>.</v>
      </c>
      <c r="L271" s="236">
        <f>'WS7 - Impact on Rates'!L205</f>
        <v>0</v>
      </c>
      <c r="M271" s="236">
        <f>'WS7 - Impact on Rates'!M205</f>
        <v>0</v>
      </c>
      <c r="N271" s="236">
        <f>'WS7 - Impact on Rates'!N205</f>
        <v>0</v>
      </c>
      <c r="O271" s="236">
        <f>'WS7 - Impact on Rates'!O205</f>
        <v>0</v>
      </c>
      <c r="P271" s="236">
        <f>'WS7 - Impact on Rates'!P205</f>
        <v>0</v>
      </c>
      <c r="Q271" s="237">
        <f>'WS7 - Impact on Rates'!Q205</f>
        <v>0</v>
      </c>
      <c r="R271" s="3"/>
      <c r="S271" s="3"/>
      <c r="T271" s="31"/>
      <c r="U271" s="3"/>
      <c r="V271" s="151"/>
      <c r="W271" s="151"/>
      <c r="X271" s="151"/>
      <c r="Y271" s="151"/>
      <c r="Z271" s="151"/>
      <c r="AA271" s="151"/>
      <c r="AB271" s="151"/>
      <c r="AC271" s="151"/>
      <c r="AD271" s="151"/>
      <c r="AE271" s="151"/>
      <c r="AF271" s="151"/>
    </row>
    <row r="272" spans="2:32" outlineLevel="1" x14ac:dyDescent="0.2">
      <c r="B272" s="267" t="str">
        <f>'WS7 - Impact on Rates'!B206</f>
        <v>Mining</v>
      </c>
      <c r="C272" s="207" t="str">
        <f>'WS7 - Impact on Rates'!C206</f>
        <v/>
      </c>
      <c r="D272" s="3" t="str">
        <f>'WS7 - Impact on Rates'!D206</f>
        <v>$ nominal p.a.</v>
      </c>
      <c r="E272" s="54"/>
      <c r="F272" s="3"/>
      <c r="G272" s="3"/>
      <c r="H272" s="3"/>
      <c r="I272" s="31"/>
      <c r="J272" s="235" t="str">
        <f>'WS7 - Impact on Rates'!J206</f>
        <v>.</v>
      </c>
      <c r="K272" s="236" t="str">
        <f>'WS7 - Impact on Rates'!K206</f>
        <v>.</v>
      </c>
      <c r="L272" s="236">
        <f>'WS7 - Impact on Rates'!L206</f>
        <v>0</v>
      </c>
      <c r="M272" s="236">
        <f>'WS7 - Impact on Rates'!M206</f>
        <v>0</v>
      </c>
      <c r="N272" s="236">
        <f>'WS7 - Impact on Rates'!N206</f>
        <v>0</v>
      </c>
      <c r="O272" s="236">
        <f>'WS7 - Impact on Rates'!O206</f>
        <v>0</v>
      </c>
      <c r="P272" s="236">
        <f>'WS7 - Impact on Rates'!P206</f>
        <v>0</v>
      </c>
      <c r="Q272" s="237">
        <f>'WS7 - Impact on Rates'!Q206</f>
        <v>0</v>
      </c>
      <c r="R272" s="3"/>
      <c r="S272" s="3"/>
      <c r="T272" s="31"/>
      <c r="U272" s="3"/>
      <c r="V272" s="151"/>
      <c r="W272" s="151"/>
      <c r="X272" s="151"/>
      <c r="Y272" s="151"/>
      <c r="Z272" s="151"/>
      <c r="AA272" s="151"/>
      <c r="AB272" s="151"/>
      <c r="AC272" s="151"/>
      <c r="AD272" s="151"/>
      <c r="AE272" s="151"/>
      <c r="AF272" s="151"/>
    </row>
    <row r="273" spans="2:32" outlineLevel="1" x14ac:dyDescent="0.2">
      <c r="B273" s="267" t="str">
        <f>'WS7 - Impact on Rates'!B207</f>
        <v>Mining</v>
      </c>
      <c r="C273" s="207" t="str">
        <f>'WS7 - Impact on Rates'!C207</f>
        <v/>
      </c>
      <c r="D273" s="3" t="str">
        <f>'WS7 - Impact on Rates'!D207</f>
        <v>$ nominal p.a.</v>
      </c>
      <c r="E273" s="54"/>
      <c r="F273" s="3"/>
      <c r="G273" s="3"/>
      <c r="H273" s="3"/>
      <c r="I273" s="31"/>
      <c r="J273" s="235" t="str">
        <f>'WS7 - Impact on Rates'!J207</f>
        <v>.</v>
      </c>
      <c r="K273" s="236" t="str">
        <f>'WS7 - Impact on Rates'!K207</f>
        <v>.</v>
      </c>
      <c r="L273" s="236">
        <f>'WS7 - Impact on Rates'!L207</f>
        <v>0</v>
      </c>
      <c r="M273" s="236">
        <f>'WS7 - Impact on Rates'!M207</f>
        <v>0</v>
      </c>
      <c r="N273" s="236">
        <f>'WS7 - Impact on Rates'!N207</f>
        <v>0</v>
      </c>
      <c r="O273" s="236">
        <f>'WS7 - Impact on Rates'!O207</f>
        <v>0</v>
      </c>
      <c r="P273" s="236">
        <f>'WS7 - Impact on Rates'!P207</f>
        <v>0</v>
      </c>
      <c r="Q273" s="237">
        <f>'WS7 - Impact on Rates'!Q207</f>
        <v>0</v>
      </c>
      <c r="R273" s="3"/>
      <c r="S273" s="3"/>
      <c r="T273" s="31"/>
      <c r="U273" s="3"/>
      <c r="V273" s="151"/>
      <c r="W273" s="151"/>
      <c r="X273" s="151"/>
      <c r="Y273" s="151"/>
      <c r="Z273" s="151"/>
      <c r="AA273" s="151"/>
      <c r="AB273" s="151"/>
      <c r="AC273" s="151"/>
      <c r="AD273" s="151"/>
      <c r="AE273" s="151"/>
      <c r="AF273" s="151"/>
    </row>
    <row r="274" spans="2:32" outlineLevel="1" x14ac:dyDescent="0.2">
      <c r="B274" s="267" t="str">
        <f>'WS7 - Impact on Rates'!B208</f>
        <v>Mining</v>
      </c>
      <c r="C274" s="207" t="str">
        <f>'WS7 - Impact on Rates'!C208</f>
        <v/>
      </c>
      <c r="D274" s="3" t="str">
        <f>'WS7 - Impact on Rates'!D208</f>
        <v>$ nominal p.a.</v>
      </c>
      <c r="E274" s="54"/>
      <c r="F274" s="3"/>
      <c r="G274" s="3"/>
      <c r="H274" s="3"/>
      <c r="I274" s="31"/>
      <c r="J274" s="235" t="str">
        <f>'WS7 - Impact on Rates'!J208</f>
        <v>.</v>
      </c>
      <c r="K274" s="236" t="str">
        <f>'WS7 - Impact on Rates'!K208</f>
        <v>.</v>
      </c>
      <c r="L274" s="236">
        <f>'WS7 - Impact on Rates'!L208</f>
        <v>0</v>
      </c>
      <c r="M274" s="236">
        <f>'WS7 - Impact on Rates'!M208</f>
        <v>0</v>
      </c>
      <c r="N274" s="236">
        <f>'WS7 - Impact on Rates'!N208</f>
        <v>0</v>
      </c>
      <c r="O274" s="236">
        <f>'WS7 - Impact on Rates'!O208</f>
        <v>0</v>
      </c>
      <c r="P274" s="236">
        <f>'WS7 - Impact on Rates'!P208</f>
        <v>0</v>
      </c>
      <c r="Q274" s="237">
        <f>'WS7 - Impact on Rates'!Q208</f>
        <v>0</v>
      </c>
      <c r="R274" s="3"/>
      <c r="S274" s="3"/>
      <c r="T274" s="31"/>
      <c r="U274" s="3"/>
      <c r="V274" s="151"/>
      <c r="W274" s="151"/>
      <c r="X274" s="151"/>
      <c r="Y274" s="151"/>
      <c r="Z274" s="151"/>
      <c r="AA274" s="151"/>
      <c r="AB274" s="151"/>
      <c r="AC274" s="151"/>
      <c r="AD274" s="151"/>
      <c r="AE274" s="151"/>
      <c r="AF274" s="151"/>
    </row>
    <row r="275" spans="2:32" x14ac:dyDescent="0.2">
      <c r="B275" s="267" t="str">
        <f>'WS7 - Impact on Rates'!B209</f>
        <v>Special rate</v>
      </c>
      <c r="C275" s="207" t="str">
        <f>'WS7 - Impact on Rates'!C209</f>
        <v/>
      </c>
      <c r="D275" s="3" t="str">
        <f>'WS7 - Impact on Rates'!D209</f>
        <v>$ nominal p.a.</v>
      </c>
      <c r="E275" s="54"/>
      <c r="F275" s="3"/>
      <c r="G275" s="3"/>
      <c r="H275" s="3"/>
      <c r="I275" s="31"/>
      <c r="J275" s="235" t="str">
        <f>'WS7 - Impact on Rates'!J209</f>
        <v>.</v>
      </c>
      <c r="K275" s="236" t="str">
        <f>'WS7 - Impact on Rates'!K209</f>
        <v>.</v>
      </c>
      <c r="L275" s="236">
        <f>'WS7 - Impact on Rates'!L209</f>
        <v>0</v>
      </c>
      <c r="M275" s="236">
        <f>'WS7 - Impact on Rates'!M209</f>
        <v>0</v>
      </c>
      <c r="N275" s="236">
        <f>'WS7 - Impact on Rates'!N209</f>
        <v>0</v>
      </c>
      <c r="O275" s="236">
        <f>'WS7 - Impact on Rates'!O209</f>
        <v>0</v>
      </c>
      <c r="P275" s="236">
        <f>'WS7 - Impact on Rates'!P209</f>
        <v>0</v>
      </c>
      <c r="Q275" s="237">
        <f>'WS7 - Impact on Rates'!Q209</f>
        <v>0</v>
      </c>
      <c r="R275" s="3"/>
      <c r="S275" s="3"/>
      <c r="T275" s="31"/>
      <c r="U275" s="3"/>
      <c r="V275" s="151"/>
      <c r="W275" s="151"/>
      <c r="X275" s="151"/>
      <c r="Y275" s="151"/>
      <c r="Z275" s="151"/>
      <c r="AA275" s="151"/>
      <c r="AB275" s="151"/>
      <c r="AC275" s="151"/>
      <c r="AD275" s="151"/>
      <c r="AE275" s="151"/>
      <c r="AF275" s="151"/>
    </row>
    <row r="276" spans="2:32" x14ac:dyDescent="0.2">
      <c r="B276" s="267" t="str">
        <f>'WS7 - Impact on Rates'!B210</f>
        <v>Special rate</v>
      </c>
      <c r="C276" s="207" t="str">
        <f>'WS7 - Impact on Rates'!C210</f>
        <v/>
      </c>
      <c r="D276" s="3" t="str">
        <f>'WS7 - Impact on Rates'!D210</f>
        <v>$ nominal p.a.</v>
      </c>
      <c r="E276" s="54"/>
      <c r="F276" s="3"/>
      <c r="G276" s="3"/>
      <c r="H276" s="3"/>
      <c r="I276" s="31"/>
      <c r="J276" s="235" t="str">
        <f>'WS7 - Impact on Rates'!J210</f>
        <v>.</v>
      </c>
      <c r="K276" s="236" t="str">
        <f>'WS7 - Impact on Rates'!K210</f>
        <v>.</v>
      </c>
      <c r="L276" s="236">
        <f>'WS7 - Impact on Rates'!L210</f>
        <v>0</v>
      </c>
      <c r="M276" s="236">
        <f>'WS7 - Impact on Rates'!M210</f>
        <v>0</v>
      </c>
      <c r="N276" s="236">
        <f>'WS7 - Impact on Rates'!N210</f>
        <v>0</v>
      </c>
      <c r="O276" s="236">
        <f>'WS7 - Impact on Rates'!O210</f>
        <v>0</v>
      </c>
      <c r="P276" s="236">
        <f>'WS7 - Impact on Rates'!P210</f>
        <v>0</v>
      </c>
      <c r="Q276" s="237">
        <f>'WS7 - Impact on Rates'!Q210</f>
        <v>0</v>
      </c>
      <c r="R276" s="3"/>
      <c r="S276" s="3"/>
      <c r="T276" s="31"/>
      <c r="U276" s="3"/>
      <c r="V276" s="151"/>
      <c r="W276" s="151"/>
      <c r="X276" s="151"/>
      <c r="Y276" s="151"/>
      <c r="Z276" s="151"/>
      <c r="AA276" s="151"/>
      <c r="AB276" s="151"/>
      <c r="AC276" s="151"/>
      <c r="AD276" s="151"/>
      <c r="AE276" s="151"/>
      <c r="AF276" s="151"/>
    </row>
    <row r="277" spans="2:32" outlineLevel="1" x14ac:dyDescent="0.2">
      <c r="B277" s="267" t="str">
        <f>'WS7 - Impact on Rates'!B211</f>
        <v>Special rate</v>
      </c>
      <c r="C277" s="207" t="str">
        <f>'WS7 - Impact on Rates'!C211</f>
        <v/>
      </c>
      <c r="D277" s="3" t="str">
        <f>'WS7 - Impact on Rates'!D211</f>
        <v>$ nominal p.a.</v>
      </c>
      <c r="E277" s="54"/>
      <c r="F277" s="3"/>
      <c r="G277" s="3"/>
      <c r="H277" s="3"/>
      <c r="I277" s="31"/>
      <c r="J277" s="235" t="str">
        <f>'WS7 - Impact on Rates'!J211</f>
        <v>.</v>
      </c>
      <c r="K277" s="236" t="str">
        <f>'WS7 - Impact on Rates'!K211</f>
        <v>.</v>
      </c>
      <c r="L277" s="236">
        <f>'WS7 - Impact on Rates'!L211</f>
        <v>0</v>
      </c>
      <c r="M277" s="236">
        <f>'WS7 - Impact on Rates'!M211</f>
        <v>0</v>
      </c>
      <c r="N277" s="236">
        <f>'WS7 - Impact on Rates'!N211</f>
        <v>0</v>
      </c>
      <c r="O277" s="236">
        <f>'WS7 - Impact on Rates'!O211</f>
        <v>0</v>
      </c>
      <c r="P277" s="236">
        <f>'WS7 - Impact on Rates'!P211</f>
        <v>0</v>
      </c>
      <c r="Q277" s="237">
        <f>'WS7 - Impact on Rates'!Q211</f>
        <v>0</v>
      </c>
      <c r="R277" s="3"/>
      <c r="S277" s="3"/>
      <c r="T277" s="31"/>
      <c r="U277" s="3"/>
      <c r="V277" s="151"/>
      <c r="W277" s="151"/>
      <c r="X277" s="151"/>
      <c r="Y277" s="151"/>
      <c r="Z277" s="151"/>
      <c r="AA277" s="151"/>
      <c r="AB277" s="151"/>
      <c r="AC277" s="151"/>
      <c r="AD277" s="151"/>
      <c r="AE277" s="151"/>
      <c r="AF277" s="151"/>
    </row>
    <row r="278" spans="2:32" outlineLevel="1" x14ac:dyDescent="0.2">
      <c r="B278" s="267" t="str">
        <f>'WS7 - Impact on Rates'!B212</f>
        <v>Special rate</v>
      </c>
      <c r="C278" s="207" t="str">
        <f>'WS7 - Impact on Rates'!C212</f>
        <v/>
      </c>
      <c r="D278" s="3" t="str">
        <f>'WS7 - Impact on Rates'!D212</f>
        <v>$ nominal p.a.</v>
      </c>
      <c r="E278" s="54"/>
      <c r="F278" s="3"/>
      <c r="G278" s="3"/>
      <c r="H278" s="3"/>
      <c r="I278" s="31"/>
      <c r="J278" s="235" t="str">
        <f>'WS7 - Impact on Rates'!J212</f>
        <v>.</v>
      </c>
      <c r="K278" s="236" t="str">
        <f>'WS7 - Impact on Rates'!K212</f>
        <v>.</v>
      </c>
      <c r="L278" s="236">
        <f>'WS7 - Impact on Rates'!L212</f>
        <v>0</v>
      </c>
      <c r="M278" s="236">
        <f>'WS7 - Impact on Rates'!M212</f>
        <v>0</v>
      </c>
      <c r="N278" s="236">
        <f>'WS7 - Impact on Rates'!N212</f>
        <v>0</v>
      </c>
      <c r="O278" s="236">
        <f>'WS7 - Impact on Rates'!O212</f>
        <v>0</v>
      </c>
      <c r="P278" s="236">
        <f>'WS7 - Impact on Rates'!P212</f>
        <v>0</v>
      </c>
      <c r="Q278" s="237">
        <f>'WS7 - Impact on Rates'!Q212</f>
        <v>0</v>
      </c>
      <c r="R278" s="3"/>
      <c r="S278" s="3"/>
      <c r="T278" s="31"/>
      <c r="U278" s="3"/>
      <c r="V278" s="151"/>
      <c r="W278" s="151"/>
      <c r="X278" s="151"/>
      <c r="Y278" s="151"/>
      <c r="Z278" s="151"/>
      <c r="AA278" s="151"/>
      <c r="AB278" s="151"/>
      <c r="AC278" s="151"/>
      <c r="AD278" s="151"/>
      <c r="AE278" s="151"/>
      <c r="AF278" s="151"/>
    </row>
    <row r="279" spans="2:32" outlineLevel="1" x14ac:dyDescent="0.2">
      <c r="B279" s="267" t="str">
        <f>'WS7 - Impact on Rates'!B213</f>
        <v>Special rate</v>
      </c>
      <c r="C279" s="207" t="str">
        <f>'WS7 - Impact on Rates'!C213</f>
        <v/>
      </c>
      <c r="D279" s="3" t="str">
        <f>'WS7 - Impact on Rates'!D213</f>
        <v>$ nominal p.a.</v>
      </c>
      <c r="E279" s="54"/>
      <c r="F279" s="3"/>
      <c r="G279" s="3"/>
      <c r="H279" s="3"/>
      <c r="I279" s="31"/>
      <c r="J279" s="235" t="str">
        <f>'WS7 - Impact on Rates'!J213</f>
        <v>.</v>
      </c>
      <c r="K279" s="236" t="str">
        <f>'WS7 - Impact on Rates'!K213</f>
        <v>.</v>
      </c>
      <c r="L279" s="236">
        <f>'WS7 - Impact on Rates'!L213</f>
        <v>0</v>
      </c>
      <c r="M279" s="236">
        <f>'WS7 - Impact on Rates'!M213</f>
        <v>0</v>
      </c>
      <c r="N279" s="236">
        <f>'WS7 - Impact on Rates'!N213</f>
        <v>0</v>
      </c>
      <c r="O279" s="236">
        <f>'WS7 - Impact on Rates'!O213</f>
        <v>0</v>
      </c>
      <c r="P279" s="236">
        <f>'WS7 - Impact on Rates'!P213</f>
        <v>0</v>
      </c>
      <c r="Q279" s="237">
        <f>'WS7 - Impact on Rates'!Q213</f>
        <v>0</v>
      </c>
      <c r="R279" s="3"/>
      <c r="S279" s="3"/>
      <c r="T279" s="31"/>
      <c r="U279" s="3"/>
      <c r="V279" s="151"/>
      <c r="W279" s="151"/>
      <c r="X279" s="151"/>
      <c r="Y279" s="151"/>
      <c r="Z279" s="151"/>
      <c r="AA279" s="151"/>
      <c r="AB279" s="151"/>
      <c r="AC279" s="151"/>
      <c r="AD279" s="151"/>
      <c r="AE279" s="151"/>
      <c r="AF279" s="151"/>
    </row>
    <row r="280" spans="2:32" outlineLevel="1" x14ac:dyDescent="0.2">
      <c r="B280" s="267" t="str">
        <f>'WS7 - Impact on Rates'!B214</f>
        <v>Special rate</v>
      </c>
      <c r="C280" s="207" t="str">
        <f>'WS7 - Impact on Rates'!C214</f>
        <v/>
      </c>
      <c r="D280" s="3" t="str">
        <f>'WS7 - Impact on Rates'!D214</f>
        <v>$ nominal p.a.</v>
      </c>
      <c r="E280" s="54"/>
      <c r="F280" s="3"/>
      <c r="G280" s="3"/>
      <c r="H280" s="3"/>
      <c r="I280" s="31"/>
      <c r="J280" s="235" t="str">
        <f>'WS7 - Impact on Rates'!J214</f>
        <v>.</v>
      </c>
      <c r="K280" s="236" t="str">
        <f>'WS7 - Impact on Rates'!K214</f>
        <v>.</v>
      </c>
      <c r="L280" s="236">
        <f>'WS7 - Impact on Rates'!L214</f>
        <v>0</v>
      </c>
      <c r="M280" s="236">
        <f>'WS7 - Impact on Rates'!M214</f>
        <v>0</v>
      </c>
      <c r="N280" s="236">
        <f>'WS7 - Impact on Rates'!N214</f>
        <v>0</v>
      </c>
      <c r="O280" s="236">
        <f>'WS7 - Impact on Rates'!O214</f>
        <v>0</v>
      </c>
      <c r="P280" s="236">
        <f>'WS7 - Impact on Rates'!P214</f>
        <v>0</v>
      </c>
      <c r="Q280" s="237">
        <f>'WS7 - Impact on Rates'!Q214</f>
        <v>0</v>
      </c>
      <c r="R280" s="3"/>
      <c r="S280" s="3"/>
      <c r="T280" s="31"/>
      <c r="U280" s="3"/>
      <c r="V280" s="151"/>
      <c r="W280" s="151"/>
      <c r="X280" s="151"/>
      <c r="Y280" s="151"/>
      <c r="Z280" s="151"/>
      <c r="AA280" s="151"/>
      <c r="AB280" s="151"/>
      <c r="AC280" s="151"/>
      <c r="AD280" s="151"/>
      <c r="AE280" s="151"/>
      <c r="AF280" s="151"/>
    </row>
    <row r="281" spans="2:32" outlineLevel="1" x14ac:dyDescent="0.2">
      <c r="B281" s="267" t="str">
        <f>'WS7 - Impact on Rates'!B215</f>
        <v>Special rate</v>
      </c>
      <c r="C281" s="207" t="str">
        <f>'WS7 - Impact on Rates'!C215</f>
        <v/>
      </c>
      <c r="D281" s="3" t="str">
        <f>'WS7 - Impact on Rates'!D215</f>
        <v>$ nominal p.a.</v>
      </c>
      <c r="E281" s="54"/>
      <c r="F281" s="3"/>
      <c r="G281" s="3"/>
      <c r="H281" s="3"/>
      <c r="I281" s="31"/>
      <c r="J281" s="235" t="str">
        <f>'WS7 - Impact on Rates'!J215</f>
        <v>.</v>
      </c>
      <c r="K281" s="236" t="str">
        <f>'WS7 - Impact on Rates'!K215</f>
        <v>.</v>
      </c>
      <c r="L281" s="236">
        <f>'WS7 - Impact on Rates'!L215</f>
        <v>0</v>
      </c>
      <c r="M281" s="236">
        <f>'WS7 - Impact on Rates'!M215</f>
        <v>0</v>
      </c>
      <c r="N281" s="236">
        <f>'WS7 - Impact on Rates'!N215</f>
        <v>0</v>
      </c>
      <c r="O281" s="236">
        <f>'WS7 - Impact on Rates'!O215</f>
        <v>0</v>
      </c>
      <c r="P281" s="236">
        <f>'WS7 - Impact on Rates'!P215</f>
        <v>0</v>
      </c>
      <c r="Q281" s="237">
        <f>'WS7 - Impact on Rates'!Q215</f>
        <v>0</v>
      </c>
      <c r="R281" s="3"/>
      <c r="S281" s="3"/>
      <c r="T281" s="31"/>
      <c r="U281" s="3"/>
      <c r="V281" s="151"/>
      <c r="W281" s="151"/>
      <c r="X281" s="151"/>
      <c r="Y281" s="151"/>
      <c r="Z281" s="151"/>
      <c r="AA281" s="151"/>
      <c r="AB281" s="151"/>
      <c r="AC281" s="151"/>
      <c r="AD281" s="151"/>
      <c r="AE281" s="151"/>
      <c r="AF281" s="151"/>
    </row>
    <row r="282" spans="2:32" outlineLevel="1" x14ac:dyDescent="0.2">
      <c r="B282" s="267" t="str">
        <f>'WS7 - Impact on Rates'!B216</f>
        <v>Special rate</v>
      </c>
      <c r="C282" s="207" t="str">
        <f>'WS7 - Impact on Rates'!C216</f>
        <v/>
      </c>
      <c r="D282" s="3" t="str">
        <f>'WS7 - Impact on Rates'!D216</f>
        <v>$ nominal p.a.</v>
      </c>
      <c r="E282" s="54"/>
      <c r="F282" s="3"/>
      <c r="G282" s="3"/>
      <c r="H282" s="3"/>
      <c r="I282" s="31"/>
      <c r="J282" s="235" t="str">
        <f>'WS7 - Impact on Rates'!J216</f>
        <v>.</v>
      </c>
      <c r="K282" s="236" t="str">
        <f>'WS7 - Impact on Rates'!K216</f>
        <v>.</v>
      </c>
      <c r="L282" s="236">
        <f>'WS7 - Impact on Rates'!L216</f>
        <v>0</v>
      </c>
      <c r="M282" s="236">
        <f>'WS7 - Impact on Rates'!M216</f>
        <v>0</v>
      </c>
      <c r="N282" s="236">
        <f>'WS7 - Impact on Rates'!N216</f>
        <v>0</v>
      </c>
      <c r="O282" s="236">
        <f>'WS7 - Impact on Rates'!O216</f>
        <v>0</v>
      </c>
      <c r="P282" s="236">
        <f>'WS7 - Impact on Rates'!P216</f>
        <v>0</v>
      </c>
      <c r="Q282" s="237">
        <f>'WS7 - Impact on Rates'!Q216</f>
        <v>0</v>
      </c>
      <c r="R282" s="3"/>
      <c r="S282" s="3"/>
      <c r="T282" s="31"/>
      <c r="U282" s="3"/>
      <c r="V282" s="151"/>
      <c r="W282" s="151"/>
      <c r="X282" s="151"/>
      <c r="Y282" s="151"/>
      <c r="Z282" s="151"/>
      <c r="AA282" s="151"/>
      <c r="AB282" s="151"/>
      <c r="AC282" s="151"/>
      <c r="AD282" s="151"/>
      <c r="AE282" s="151"/>
      <c r="AF282" s="151"/>
    </row>
    <row r="283" spans="2:32" outlineLevel="1" x14ac:dyDescent="0.2">
      <c r="B283" s="267" t="str">
        <f>'WS7 - Impact on Rates'!B217</f>
        <v>Special rate</v>
      </c>
      <c r="C283" s="207" t="str">
        <f>'WS7 - Impact on Rates'!C217</f>
        <v/>
      </c>
      <c r="D283" s="3" t="str">
        <f>'WS7 - Impact on Rates'!D217</f>
        <v>$ nominal p.a.</v>
      </c>
      <c r="E283" s="54"/>
      <c r="F283" s="3"/>
      <c r="G283" s="3"/>
      <c r="H283" s="3"/>
      <c r="I283" s="31"/>
      <c r="J283" s="235" t="str">
        <f>'WS7 - Impact on Rates'!J217</f>
        <v>.</v>
      </c>
      <c r="K283" s="236" t="str">
        <f>'WS7 - Impact on Rates'!K217</f>
        <v>.</v>
      </c>
      <c r="L283" s="236">
        <f>'WS7 - Impact on Rates'!L217</f>
        <v>0</v>
      </c>
      <c r="M283" s="236">
        <f>'WS7 - Impact on Rates'!M217</f>
        <v>0</v>
      </c>
      <c r="N283" s="236">
        <f>'WS7 - Impact on Rates'!N217</f>
        <v>0</v>
      </c>
      <c r="O283" s="236">
        <f>'WS7 - Impact on Rates'!O217</f>
        <v>0</v>
      </c>
      <c r="P283" s="236">
        <f>'WS7 - Impact on Rates'!P217</f>
        <v>0</v>
      </c>
      <c r="Q283" s="237">
        <f>'WS7 - Impact on Rates'!Q217</f>
        <v>0</v>
      </c>
      <c r="R283" s="3"/>
      <c r="S283" s="3"/>
      <c r="T283" s="31"/>
      <c r="U283" s="3"/>
      <c r="V283" s="151"/>
      <c r="W283" s="151"/>
      <c r="X283" s="151"/>
      <c r="Y283" s="151"/>
      <c r="Z283" s="151"/>
      <c r="AA283" s="151"/>
      <c r="AB283" s="151"/>
      <c r="AC283" s="151"/>
      <c r="AD283" s="151"/>
      <c r="AE283" s="151"/>
      <c r="AF283" s="151"/>
    </row>
    <row r="284" spans="2:32" ht="12.75" outlineLevel="1" thickBot="1" x14ac:dyDescent="0.25">
      <c r="B284" s="267" t="str">
        <f>'WS7 - Impact on Rates'!B218</f>
        <v>Special rate</v>
      </c>
      <c r="C284" s="207" t="str">
        <f>'WS7 - Impact on Rates'!C218</f>
        <v/>
      </c>
      <c r="D284" s="3" t="str">
        <f>'WS7 - Impact on Rates'!D218</f>
        <v>$ nominal p.a.</v>
      </c>
      <c r="E284" s="54"/>
      <c r="F284" s="3"/>
      <c r="G284" s="3"/>
      <c r="H284" s="3"/>
      <c r="I284" s="31"/>
      <c r="J284" s="235" t="str">
        <f>'WS7 - Impact on Rates'!J218</f>
        <v>.</v>
      </c>
      <c r="K284" s="236" t="str">
        <f>'WS7 - Impact on Rates'!K218</f>
        <v>.</v>
      </c>
      <c r="L284" s="236">
        <f>'WS7 - Impact on Rates'!L218</f>
        <v>0</v>
      </c>
      <c r="M284" s="236">
        <f>'WS7 - Impact on Rates'!M218</f>
        <v>0</v>
      </c>
      <c r="N284" s="236">
        <f>'WS7 - Impact on Rates'!N218</f>
        <v>0</v>
      </c>
      <c r="O284" s="236">
        <f>'WS7 - Impact on Rates'!O218</f>
        <v>0</v>
      </c>
      <c r="P284" s="236">
        <f>'WS7 - Impact on Rates'!P218</f>
        <v>0</v>
      </c>
      <c r="Q284" s="237">
        <f>'WS7 - Impact on Rates'!Q218</f>
        <v>0</v>
      </c>
      <c r="R284" s="3"/>
      <c r="S284" s="3"/>
      <c r="T284" s="31"/>
      <c r="U284" s="3"/>
      <c r="V284" s="151"/>
      <c r="W284" s="151"/>
      <c r="X284" s="151"/>
      <c r="Y284" s="151"/>
      <c r="Z284" s="151"/>
      <c r="AA284" s="151"/>
      <c r="AB284" s="151"/>
      <c r="AC284" s="151"/>
      <c r="AD284" s="151"/>
      <c r="AE284" s="151"/>
      <c r="AF284" s="151"/>
    </row>
    <row r="285" spans="2:32" ht="13.5" thickTop="1" thickBot="1" x14ac:dyDescent="0.25">
      <c r="B285" s="332" t="str">
        <f>B265</f>
        <v>Mining</v>
      </c>
      <c r="C285" s="207" t="str">
        <f>'WS7 - Impact on Rates'!C219</f>
        <v>TOTAL AVERAGE</v>
      </c>
      <c r="D285" s="3"/>
      <c r="E285" s="54"/>
      <c r="F285" s="3"/>
      <c r="G285" s="3"/>
      <c r="H285" s="3"/>
      <c r="I285" s="31"/>
      <c r="J285" s="235" t="str">
        <f>'WS7 - Impact on Rates'!J219</f>
        <v>.</v>
      </c>
      <c r="K285" s="236" t="str">
        <f>'WS7 - Impact on Rates'!K219</f>
        <v>.</v>
      </c>
      <c r="L285" s="236" t="str">
        <f>'WS7 - Impact on Rates'!L219</f>
        <v>.</v>
      </c>
      <c r="M285" s="236" t="str">
        <f>'WS7 - Impact on Rates'!M219</f>
        <v>.</v>
      </c>
      <c r="N285" s="236" t="str">
        <f>'WS7 - Impact on Rates'!N219</f>
        <v>.</v>
      </c>
      <c r="O285" s="236" t="str">
        <f>'WS7 - Impact on Rates'!O219</f>
        <v>.</v>
      </c>
      <c r="P285" s="236" t="str">
        <f>'WS7 - Impact on Rates'!P219</f>
        <v>.</v>
      </c>
      <c r="Q285" s="237" t="str">
        <f>'WS7 - Impact on Rates'!Q219</f>
        <v>.</v>
      </c>
      <c r="R285" s="3"/>
      <c r="S285" s="3"/>
      <c r="T285" s="31"/>
      <c r="U285" s="3"/>
      <c r="V285" s="151"/>
      <c r="W285" s="151"/>
      <c r="X285" s="151"/>
      <c r="Y285" s="151"/>
      <c r="Z285" s="151"/>
      <c r="AA285" s="151"/>
      <c r="AB285" s="151"/>
      <c r="AC285" s="151"/>
      <c r="AD285" s="151"/>
      <c r="AE285" s="151"/>
      <c r="AF285" s="151"/>
    </row>
    <row r="286" spans="2:32" ht="12.75" thickTop="1" x14ac:dyDescent="0.2">
      <c r="B286" s="54"/>
      <c r="C286" s="3"/>
      <c r="D286" s="3"/>
      <c r="E286" s="54"/>
      <c r="F286" s="3"/>
      <c r="G286" s="3"/>
      <c r="H286" s="3"/>
      <c r="I286" s="31"/>
      <c r="J286" s="199"/>
      <c r="K286" s="16"/>
      <c r="L286" s="16"/>
      <c r="M286" s="16"/>
      <c r="N286" s="16"/>
      <c r="O286" s="16"/>
      <c r="P286" s="16"/>
      <c r="Q286" s="200"/>
      <c r="R286" s="3"/>
      <c r="S286" s="3"/>
      <c r="T286" s="31"/>
      <c r="U286" s="3"/>
      <c r="V286" s="151"/>
      <c r="W286" s="151"/>
      <c r="X286" s="151"/>
      <c r="Y286" s="151"/>
      <c r="Z286" s="151"/>
      <c r="AA286" s="151"/>
      <c r="AB286" s="151"/>
      <c r="AC286" s="151"/>
      <c r="AD286" s="151"/>
      <c r="AE286" s="151"/>
      <c r="AF286" s="151"/>
    </row>
    <row r="287" spans="2:32" ht="12.75" thickBot="1" x14ac:dyDescent="0.25">
      <c r="B287" s="219" t="str">
        <f>'WS7 - Impact on Rates'!B222</f>
        <v>Table 7.3: Average Ordinary and Special Rates - without proposed special variation (assumed rate peg only)</v>
      </c>
      <c r="C287" s="3"/>
      <c r="D287" s="3"/>
      <c r="E287" s="54"/>
      <c r="F287" s="3"/>
      <c r="G287" s="3"/>
      <c r="H287" s="3"/>
      <c r="I287" s="31"/>
      <c r="J287" s="199"/>
      <c r="K287" s="16"/>
      <c r="L287" s="16"/>
      <c r="M287" s="16"/>
      <c r="N287" s="16"/>
      <c r="O287" s="16"/>
      <c r="P287" s="16"/>
      <c r="Q287" s="200"/>
      <c r="R287" s="3"/>
      <c r="S287" s="3"/>
      <c r="T287" s="31"/>
      <c r="U287" s="3"/>
      <c r="V287" s="151"/>
      <c r="W287" s="151"/>
      <c r="X287" s="151"/>
      <c r="Y287" s="151"/>
      <c r="Z287" s="151"/>
      <c r="AA287" s="151"/>
      <c r="AB287" s="151"/>
      <c r="AC287" s="151"/>
      <c r="AD287" s="151"/>
      <c r="AE287" s="151"/>
      <c r="AF287" s="151"/>
    </row>
    <row r="288" spans="2:32" ht="13.5" thickTop="1" thickBot="1" x14ac:dyDescent="0.25">
      <c r="B288" s="332" t="str">
        <f>'WS7 - Impact on Rates'!B225</f>
        <v>Residential</v>
      </c>
      <c r="C288" s="3"/>
      <c r="D288" s="3" t="str">
        <f>'WS7 - Impact on Rates'!D225</f>
        <v>$ nominal p.a.</v>
      </c>
      <c r="E288" s="54"/>
      <c r="F288" s="3"/>
      <c r="G288" s="3"/>
      <c r="H288" s="3"/>
      <c r="I288" s="31"/>
      <c r="J288" s="235">
        <f>'WS7 - Impact on Rates'!J255</f>
        <v>1087.8681447394329</v>
      </c>
      <c r="K288" s="236">
        <f>'WS7 - Impact on Rates'!K255</f>
        <v>1142.26</v>
      </c>
      <c r="L288" s="236">
        <f>'WS7 - Impact on Rates'!L255</f>
        <v>1176.53</v>
      </c>
      <c r="M288" s="236">
        <f>'WS7 - Impact on Rates'!M255</f>
        <v>1211.83</v>
      </c>
      <c r="N288" s="236">
        <f>'WS7 - Impact on Rates'!N255</f>
        <v>1248.18</v>
      </c>
      <c r="O288" s="236">
        <f>'WS7 - Impact on Rates'!O255</f>
        <v>1285.6300000000001</v>
      </c>
      <c r="P288" s="236">
        <f>'WS7 - Impact on Rates'!P255</f>
        <v>1324.19</v>
      </c>
      <c r="Q288" s="237">
        <f>'WS7 - Impact on Rates'!Q255</f>
        <v>1363.92</v>
      </c>
      <c r="R288" s="3"/>
      <c r="S288" s="3"/>
      <c r="T288" s="31"/>
      <c r="U288" s="3"/>
      <c r="V288" s="151"/>
      <c r="W288" s="151"/>
      <c r="X288" s="151"/>
      <c r="Y288" s="151"/>
      <c r="Z288" s="151"/>
      <c r="AA288" s="151"/>
      <c r="AB288" s="151"/>
      <c r="AC288" s="151"/>
      <c r="AD288" s="151"/>
      <c r="AE288" s="151"/>
      <c r="AF288" s="151"/>
    </row>
    <row r="289" spans="2:32" ht="13.5" thickTop="1" thickBot="1" x14ac:dyDescent="0.25">
      <c r="B289" s="332" t="str">
        <f>'WS7 - Impact on Rates'!B256</f>
        <v>Business</v>
      </c>
      <c r="C289" s="3"/>
      <c r="D289" s="3" t="str">
        <f>'WS7 - Impact on Rates'!D256</f>
        <v>$ nominal p.a.</v>
      </c>
      <c r="E289" s="54"/>
      <c r="F289" s="3"/>
      <c r="G289" s="3"/>
      <c r="H289" s="3"/>
      <c r="I289" s="31"/>
      <c r="J289" s="235">
        <f>'WS7 - Impact on Rates'!J301</f>
        <v>7374.7837216628586</v>
      </c>
      <c r="K289" s="236">
        <f>'WS7 - Impact on Rates'!K301</f>
        <v>7743.5252459557605</v>
      </c>
      <c r="L289" s="236">
        <f>'WS7 - Impact on Rates'!L301</f>
        <v>7975.8295113898976</v>
      </c>
      <c r="M289" s="236">
        <f>'WS7 - Impact on Rates'!M301</f>
        <v>7903.4488147903585</v>
      </c>
      <c r="N289" s="236">
        <f>'WS7 - Impact on Rates'!N301</f>
        <v>8461.5604126774506</v>
      </c>
      <c r="O289" s="236">
        <f>'WS7 - Impact on Rates'!O301</f>
        <v>8715.4032750082533</v>
      </c>
      <c r="P289" s="236">
        <f>'WS7 - Impact on Rates'!P301</f>
        <v>8976.8671607791366</v>
      </c>
      <c r="Q289" s="237">
        <f>'WS7 - Impact on Rates'!Q301</f>
        <v>9246.1732948167719</v>
      </c>
      <c r="R289" s="3"/>
      <c r="S289" s="3"/>
      <c r="T289" s="31"/>
      <c r="U289" s="3"/>
      <c r="V289" s="151"/>
      <c r="W289" s="151"/>
      <c r="X289" s="151"/>
      <c r="Y289" s="151"/>
      <c r="Z289" s="151"/>
      <c r="AA289" s="151"/>
      <c r="AB289" s="151"/>
      <c r="AC289" s="151"/>
      <c r="AD289" s="151"/>
      <c r="AE289" s="151"/>
      <c r="AF289" s="151"/>
    </row>
    <row r="290" spans="2:32" ht="13.5" thickTop="1" thickBot="1" x14ac:dyDescent="0.25">
      <c r="B290" s="332" t="str">
        <f>'WS7 - Impact on Rates'!B302</f>
        <v>Farmland</v>
      </c>
      <c r="C290" s="3"/>
      <c r="D290" s="3" t="str">
        <f>'WS7 - Impact on Rates'!D302</f>
        <v>$ nominal p.a.</v>
      </c>
      <c r="E290" s="54"/>
      <c r="F290" s="3"/>
      <c r="G290" s="3"/>
      <c r="H290" s="3"/>
      <c r="I290" s="31"/>
      <c r="J290" s="235" t="str">
        <f>'WS7 - Impact on Rates'!J322</f>
        <v>.</v>
      </c>
      <c r="K290" s="236" t="str">
        <f>'WS7 - Impact on Rates'!K322</f>
        <v>.</v>
      </c>
      <c r="L290" s="236" t="str">
        <f>'WS7 - Impact on Rates'!L322</f>
        <v>.</v>
      </c>
      <c r="M290" s="236" t="str">
        <f>'WS7 - Impact on Rates'!M322</f>
        <v>.</v>
      </c>
      <c r="N290" s="236" t="str">
        <f>'WS7 - Impact on Rates'!N322</f>
        <v>.</v>
      </c>
      <c r="O290" s="236" t="str">
        <f>'WS7 - Impact on Rates'!O322</f>
        <v>.</v>
      </c>
      <c r="P290" s="236" t="str">
        <f>'WS7 - Impact on Rates'!P322</f>
        <v>.</v>
      </c>
      <c r="Q290" s="237" t="str">
        <f>'WS7 - Impact on Rates'!Q322</f>
        <v>.</v>
      </c>
      <c r="R290" s="3"/>
      <c r="S290" s="3"/>
      <c r="T290" s="31"/>
      <c r="U290" s="3"/>
      <c r="V290" s="151"/>
      <c r="W290" s="151"/>
      <c r="X290" s="151"/>
      <c r="Y290" s="151"/>
      <c r="Z290" s="151"/>
      <c r="AA290" s="151"/>
      <c r="AB290" s="151"/>
      <c r="AC290" s="151"/>
      <c r="AD290" s="151"/>
      <c r="AE290" s="151"/>
      <c r="AF290" s="151"/>
    </row>
    <row r="291" spans="2:32" ht="13.5" thickTop="1" thickBot="1" x14ac:dyDescent="0.25">
      <c r="B291" s="332" t="str">
        <f>'WS7 - Impact on Rates'!B323</f>
        <v>Mining</v>
      </c>
      <c r="C291" s="3"/>
      <c r="D291" s="3" t="str">
        <f>'WS7 - Impact on Rates'!D323</f>
        <v>$ nominal p.a.</v>
      </c>
      <c r="E291" s="54"/>
      <c r="F291" s="3"/>
      <c r="G291" s="3"/>
      <c r="H291" s="3"/>
      <c r="I291" s="31"/>
      <c r="J291" s="235" t="str">
        <f>'WS7 - Impact on Rates'!J343</f>
        <v>.</v>
      </c>
      <c r="K291" s="236" t="str">
        <f>'WS7 - Impact on Rates'!K343</f>
        <v>.</v>
      </c>
      <c r="L291" s="236" t="str">
        <f>'WS7 - Impact on Rates'!L343</f>
        <v>.</v>
      </c>
      <c r="M291" s="236" t="str">
        <f>'WS7 - Impact on Rates'!M343</f>
        <v>.</v>
      </c>
      <c r="N291" s="236" t="str">
        <f>'WS7 - Impact on Rates'!N343</f>
        <v>.</v>
      </c>
      <c r="O291" s="236" t="str">
        <f>'WS7 - Impact on Rates'!O343</f>
        <v>.</v>
      </c>
      <c r="P291" s="236" t="str">
        <f>'WS7 - Impact on Rates'!P343</f>
        <v>.</v>
      </c>
      <c r="Q291" s="237" t="str">
        <f>'WS7 - Impact on Rates'!Q343</f>
        <v>.</v>
      </c>
      <c r="R291" s="3"/>
      <c r="S291" s="3"/>
      <c r="T291" s="31"/>
      <c r="U291" s="3"/>
      <c r="V291" s="151"/>
      <c r="W291" s="151"/>
      <c r="X291" s="151"/>
      <c r="Y291" s="151"/>
      <c r="Z291" s="151"/>
      <c r="AA291" s="151"/>
      <c r="AB291" s="151"/>
      <c r="AC291" s="151"/>
      <c r="AD291" s="151"/>
      <c r="AE291" s="151"/>
      <c r="AF291" s="151"/>
    </row>
    <row r="292" spans="2:32" ht="12.75" thickTop="1" x14ac:dyDescent="0.2">
      <c r="B292" s="32"/>
      <c r="C292" s="30"/>
      <c r="D292" s="30"/>
      <c r="E292" s="32"/>
      <c r="F292" s="30"/>
      <c r="G292" s="30"/>
      <c r="H292" s="30"/>
      <c r="I292" s="33"/>
      <c r="J292" s="32"/>
      <c r="K292" s="30"/>
      <c r="L292" s="30"/>
      <c r="M292" s="30"/>
      <c r="N292" s="30"/>
      <c r="O292" s="30"/>
      <c r="P292" s="30"/>
      <c r="Q292" s="33"/>
      <c r="R292" s="30"/>
      <c r="S292" s="30"/>
      <c r="T292" s="33"/>
      <c r="U292" s="3"/>
      <c r="V292" s="151"/>
      <c r="W292" s="151"/>
      <c r="X292" s="151"/>
      <c r="Y292" s="151"/>
      <c r="Z292" s="151"/>
      <c r="AA292" s="151"/>
      <c r="AB292" s="151"/>
      <c r="AC292" s="151"/>
      <c r="AD292" s="151"/>
      <c r="AE292" s="151"/>
      <c r="AF292" s="151"/>
    </row>
    <row r="293" spans="2:32" x14ac:dyDescent="0.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2:32" x14ac:dyDescent="0.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2:32" x14ac:dyDescent="0.2">
      <c r="B295" s="207" t="str">
        <f>'WS9 - Financials'!B4</f>
        <v>WORKSHEET 9: FINANCIAL INFORMATION</v>
      </c>
      <c r="C295" s="3"/>
      <c r="D295" s="3"/>
      <c r="E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2:32" x14ac:dyDescent="0.2">
      <c r="B296" s="208"/>
      <c r="C296" s="3"/>
      <c r="D296" s="3"/>
      <c r="E296" s="3"/>
      <c r="F296" s="3"/>
      <c r="G296" s="208"/>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2:32" x14ac:dyDescent="0.2">
      <c r="B297" s="334" t="str">
        <f>B$51</f>
        <v>Year number</v>
      </c>
      <c r="C297" s="282"/>
      <c r="D297" s="282"/>
      <c r="E297" s="312"/>
      <c r="F297" s="282"/>
      <c r="G297" s="350" t="str">
        <f t="shared" ref="G297:T297" si="5">G$51</f>
        <v>Hist yr -3</v>
      </c>
      <c r="H297" s="350" t="str">
        <f t="shared" si="5"/>
        <v>Hist yr -2</v>
      </c>
      <c r="I297" s="353" t="str">
        <f t="shared" si="5"/>
        <v>Hist yr -1</v>
      </c>
      <c r="J297" s="315" t="str">
        <f t="shared" si="5"/>
        <v>Year 0</v>
      </c>
      <c r="K297" s="315" t="str">
        <f t="shared" si="5"/>
        <v>Year 1</v>
      </c>
      <c r="L297" s="315" t="str">
        <f t="shared" si="5"/>
        <v>Year 2</v>
      </c>
      <c r="M297" s="315" t="str">
        <f t="shared" si="5"/>
        <v>Year 3</v>
      </c>
      <c r="N297" s="315" t="str">
        <f t="shared" si="5"/>
        <v>Year 4</v>
      </c>
      <c r="O297" s="315" t="str">
        <f t="shared" si="5"/>
        <v>Year 5</v>
      </c>
      <c r="P297" s="315" t="str">
        <f t="shared" si="5"/>
        <v>Year 6</v>
      </c>
      <c r="Q297" s="315" t="str">
        <f t="shared" si="5"/>
        <v>Year 7</v>
      </c>
      <c r="R297" s="315" t="str">
        <f t="shared" si="5"/>
        <v>Year 8</v>
      </c>
      <c r="S297" s="315" t="str">
        <f t="shared" si="5"/>
        <v>Year 9</v>
      </c>
      <c r="T297" s="315" t="str">
        <f t="shared" si="5"/>
        <v>Year 10</v>
      </c>
      <c r="U297" s="496"/>
      <c r="V297" s="3"/>
      <c r="W297" s="3"/>
      <c r="X297" s="3"/>
      <c r="Y297" s="3"/>
      <c r="Z297" s="3"/>
      <c r="AA297" s="3"/>
      <c r="AB297" s="3"/>
      <c r="AC297" s="3"/>
      <c r="AD297" s="3"/>
      <c r="AE297" s="3"/>
    </row>
    <row r="298" spans="2:32" x14ac:dyDescent="0.2">
      <c r="B298" s="209" t="str">
        <f>B$52</f>
        <v>Financial year</v>
      </c>
      <c r="C298" s="30"/>
      <c r="D298" s="30"/>
      <c r="E298" s="32"/>
      <c r="F298" s="30"/>
      <c r="G298" s="211" t="str">
        <f t="shared" ref="G298:T298" si="6">G$52</f>
        <v>2020-21</v>
      </c>
      <c r="H298" s="211" t="str">
        <f t="shared" si="6"/>
        <v>2021-22</v>
      </c>
      <c r="I298" s="226" t="str">
        <f t="shared" si="6"/>
        <v>2022-23</v>
      </c>
      <c r="J298" s="214" t="str">
        <f t="shared" si="6"/>
        <v>2023-24</v>
      </c>
      <c r="K298" s="214" t="str">
        <f t="shared" si="6"/>
        <v>2024-25</v>
      </c>
      <c r="L298" s="214" t="str">
        <f t="shared" si="6"/>
        <v>2025-26</v>
      </c>
      <c r="M298" s="214" t="str">
        <f t="shared" si="6"/>
        <v>2026-27</v>
      </c>
      <c r="N298" s="214" t="str">
        <f t="shared" si="6"/>
        <v>2027-28</v>
      </c>
      <c r="O298" s="214" t="str">
        <f t="shared" si="6"/>
        <v>2028-29</v>
      </c>
      <c r="P298" s="214" t="str">
        <f t="shared" si="6"/>
        <v>2029-30</v>
      </c>
      <c r="Q298" s="214" t="str">
        <f t="shared" si="6"/>
        <v>2030-31</v>
      </c>
      <c r="R298" s="214" t="str">
        <f t="shared" si="6"/>
        <v>2031-32</v>
      </c>
      <c r="S298" s="214" t="str">
        <f t="shared" si="6"/>
        <v>2032-33</v>
      </c>
      <c r="T298" s="214" t="str">
        <f t="shared" si="6"/>
        <v>2033-34</v>
      </c>
      <c r="U298" s="497"/>
      <c r="V298" s="3"/>
      <c r="W298" s="3"/>
      <c r="X298" s="3"/>
      <c r="Y298" s="3"/>
      <c r="Z298" s="3"/>
      <c r="AA298" s="3"/>
      <c r="AB298" s="3"/>
      <c r="AC298" s="3"/>
      <c r="AD298" s="3"/>
      <c r="AE298" s="3"/>
    </row>
    <row r="299" spans="2:32" x14ac:dyDescent="0.2">
      <c r="B299" s="54"/>
      <c r="C299" s="3"/>
      <c r="D299" s="3"/>
      <c r="E299" s="54"/>
      <c r="F299" s="3"/>
      <c r="G299" s="3"/>
      <c r="H299" s="3"/>
      <c r="I299" s="31"/>
      <c r="J299" s="3"/>
      <c r="K299" s="3"/>
      <c r="L299" s="3"/>
      <c r="M299" s="3"/>
      <c r="N299" s="3"/>
      <c r="O299" s="3"/>
      <c r="P299" s="3"/>
      <c r="Q299" s="3"/>
      <c r="R299" s="3"/>
      <c r="S299" s="3"/>
      <c r="T299" s="3"/>
      <c r="U299" s="54"/>
      <c r="V299" s="3"/>
      <c r="W299" s="3"/>
      <c r="X299" s="3"/>
      <c r="Y299" s="3"/>
      <c r="Z299" s="3"/>
      <c r="AA299" s="3"/>
      <c r="AB299" s="3"/>
      <c r="AC299" s="3"/>
      <c r="AD299" s="3"/>
      <c r="AE299" s="3"/>
    </row>
    <row r="300" spans="2:32" x14ac:dyDescent="0.2">
      <c r="B300" s="54"/>
      <c r="C300" s="3"/>
      <c r="D300" s="3"/>
      <c r="E300" s="54"/>
      <c r="F300" s="3"/>
      <c r="G300" s="3"/>
      <c r="H300" s="3"/>
      <c r="I300" s="31"/>
      <c r="J300" s="3"/>
      <c r="K300" s="3"/>
      <c r="L300" s="3"/>
      <c r="M300" s="3"/>
      <c r="N300" s="3"/>
      <c r="O300" s="3"/>
      <c r="P300" s="3"/>
      <c r="Q300" s="3"/>
      <c r="R300" s="3"/>
      <c r="S300" s="3"/>
      <c r="T300" s="3"/>
      <c r="U300" s="54"/>
      <c r="V300" s="3"/>
      <c r="W300" s="3"/>
      <c r="X300" s="3"/>
      <c r="Y300" s="3"/>
      <c r="Z300" s="3"/>
      <c r="AA300" s="3"/>
      <c r="AB300" s="3"/>
      <c r="AC300" s="3"/>
      <c r="AD300" s="3"/>
      <c r="AE300" s="3"/>
    </row>
    <row r="301" spans="2:32" x14ac:dyDescent="0.2">
      <c r="B301" s="219" t="str">
        <f>'WS9 - Financials'!B75</f>
        <v>Table 9.4: Cash and investments (General fund) ($'000 nominal)</v>
      </c>
      <c r="C301" s="3"/>
      <c r="D301" s="3"/>
      <c r="E301" s="54"/>
      <c r="F301" s="3"/>
      <c r="G301" s="3"/>
      <c r="H301" s="3"/>
      <c r="I301" s="31"/>
      <c r="J301" s="3"/>
      <c r="K301" s="3"/>
      <c r="L301" s="3"/>
      <c r="M301" s="3"/>
      <c r="N301" s="3"/>
      <c r="O301" s="3"/>
      <c r="P301" s="3"/>
      <c r="Q301" s="3"/>
      <c r="R301" s="3"/>
      <c r="S301" s="3"/>
      <c r="T301" s="3"/>
      <c r="U301" s="54"/>
      <c r="V301" s="3"/>
      <c r="W301" s="3"/>
      <c r="X301" s="3"/>
      <c r="Y301" s="3"/>
      <c r="Z301" s="3"/>
      <c r="AA301" s="3"/>
      <c r="AB301" s="3"/>
      <c r="AC301" s="3"/>
      <c r="AD301" s="3"/>
      <c r="AE301" s="3"/>
    </row>
    <row r="302" spans="2:32" x14ac:dyDescent="0.2">
      <c r="B302" s="218"/>
      <c r="C302" s="207"/>
      <c r="D302" s="3"/>
      <c r="E302" s="54"/>
      <c r="F302" s="3"/>
      <c r="G302" s="3"/>
      <c r="H302" s="3"/>
      <c r="I302" s="31"/>
      <c r="J302" s="3"/>
      <c r="K302" s="3"/>
      <c r="L302" s="3"/>
      <c r="M302" s="3"/>
      <c r="N302" s="3"/>
      <c r="O302" s="3"/>
      <c r="P302" s="3"/>
      <c r="Q302" s="3"/>
      <c r="R302" s="3"/>
      <c r="S302" s="3"/>
      <c r="T302" s="3"/>
      <c r="U302" s="54"/>
      <c r="V302" s="3"/>
      <c r="W302" s="3"/>
      <c r="X302" s="3"/>
      <c r="Y302" s="3"/>
      <c r="Z302" s="3"/>
      <c r="AA302" s="3"/>
      <c r="AB302" s="3"/>
      <c r="AC302" s="3"/>
      <c r="AD302" s="3"/>
      <c r="AE302" s="3"/>
    </row>
    <row r="303" spans="2:32" x14ac:dyDescent="0.2">
      <c r="B303" s="54"/>
      <c r="C303" s="3"/>
      <c r="D303" s="3"/>
      <c r="E303" s="54"/>
      <c r="F303" s="3"/>
      <c r="G303" s="3"/>
      <c r="H303" s="3"/>
      <c r="I303" s="31"/>
      <c r="J303" s="3"/>
      <c r="K303" s="3"/>
      <c r="L303" s="3"/>
      <c r="M303" s="3"/>
      <c r="N303" s="3"/>
      <c r="O303" s="3"/>
      <c r="P303" s="3"/>
      <c r="Q303" s="3"/>
      <c r="R303" s="3"/>
      <c r="S303" s="3"/>
      <c r="T303" s="3"/>
      <c r="U303" s="54"/>
      <c r="V303" s="3"/>
      <c r="W303" s="3"/>
      <c r="X303" s="3"/>
      <c r="Y303" s="3"/>
      <c r="Z303" s="3"/>
      <c r="AA303" s="3"/>
      <c r="AB303" s="3"/>
      <c r="AC303" s="3"/>
      <c r="AD303" s="3"/>
      <c r="AE303" s="3"/>
    </row>
    <row r="304" spans="2:32" x14ac:dyDescent="0.2">
      <c r="B304" s="219" t="str">
        <f>'WS9 - Financials'!B78</f>
        <v>6a - Cash and cash equivalents</v>
      </c>
      <c r="C304" s="3"/>
      <c r="D304" s="3"/>
      <c r="E304" s="54"/>
      <c r="F304" s="3"/>
      <c r="G304" s="3"/>
      <c r="H304" s="3"/>
      <c r="I304" s="31"/>
      <c r="J304" s="3"/>
      <c r="K304" s="3"/>
      <c r="L304" s="3"/>
      <c r="M304" s="3"/>
      <c r="N304" s="3"/>
      <c r="O304" s="3"/>
      <c r="P304" s="3"/>
      <c r="Q304" s="3"/>
      <c r="R304" s="3"/>
      <c r="S304" s="3"/>
      <c r="T304" s="3"/>
      <c r="U304" s="54"/>
      <c r="V304" s="3"/>
      <c r="W304" s="3"/>
      <c r="X304" s="3"/>
      <c r="Y304" s="3"/>
      <c r="Z304" s="3"/>
      <c r="AA304" s="3"/>
      <c r="AB304" s="3"/>
      <c r="AC304" s="3"/>
      <c r="AD304" s="3"/>
      <c r="AE304" s="3"/>
    </row>
    <row r="305" spans="2:31" x14ac:dyDescent="0.2">
      <c r="B305" s="218" t="str">
        <f>'WS9 - Financials'!B79</f>
        <v>Cash on hand and at bank</v>
      </c>
      <c r="C305" s="3"/>
      <c r="D305" s="207" t="str">
        <f>'WS9 - Financials'!D79</f>
        <v>$'000 nominal</v>
      </c>
      <c r="E305" s="54"/>
      <c r="F305" s="3"/>
      <c r="G305" s="3"/>
      <c r="H305" s="3"/>
      <c r="I305" s="241">
        <f>'WS9 - Financials'!I79</f>
        <v>1214</v>
      </c>
      <c r="J305" s="3"/>
      <c r="K305" s="3"/>
      <c r="L305" s="3"/>
      <c r="M305" s="3"/>
      <c r="N305" s="3"/>
      <c r="O305" s="3"/>
      <c r="P305" s="3"/>
      <c r="Q305" s="3"/>
      <c r="R305" s="3"/>
      <c r="S305" s="3"/>
      <c r="T305" s="3"/>
      <c r="U305" s="54"/>
      <c r="V305" s="3"/>
      <c r="W305" s="3"/>
      <c r="X305" s="3"/>
      <c r="Y305" s="3"/>
      <c r="Z305" s="3"/>
      <c r="AA305" s="3"/>
      <c r="AB305" s="3"/>
      <c r="AC305" s="3"/>
      <c r="AD305" s="3"/>
      <c r="AE305" s="3"/>
    </row>
    <row r="306" spans="2:31" x14ac:dyDescent="0.2">
      <c r="B306" s="218" t="str">
        <f>'WS9 - Financials'!B80</f>
        <v>Cash-equivalent assets</v>
      </c>
      <c r="C306" s="3"/>
      <c r="D306" s="207" t="str">
        <f>'WS9 - Financials'!D80</f>
        <v>$'000 nominal</v>
      </c>
      <c r="E306" s="54"/>
      <c r="F306" s="3"/>
      <c r="G306" s="3"/>
      <c r="H306" s="3"/>
      <c r="I306" s="241">
        <f>'WS9 - Financials'!I80</f>
        <v>11362</v>
      </c>
      <c r="J306" s="3"/>
      <c r="K306" s="3"/>
      <c r="L306" s="3"/>
      <c r="M306" s="3"/>
      <c r="N306" s="3"/>
      <c r="O306" s="3"/>
      <c r="P306" s="3"/>
      <c r="Q306" s="3"/>
      <c r="R306" s="3"/>
      <c r="S306" s="3"/>
      <c r="T306" s="3"/>
      <c r="U306" s="54"/>
      <c r="V306" s="3"/>
      <c r="W306" s="3"/>
      <c r="X306" s="3"/>
      <c r="Y306" s="3"/>
      <c r="Z306" s="3"/>
      <c r="AA306" s="3"/>
      <c r="AB306" s="3"/>
      <c r="AC306" s="3"/>
      <c r="AD306" s="3"/>
      <c r="AE306" s="3"/>
    </row>
    <row r="307" spans="2:31" x14ac:dyDescent="0.2">
      <c r="B307" s="218" t="str">
        <f>'WS9 - Financials'!B81</f>
        <v>Total</v>
      </c>
      <c r="C307" s="3"/>
      <c r="D307" s="207" t="str">
        <f>'WS9 - Financials'!D81</f>
        <v>$'000 nominal</v>
      </c>
      <c r="E307" s="54"/>
      <c r="F307" s="3"/>
      <c r="G307" s="3"/>
      <c r="H307" s="3"/>
      <c r="I307" s="241">
        <f>'WS9 - Financials'!I81</f>
        <v>12576</v>
      </c>
      <c r="J307" s="3"/>
      <c r="K307" s="3"/>
      <c r="L307" s="3"/>
      <c r="M307" s="3"/>
      <c r="N307" s="3"/>
      <c r="O307" s="3"/>
      <c r="P307" s="3"/>
      <c r="Q307" s="3"/>
      <c r="R307" s="3"/>
      <c r="S307" s="3"/>
      <c r="T307" s="3"/>
      <c r="U307" s="54"/>
      <c r="V307" s="3"/>
      <c r="W307" s="3"/>
      <c r="X307" s="3"/>
      <c r="Y307" s="3"/>
      <c r="Z307" s="3"/>
      <c r="AA307" s="3"/>
      <c r="AB307" s="3"/>
      <c r="AC307" s="3"/>
      <c r="AD307" s="3"/>
      <c r="AE307" s="3"/>
    </row>
    <row r="308" spans="2:31" x14ac:dyDescent="0.2">
      <c r="B308" s="54"/>
      <c r="C308" s="3"/>
      <c r="D308" s="3"/>
      <c r="E308" s="54"/>
      <c r="F308" s="3"/>
      <c r="G308" s="3"/>
      <c r="H308" s="3"/>
      <c r="I308" s="31"/>
      <c r="J308" s="3"/>
      <c r="K308" s="3"/>
      <c r="L308" s="3"/>
      <c r="M308" s="3"/>
      <c r="N308" s="3"/>
      <c r="O308" s="3"/>
      <c r="P308" s="3"/>
      <c r="Q308" s="3"/>
      <c r="R308" s="3"/>
      <c r="S308" s="3"/>
      <c r="T308" s="3"/>
      <c r="U308" s="54"/>
      <c r="V308" s="3"/>
      <c r="W308" s="3"/>
      <c r="X308" s="3"/>
      <c r="Y308" s="3"/>
      <c r="Z308" s="3"/>
      <c r="AA308" s="3"/>
      <c r="AB308" s="3"/>
      <c r="AC308" s="3"/>
      <c r="AD308" s="3"/>
      <c r="AE308" s="3"/>
    </row>
    <row r="309" spans="2:31" x14ac:dyDescent="0.2">
      <c r="B309" s="219" t="str">
        <f>'WS9 - Financials'!B83</f>
        <v>6b - Investments</v>
      </c>
      <c r="C309" s="3"/>
      <c r="D309" s="3"/>
      <c r="E309" s="54"/>
      <c r="F309" s="3"/>
      <c r="G309" s="3"/>
      <c r="H309" s="3"/>
      <c r="I309" s="31"/>
      <c r="J309" s="3"/>
      <c r="K309" s="3"/>
      <c r="L309" s="3"/>
      <c r="M309" s="3"/>
      <c r="N309" s="3"/>
      <c r="O309" s="3"/>
      <c r="P309" s="3"/>
      <c r="Q309" s="3"/>
      <c r="R309" s="3"/>
      <c r="S309" s="3"/>
      <c r="T309" s="3"/>
      <c r="U309" s="54"/>
      <c r="V309" s="3"/>
      <c r="W309" s="3"/>
      <c r="X309" s="3"/>
      <c r="Y309" s="3"/>
      <c r="Z309" s="3"/>
      <c r="AA309" s="3"/>
      <c r="AB309" s="3"/>
      <c r="AC309" s="3"/>
      <c r="AD309" s="3"/>
      <c r="AE309" s="3"/>
    </row>
    <row r="310" spans="2:31" x14ac:dyDescent="0.2">
      <c r="B310" s="218" t="str">
        <f>'WS9 - Financials'!B84</f>
        <v>Current</v>
      </c>
      <c r="C310" s="3"/>
      <c r="D310" s="207" t="str">
        <f>'WS9 - Financials'!D84</f>
        <v>$'000 nominal</v>
      </c>
      <c r="E310" s="54"/>
      <c r="F310" s="3"/>
      <c r="G310" s="3"/>
      <c r="H310" s="3"/>
      <c r="I310" s="241">
        <f>'WS9 - Financials'!I84</f>
        <v>167000</v>
      </c>
      <c r="J310" s="3"/>
      <c r="K310" s="3"/>
      <c r="L310" s="3"/>
      <c r="M310" s="3"/>
      <c r="N310" s="3"/>
      <c r="O310" s="3"/>
      <c r="P310" s="3"/>
      <c r="Q310" s="3"/>
      <c r="R310" s="3"/>
      <c r="S310" s="3"/>
      <c r="T310" s="3"/>
      <c r="U310" s="54"/>
      <c r="V310" s="3"/>
      <c r="W310" s="3"/>
      <c r="X310" s="3"/>
      <c r="Y310" s="3"/>
      <c r="Z310" s="3"/>
      <c r="AA310" s="3"/>
      <c r="AB310" s="3"/>
      <c r="AC310" s="3"/>
      <c r="AD310" s="3"/>
      <c r="AE310" s="3"/>
    </row>
    <row r="311" spans="2:31" x14ac:dyDescent="0.2">
      <c r="B311" s="218" t="str">
        <f>'WS9 - Financials'!B85</f>
        <v>Non-current</v>
      </c>
      <c r="C311" s="3"/>
      <c r="D311" s="207" t="str">
        <f>'WS9 - Financials'!D85</f>
        <v>$'000 nominal</v>
      </c>
      <c r="E311" s="54"/>
      <c r="F311" s="3"/>
      <c r="G311" s="3"/>
      <c r="H311" s="3"/>
      <c r="I311" s="241">
        <f>'WS9 - Financials'!I85</f>
        <v>21000</v>
      </c>
      <c r="J311" s="3"/>
      <c r="K311" s="3"/>
      <c r="L311" s="3"/>
      <c r="M311" s="3"/>
      <c r="N311" s="3"/>
      <c r="O311" s="3"/>
      <c r="P311" s="3"/>
      <c r="Q311" s="3"/>
      <c r="R311" s="3"/>
      <c r="S311" s="3"/>
      <c r="T311" s="3"/>
      <c r="U311" s="54"/>
      <c r="V311" s="3"/>
      <c r="W311" s="3"/>
      <c r="X311" s="3"/>
      <c r="Y311" s="3"/>
      <c r="Z311" s="3"/>
      <c r="AA311" s="3"/>
      <c r="AB311" s="3"/>
      <c r="AC311" s="3"/>
      <c r="AD311" s="3"/>
      <c r="AE311" s="3"/>
    </row>
    <row r="312" spans="2:31" x14ac:dyDescent="0.2">
      <c r="B312" s="218" t="str">
        <f>'WS9 - Financials'!B86</f>
        <v>Total</v>
      </c>
      <c r="C312" s="3"/>
      <c r="D312" s="207" t="str">
        <f>'WS9 - Financials'!D86</f>
        <v>$'000 nominal</v>
      </c>
      <c r="E312" s="54"/>
      <c r="F312" s="3"/>
      <c r="G312" s="3"/>
      <c r="H312" s="3"/>
      <c r="I312" s="241">
        <f>'WS9 - Financials'!I86</f>
        <v>188000</v>
      </c>
      <c r="J312" s="3"/>
      <c r="K312" s="3"/>
      <c r="L312" s="3"/>
      <c r="M312" s="3"/>
      <c r="N312" s="3"/>
      <c r="O312" s="3"/>
      <c r="P312" s="3"/>
      <c r="Q312" s="3"/>
      <c r="R312" s="3"/>
      <c r="S312" s="3"/>
      <c r="T312" s="3"/>
      <c r="U312" s="54"/>
      <c r="V312" s="3"/>
      <c r="W312" s="3"/>
      <c r="X312" s="3"/>
      <c r="Y312" s="3"/>
      <c r="Z312" s="3"/>
      <c r="AA312" s="3"/>
      <c r="AB312" s="3"/>
      <c r="AC312" s="3"/>
      <c r="AD312" s="3"/>
      <c r="AE312" s="3"/>
    </row>
    <row r="313" spans="2:31" x14ac:dyDescent="0.2">
      <c r="B313" s="54"/>
      <c r="C313" s="3"/>
      <c r="D313" s="3"/>
      <c r="E313" s="54"/>
      <c r="F313" s="3"/>
      <c r="G313" s="3"/>
      <c r="H313" s="3"/>
      <c r="I313" s="31"/>
      <c r="J313" s="3"/>
      <c r="K313" s="3"/>
      <c r="L313" s="3"/>
      <c r="M313" s="3"/>
      <c r="N313" s="3"/>
      <c r="O313" s="3"/>
      <c r="P313" s="3"/>
      <c r="Q313" s="3"/>
      <c r="R313" s="3"/>
      <c r="S313" s="3"/>
      <c r="T313" s="3"/>
      <c r="U313" s="54"/>
      <c r="V313" s="3"/>
      <c r="W313" s="3"/>
      <c r="X313" s="3"/>
      <c r="Y313" s="3"/>
      <c r="Z313" s="3"/>
      <c r="AA313" s="3"/>
      <c r="AB313" s="3"/>
      <c r="AC313" s="3"/>
      <c r="AD313" s="3"/>
      <c r="AE313" s="3"/>
    </row>
    <row r="314" spans="2:31" x14ac:dyDescent="0.2">
      <c r="B314" s="218" t="str">
        <f>'WS9 - Financials'!B88</f>
        <v>Total cash, cash equivalents, and investments</v>
      </c>
      <c r="C314" s="3"/>
      <c r="D314" s="207" t="str">
        <f>'WS9 - Financials'!D88</f>
        <v>$'000 nominal</v>
      </c>
      <c r="E314" s="54"/>
      <c r="F314" s="3"/>
      <c r="G314" s="3"/>
      <c r="H314" s="3"/>
      <c r="I314" s="241">
        <f>'WS9 - Financials'!I88</f>
        <v>200576</v>
      </c>
      <c r="J314" s="3"/>
      <c r="K314" s="3"/>
      <c r="L314" s="3"/>
      <c r="M314" s="3"/>
      <c r="N314" s="3"/>
      <c r="O314" s="3"/>
      <c r="P314" s="3"/>
      <c r="Q314" s="3"/>
      <c r="R314" s="3"/>
      <c r="S314" s="3"/>
      <c r="T314" s="3"/>
      <c r="U314" s="54"/>
      <c r="V314" s="3"/>
      <c r="W314" s="3"/>
      <c r="X314" s="3"/>
      <c r="Y314" s="3"/>
      <c r="Z314" s="3"/>
      <c r="AA314" s="3"/>
      <c r="AB314" s="3"/>
      <c r="AC314" s="3"/>
      <c r="AD314" s="3"/>
      <c r="AE314" s="3"/>
    </row>
    <row r="315" spans="2:31" x14ac:dyDescent="0.2">
      <c r="B315" s="202" t="s">
        <v>77</v>
      </c>
      <c r="C315" s="3"/>
      <c r="D315" s="3"/>
      <c r="E315" s="54"/>
      <c r="F315" s="3"/>
      <c r="G315" s="3"/>
      <c r="H315" s="3"/>
      <c r="I315" s="246">
        <f>I314-SUM(I305:I306,I310:I311)</f>
        <v>0</v>
      </c>
      <c r="J315" s="3"/>
      <c r="K315" s="3"/>
      <c r="L315" s="3"/>
      <c r="M315" s="3"/>
      <c r="N315" s="3"/>
      <c r="O315" s="3"/>
      <c r="P315" s="3"/>
      <c r="Q315" s="3"/>
      <c r="R315" s="3"/>
      <c r="S315" s="3"/>
      <c r="T315" s="3"/>
      <c r="U315" s="54"/>
      <c r="V315" s="3"/>
      <c r="W315" s="3"/>
      <c r="X315" s="3"/>
      <c r="Y315" s="3"/>
      <c r="Z315" s="3"/>
      <c r="AA315" s="3"/>
      <c r="AB315" s="3"/>
      <c r="AC315" s="3"/>
      <c r="AD315" s="3"/>
      <c r="AE315" s="3"/>
    </row>
    <row r="316" spans="2:31" x14ac:dyDescent="0.2">
      <c r="B316" s="219" t="str">
        <f>'WS9 - Financials'!B90</f>
        <v>6c Restricted cash, cash equivalents, and investments</v>
      </c>
      <c r="C316" s="3"/>
      <c r="D316" s="3"/>
      <c r="E316" s="54"/>
      <c r="F316" s="3"/>
      <c r="G316" s="3"/>
      <c r="H316" s="3"/>
      <c r="I316" s="31"/>
      <c r="J316" s="3"/>
      <c r="K316" s="3"/>
      <c r="L316" s="3"/>
      <c r="M316" s="3"/>
      <c r="N316" s="3"/>
      <c r="O316" s="3"/>
      <c r="P316" s="3"/>
      <c r="Q316" s="3"/>
      <c r="R316" s="3"/>
      <c r="S316" s="3"/>
      <c r="T316" s="3"/>
      <c r="U316" s="54"/>
      <c r="V316" s="3"/>
      <c r="W316" s="3"/>
      <c r="X316" s="3"/>
      <c r="Y316" s="3"/>
      <c r="Z316" s="3"/>
      <c r="AA316" s="3"/>
      <c r="AB316" s="3"/>
      <c r="AC316" s="3"/>
      <c r="AD316" s="3"/>
      <c r="AE316" s="3"/>
    </row>
    <row r="317" spans="2:31" x14ac:dyDescent="0.2">
      <c r="B317" s="218" t="str">
        <f>'WS9 - Financials'!B91</f>
        <v>External restrictions</v>
      </c>
      <c r="C317" s="3"/>
      <c r="D317" s="207" t="str">
        <f>'WS9 - Financials'!D91</f>
        <v>$'000 nominal</v>
      </c>
      <c r="E317" s="54"/>
      <c r="F317" s="3"/>
      <c r="G317" s="3"/>
      <c r="H317" s="3"/>
      <c r="I317" s="241">
        <f>'WS9 - Financials'!I91</f>
        <v>120378</v>
      </c>
      <c r="J317" s="3"/>
      <c r="K317" s="3"/>
      <c r="L317" s="3"/>
      <c r="M317" s="3"/>
      <c r="N317" s="3"/>
      <c r="O317" s="3"/>
      <c r="P317" s="3"/>
      <c r="Q317" s="3"/>
      <c r="R317" s="3"/>
      <c r="S317" s="3"/>
      <c r="T317" s="3"/>
      <c r="U317" s="54"/>
      <c r="V317" s="3"/>
      <c r="W317" s="3"/>
      <c r="X317" s="3"/>
      <c r="Y317" s="3"/>
      <c r="Z317" s="3"/>
      <c r="AA317" s="3"/>
      <c r="AB317" s="3"/>
      <c r="AC317" s="3"/>
      <c r="AD317" s="3"/>
      <c r="AE317" s="3"/>
    </row>
    <row r="318" spans="2:31" x14ac:dyDescent="0.2">
      <c r="B318" s="218" t="str">
        <f>'WS9 - Financials'!B92</f>
        <v>Internal restrictions</v>
      </c>
      <c r="C318" s="3"/>
      <c r="D318" s="207" t="str">
        <f>'WS9 - Financials'!D92</f>
        <v>$'000 nominal</v>
      </c>
      <c r="E318" s="54"/>
      <c r="F318" s="3"/>
      <c r="G318" s="3"/>
      <c r="H318" s="3"/>
      <c r="I318" s="241">
        <f>'WS9 - Financials'!I92</f>
        <v>64806</v>
      </c>
      <c r="J318" s="3"/>
      <c r="K318" s="3"/>
      <c r="L318" s="3"/>
      <c r="M318" s="3"/>
      <c r="N318" s="3"/>
      <c r="O318" s="3"/>
      <c r="P318" s="3"/>
      <c r="Q318" s="3"/>
      <c r="R318" s="3"/>
      <c r="S318" s="3"/>
      <c r="T318" s="3"/>
      <c r="U318" s="54"/>
      <c r="V318" s="3"/>
      <c r="W318" s="3"/>
      <c r="X318" s="3"/>
      <c r="Y318" s="3"/>
      <c r="Z318" s="3"/>
      <c r="AA318" s="3"/>
      <c r="AB318" s="3"/>
      <c r="AC318" s="3"/>
      <c r="AD318" s="3"/>
      <c r="AE318" s="3"/>
    </row>
    <row r="319" spans="2:31" x14ac:dyDescent="0.2">
      <c r="B319" s="218" t="str">
        <f>'WS9 - Financials'!B93</f>
        <v>Unrestricted</v>
      </c>
      <c r="C319" s="3"/>
      <c r="D319" s="207" t="str">
        <f>'WS9 - Financials'!D93</f>
        <v>$'000 nominal</v>
      </c>
      <c r="E319" s="54"/>
      <c r="F319" s="3"/>
      <c r="G319" s="3"/>
      <c r="H319" s="3"/>
      <c r="I319" s="241">
        <f>'WS9 - Financials'!I93</f>
        <v>15392</v>
      </c>
      <c r="J319" s="3"/>
      <c r="K319" s="3"/>
      <c r="L319" s="3"/>
      <c r="M319" s="3"/>
      <c r="N319" s="3"/>
      <c r="O319" s="3"/>
      <c r="P319" s="3"/>
      <c r="Q319" s="3"/>
      <c r="R319" s="3"/>
      <c r="S319" s="3"/>
      <c r="T319" s="3"/>
      <c r="U319" s="54"/>
      <c r="V319" s="3"/>
      <c r="W319" s="3"/>
      <c r="X319" s="3"/>
      <c r="Y319" s="3"/>
      <c r="Z319" s="3"/>
      <c r="AA319" s="3"/>
      <c r="AB319" s="3"/>
      <c r="AC319" s="3"/>
      <c r="AD319" s="3"/>
      <c r="AE319" s="3"/>
    </row>
    <row r="320" spans="2:31" x14ac:dyDescent="0.2">
      <c r="B320" s="218" t="str">
        <f>'WS9 - Financials'!B94</f>
        <v>Total</v>
      </c>
      <c r="C320" s="3"/>
      <c r="D320" s="207" t="str">
        <f>'WS9 - Financials'!D94</f>
        <v>$'000 nominal</v>
      </c>
      <c r="E320" s="54"/>
      <c r="F320" s="3"/>
      <c r="G320" s="3"/>
      <c r="H320" s="3"/>
      <c r="I320" s="241">
        <f>'WS9 - Financials'!I94</f>
        <v>200576</v>
      </c>
      <c r="J320" s="3"/>
      <c r="K320" s="3"/>
      <c r="L320" s="3"/>
      <c r="M320" s="3"/>
      <c r="N320" s="3"/>
      <c r="O320" s="3"/>
      <c r="P320" s="3"/>
      <c r="Q320" s="3"/>
      <c r="R320" s="3"/>
      <c r="S320" s="3"/>
      <c r="T320" s="3"/>
      <c r="U320" s="54"/>
      <c r="V320" s="3"/>
      <c r="W320" s="3"/>
      <c r="X320" s="3"/>
      <c r="Y320" s="3"/>
      <c r="Z320" s="3"/>
      <c r="AA320" s="3"/>
      <c r="AB320" s="3"/>
      <c r="AC320" s="3"/>
      <c r="AD320" s="3"/>
      <c r="AE320" s="3"/>
    </row>
    <row r="321" spans="2:35" x14ac:dyDescent="0.2">
      <c r="B321" s="54"/>
      <c r="C321" s="3"/>
      <c r="D321" s="3"/>
      <c r="E321" s="54"/>
      <c r="F321" s="3"/>
      <c r="G321" s="3"/>
      <c r="H321" s="3"/>
      <c r="I321" s="246">
        <f>I320-I314</f>
        <v>0</v>
      </c>
      <c r="J321" s="3"/>
      <c r="K321" s="3"/>
      <c r="L321" s="3"/>
      <c r="M321" s="3"/>
      <c r="N321" s="3"/>
      <c r="O321" s="3"/>
      <c r="P321" s="3"/>
      <c r="Q321" s="3"/>
      <c r="R321" s="3"/>
      <c r="S321" s="3"/>
      <c r="T321" s="3"/>
      <c r="U321" s="54"/>
      <c r="V321" s="3"/>
      <c r="W321" s="3"/>
      <c r="X321" s="3"/>
      <c r="Y321" s="3"/>
      <c r="Z321" s="3"/>
      <c r="AA321" s="3"/>
      <c r="AB321" s="3"/>
      <c r="AC321" s="3"/>
      <c r="AD321" s="3"/>
      <c r="AE321" s="3"/>
    </row>
    <row r="322" spans="2:35" x14ac:dyDescent="0.2">
      <c r="B322" s="54"/>
      <c r="C322" s="3"/>
      <c r="D322" s="3"/>
      <c r="E322" s="54"/>
      <c r="F322" s="3"/>
      <c r="G322" s="3"/>
      <c r="H322" s="3"/>
      <c r="I322" s="31"/>
      <c r="J322" s="3"/>
      <c r="K322" s="3"/>
      <c r="L322" s="3"/>
      <c r="M322" s="3"/>
      <c r="N322" s="3"/>
      <c r="O322" s="3"/>
      <c r="P322" s="3"/>
      <c r="Q322" s="3"/>
      <c r="R322" s="3"/>
      <c r="S322" s="3"/>
      <c r="T322" s="3"/>
      <c r="U322" s="54"/>
      <c r="V322" s="3"/>
      <c r="W322" s="3"/>
      <c r="X322" s="3"/>
      <c r="Y322" s="3"/>
      <c r="Z322" s="3"/>
      <c r="AA322" s="3"/>
      <c r="AB322" s="3"/>
      <c r="AC322" s="3"/>
      <c r="AD322" s="3"/>
      <c r="AE322" s="3"/>
    </row>
    <row r="323" spans="2:35" x14ac:dyDescent="0.2">
      <c r="B323" s="247" t="str">
        <f>'WS9 - Financials'!B100</f>
        <v>Table 9.5: Balance sheet extract (General fund) - historical and forecasts for SV scenario ($'000 nominal)</v>
      </c>
      <c r="C323" s="18"/>
      <c r="D323" s="18"/>
      <c r="E323" s="197"/>
      <c r="F323" s="18"/>
      <c r="G323" s="18"/>
      <c r="H323" s="265"/>
      <c r="I323" s="498" t="str">
        <f>'WS9 - Financials'!I101</f>
        <v>Actual</v>
      </c>
      <c r="J323" s="499" t="str">
        <f>'WS9 - Financials'!J101</f>
        <v>Forecast</v>
      </c>
      <c r="K323" s="499" t="str">
        <f>'WS9 - Financials'!K101</f>
        <v>Forecast</v>
      </c>
      <c r="L323" s="499" t="str">
        <f>'WS9 - Financials'!L101</f>
        <v>Forecast</v>
      </c>
      <c r="M323" s="499" t="str">
        <f>'WS9 - Financials'!M101</f>
        <v>Forecast</v>
      </c>
      <c r="N323" s="499" t="str">
        <f>'WS9 - Financials'!N101</f>
        <v>Forecast</v>
      </c>
      <c r="O323" s="499" t="str">
        <f>'WS9 - Financials'!O101</f>
        <v>Forecast</v>
      </c>
      <c r="P323" s="499" t="str">
        <f>'WS9 - Financials'!P101</f>
        <v>Forecast</v>
      </c>
      <c r="Q323" s="499" t="str">
        <f>'WS9 - Financials'!Q101</f>
        <v>Forecast</v>
      </c>
      <c r="R323" s="499" t="str">
        <f>'WS9 - Financials'!R101</f>
        <v>Forecast</v>
      </c>
      <c r="S323" s="499" t="str">
        <f>'WS9 - Financials'!S101</f>
        <v>Forecast</v>
      </c>
      <c r="T323" s="499" t="str">
        <f>'WS9 - Financials'!T101</f>
        <v>Forecast</v>
      </c>
      <c r="U323" s="97"/>
      <c r="V323" s="3"/>
      <c r="W323" s="3"/>
      <c r="X323" s="3"/>
      <c r="Y323" s="3"/>
      <c r="Z323" s="3"/>
      <c r="AA323" s="3"/>
      <c r="AB323" s="3"/>
      <c r="AC323" s="3"/>
      <c r="AD323" s="3"/>
      <c r="AE323" s="3"/>
    </row>
    <row r="324" spans="2:35" x14ac:dyDescent="0.2">
      <c r="B324" s="218"/>
      <c r="C324" s="207"/>
      <c r="D324" s="3"/>
      <c r="E324" s="54"/>
      <c r="F324" s="3"/>
      <c r="G324" s="3"/>
      <c r="H324" s="3"/>
      <c r="I324" s="31"/>
      <c r="J324" s="3"/>
      <c r="K324" s="3"/>
      <c r="L324" s="3"/>
      <c r="M324" s="3"/>
      <c r="N324" s="3"/>
      <c r="O324" s="3"/>
      <c r="P324" s="3"/>
      <c r="Q324" s="3"/>
      <c r="R324" s="3"/>
      <c r="S324" s="3"/>
      <c r="T324" s="3"/>
      <c r="U324" s="54"/>
      <c r="V324" s="3"/>
      <c r="W324" s="3"/>
      <c r="X324" s="3"/>
      <c r="Y324" s="3"/>
      <c r="Z324" s="3"/>
      <c r="AA324" s="3"/>
      <c r="AB324" s="3"/>
      <c r="AC324" s="3"/>
      <c r="AD324" s="3"/>
      <c r="AE324" s="3"/>
    </row>
    <row r="325" spans="2:35" x14ac:dyDescent="0.2">
      <c r="B325" s="54"/>
      <c r="C325" s="3"/>
      <c r="D325" s="3"/>
      <c r="E325" s="54"/>
      <c r="F325" s="3"/>
      <c r="G325" s="3"/>
      <c r="H325" s="3"/>
      <c r="I325" s="31"/>
      <c r="J325" s="3"/>
      <c r="K325" s="3"/>
      <c r="L325" s="3"/>
      <c r="M325" s="3"/>
      <c r="N325" s="3"/>
      <c r="O325" s="3"/>
      <c r="P325" s="3"/>
      <c r="Q325" s="3"/>
      <c r="R325" s="3"/>
      <c r="S325" s="3"/>
      <c r="T325" s="3"/>
      <c r="U325" s="54"/>
      <c r="V325" s="3"/>
      <c r="W325" s="3"/>
      <c r="X325" s="3"/>
      <c r="Y325" s="3"/>
      <c r="Z325" s="3"/>
      <c r="AA325" s="3"/>
      <c r="AB325" s="3"/>
      <c r="AC325" s="3"/>
      <c r="AD325" s="3"/>
      <c r="AE325" s="3"/>
    </row>
    <row r="326" spans="2:35" x14ac:dyDescent="0.2">
      <c r="B326" s="219" t="str">
        <f>'WS9 - Financials'!B104</f>
        <v>Assets</v>
      </c>
      <c r="C326" s="3"/>
      <c r="D326" s="3"/>
      <c r="E326" s="54"/>
      <c r="F326" s="3"/>
      <c r="G326" s="3"/>
      <c r="H326" s="3"/>
      <c r="I326" s="31"/>
      <c r="J326" s="3"/>
      <c r="K326" s="3"/>
      <c r="L326" s="3"/>
      <c r="M326" s="3"/>
      <c r="N326" s="3"/>
      <c r="O326" s="3"/>
      <c r="P326" s="3"/>
      <c r="Q326" s="3"/>
      <c r="R326" s="3"/>
      <c r="S326" s="3"/>
      <c r="T326" s="3"/>
      <c r="U326" s="54"/>
      <c r="V326" s="3"/>
      <c r="W326" s="3"/>
      <c r="X326" s="3"/>
      <c r="Y326" s="3"/>
      <c r="Z326" s="3"/>
      <c r="AA326" s="3"/>
      <c r="AB326" s="3"/>
      <c r="AC326" s="3"/>
      <c r="AD326" s="3"/>
      <c r="AE326" s="3"/>
    </row>
    <row r="327" spans="2:35" x14ac:dyDescent="0.2">
      <c r="B327" s="218" t="str">
        <f>'WS9 - Financials'!B105</f>
        <v>Cash &amp; Cash Equivalents</v>
      </c>
      <c r="C327" s="207" t="str">
        <f>'WS9 - Financials'!C105</f>
        <v>Current</v>
      </c>
      <c r="D327" s="207" t="str">
        <f>'WS9 - Financials'!D105</f>
        <v>$'000 nominal</v>
      </c>
      <c r="E327" s="54"/>
      <c r="F327" s="3"/>
      <c r="G327" s="3"/>
      <c r="H327" s="3"/>
      <c r="I327" s="241">
        <f>'WS9 - Financials'!I105</f>
        <v>12576</v>
      </c>
      <c r="J327" s="240">
        <f>'WS9 - Financials'!J105</f>
        <v>10000</v>
      </c>
      <c r="K327" s="240">
        <f>'WS9 - Financials'!K105</f>
        <v>10000</v>
      </c>
      <c r="L327" s="240">
        <f>'WS9 - Financials'!L105</f>
        <v>15000</v>
      </c>
      <c r="M327" s="240">
        <f>'WS9 - Financials'!M105</f>
        <v>10000</v>
      </c>
      <c r="N327" s="240">
        <f>'WS9 - Financials'!N105</f>
        <v>15000</v>
      </c>
      <c r="O327" s="240">
        <f>'WS9 - Financials'!O105</f>
        <v>15000</v>
      </c>
      <c r="P327" s="240">
        <f>'WS9 - Financials'!P105</f>
        <v>15000</v>
      </c>
      <c r="Q327" s="240">
        <f>'WS9 - Financials'!Q105</f>
        <v>15000</v>
      </c>
      <c r="R327" s="240">
        <f>'WS9 - Financials'!R105</f>
        <v>15000</v>
      </c>
      <c r="S327" s="240">
        <f>'WS9 - Financials'!S105</f>
        <v>15000</v>
      </c>
      <c r="T327" s="240">
        <f>'WS9 - Financials'!T105</f>
        <v>15000</v>
      </c>
      <c r="U327" s="54"/>
      <c r="V327" s="3"/>
      <c r="W327" s="3"/>
      <c r="X327" s="3"/>
      <c r="Y327" s="3"/>
      <c r="Z327" s="3"/>
      <c r="AA327" s="3"/>
      <c r="AB327" s="3"/>
      <c r="AC327" s="3"/>
      <c r="AD327" s="3"/>
      <c r="AE327" s="3"/>
      <c r="AF327" s="3"/>
      <c r="AG327" s="3"/>
      <c r="AH327" s="3"/>
      <c r="AI327" s="3"/>
    </row>
    <row r="328" spans="2:35" x14ac:dyDescent="0.2">
      <c r="B328" s="218" t="str">
        <f>'WS9 - Financials'!B106</f>
        <v>Receivables</v>
      </c>
      <c r="C328" s="207" t="str">
        <f>'WS9 - Financials'!C106</f>
        <v>Current</v>
      </c>
      <c r="D328" s="207" t="str">
        <f>'WS9 - Financials'!D106</f>
        <v>$'000 nominal</v>
      </c>
      <c r="E328" s="54"/>
      <c r="F328" s="3"/>
      <c r="G328" s="3"/>
      <c r="H328" s="3"/>
      <c r="I328" s="241">
        <f>'WS9 - Financials'!I106</f>
        <v>8738</v>
      </c>
      <c r="J328" s="240">
        <f>'WS9 - Financials'!J106</f>
        <v>6606.5279946131268</v>
      </c>
      <c r="K328" s="240">
        <f>'WS9 - Financials'!K106</f>
        <v>7696.3981669385821</v>
      </c>
      <c r="L328" s="240">
        <f>'WS9 - Financials'!L106</f>
        <v>7924.6685492622109</v>
      </c>
      <c r="M328" s="240">
        <f>'WS9 - Financials'!M106</f>
        <v>7939.4693848056204</v>
      </c>
      <c r="N328" s="240">
        <f>'WS9 - Financials'!N106</f>
        <v>8142.0026732168271</v>
      </c>
      <c r="O328" s="240">
        <f>'WS9 - Financials'!O106</f>
        <v>8388.4610207525202</v>
      </c>
      <c r="P328" s="240">
        <f>'WS9 - Financials'!P106</f>
        <v>8687.8607268457563</v>
      </c>
      <c r="Q328" s="240">
        <f>'WS9 - Financials'!Q106</f>
        <v>8962.9946095647356</v>
      </c>
      <c r="R328" s="240">
        <f>'WS9 - Financials'!R106</f>
        <v>9274.4035742164033</v>
      </c>
      <c r="S328" s="240">
        <f>'WS9 - Financials'!S106</f>
        <v>9603.9432161758214</v>
      </c>
      <c r="T328" s="240">
        <f>'WS9 - Financials'!T106</f>
        <v>9909.3040459525091</v>
      </c>
      <c r="U328" s="54"/>
      <c r="V328" s="3"/>
      <c r="W328" s="3"/>
      <c r="X328" s="3"/>
      <c r="Y328" s="3"/>
      <c r="Z328" s="3"/>
      <c r="AA328" s="3"/>
      <c r="AB328" s="3"/>
      <c r="AC328" s="3"/>
      <c r="AD328" s="3"/>
      <c r="AE328" s="3"/>
      <c r="AF328" s="3"/>
      <c r="AG328" s="3"/>
      <c r="AH328" s="3"/>
      <c r="AI328" s="3"/>
    </row>
    <row r="329" spans="2:35" x14ac:dyDescent="0.2">
      <c r="B329" s="218" t="str">
        <f>'WS9 - Financials'!B107</f>
        <v>Receivables</v>
      </c>
      <c r="C329" s="207" t="str">
        <f>'WS9 - Financials'!C107</f>
        <v>Non-current</v>
      </c>
      <c r="D329" s="207" t="str">
        <f>'WS9 - Financials'!D107</f>
        <v>$'000 nominal</v>
      </c>
      <c r="E329" s="54"/>
      <c r="F329" s="3"/>
      <c r="G329" s="3"/>
      <c r="H329" s="3"/>
      <c r="I329" s="241">
        <f>'WS9 - Financials'!I107</f>
        <v>51</v>
      </c>
      <c r="J329" s="240">
        <f>'WS9 - Financials'!J107</f>
        <v>54.687708714086682</v>
      </c>
      <c r="K329" s="240">
        <f>'WS9 - Financials'!K107</f>
        <v>59.417355092079816</v>
      </c>
      <c r="L329" s="240">
        <f>'WS9 - Financials'!L107</f>
        <v>60.738505615073166</v>
      </c>
      <c r="M329" s="240">
        <f>'WS9 - Financials'!M107</f>
        <v>62.09929065077845</v>
      </c>
      <c r="N329" s="240">
        <f>'WS9 - Financials'!N107</f>
        <v>63.50089923863775</v>
      </c>
      <c r="O329" s="240">
        <f>'WS9 - Financials'!O107</f>
        <v>65.747705318351251</v>
      </c>
      <c r="P329" s="240">
        <f>'WS9 - Financials'!P107</f>
        <v>67.258766343422266</v>
      </c>
      <c r="Q329" s="240">
        <f>'WS9 - Financials'!Q107</f>
        <v>68.81515920417246</v>
      </c>
      <c r="R329" s="240">
        <f>'WS9 - Financials'!R107</f>
        <v>70.418243849337443</v>
      </c>
      <c r="S329" s="240">
        <f>'WS9 - Financials'!S107</f>
        <v>72.069421035589983</v>
      </c>
      <c r="T329" s="240">
        <f>'WS9 - Financials'!T107</f>
        <v>73.672972599645888</v>
      </c>
      <c r="U329" s="54"/>
      <c r="V329" s="3"/>
      <c r="W329" s="3"/>
      <c r="X329" s="3"/>
      <c r="Y329" s="3"/>
      <c r="Z329" s="3"/>
      <c r="AA329" s="3"/>
      <c r="AB329" s="3"/>
      <c r="AC329" s="3"/>
      <c r="AD329" s="3"/>
      <c r="AE329" s="3"/>
      <c r="AF329" s="3"/>
      <c r="AG329" s="3"/>
      <c r="AH329" s="3"/>
      <c r="AI329" s="3"/>
    </row>
    <row r="330" spans="2:35" x14ac:dyDescent="0.2">
      <c r="B330" s="218" t="str">
        <f>'WS9 - Financials'!B108</f>
        <v>Investments</v>
      </c>
      <c r="C330" s="207" t="str">
        <f>'WS9 - Financials'!C108</f>
        <v>Current</v>
      </c>
      <c r="D330" s="207" t="str">
        <f>'WS9 - Financials'!D108</f>
        <v>$'000 nominal</v>
      </c>
      <c r="E330" s="54"/>
      <c r="F330" s="3"/>
      <c r="G330" s="3"/>
      <c r="H330" s="3"/>
      <c r="I330" s="241">
        <f>'WS9 - Financials'!I108</f>
        <v>167000</v>
      </c>
      <c r="J330" s="240">
        <f>'WS9 - Financials'!J108</f>
        <v>116855.77044283725</v>
      </c>
      <c r="K330" s="240">
        <f>'WS9 - Financials'!K108</f>
        <v>113081.08157788725</v>
      </c>
      <c r="L330" s="240">
        <f>'WS9 - Financials'!L108</f>
        <v>114009.47631967746</v>
      </c>
      <c r="M330" s="240">
        <f>'WS9 - Financials'!M108</f>
        <v>103343.72200068456</v>
      </c>
      <c r="N330" s="240">
        <f>'WS9 - Financials'!N108</f>
        <v>103518.53897486806</v>
      </c>
      <c r="O330" s="240">
        <f>'WS9 - Financials'!O108</f>
        <v>108570.53226132653</v>
      </c>
      <c r="P330" s="240">
        <f>'WS9 - Financials'!P108</f>
        <v>121663.4660277486</v>
      </c>
      <c r="Q330" s="240">
        <f>'WS9 - Financials'!Q108</f>
        <v>133526.80128870075</v>
      </c>
      <c r="R330" s="240">
        <f>'WS9 - Financials'!R108</f>
        <v>146478.95520338407</v>
      </c>
      <c r="S330" s="240">
        <f>'WS9 - Financials'!S108</f>
        <v>160563.38352642138</v>
      </c>
      <c r="T330" s="240">
        <f>'WS9 - Financials'!T108</f>
        <v>173530.02269264564</v>
      </c>
      <c r="U330" s="54"/>
      <c r="V330" s="3"/>
      <c r="W330" s="3"/>
      <c r="X330" s="3"/>
      <c r="Y330" s="3"/>
      <c r="Z330" s="3"/>
      <c r="AA330" s="3"/>
      <c r="AB330" s="3"/>
      <c r="AC330" s="3"/>
      <c r="AD330" s="3"/>
      <c r="AE330" s="3"/>
      <c r="AF330" s="3"/>
      <c r="AG330" s="3"/>
      <c r="AH330" s="3"/>
      <c r="AI330" s="3"/>
    </row>
    <row r="331" spans="2:35" x14ac:dyDescent="0.2">
      <c r="B331" s="218" t="str">
        <f>'WS9 - Financials'!B109</f>
        <v>Investments</v>
      </c>
      <c r="C331" s="207" t="str">
        <f>'WS9 - Financials'!C109</f>
        <v>Non-current</v>
      </c>
      <c r="D331" s="207" t="str">
        <f>'WS9 - Financials'!D109</f>
        <v>$'000 nominal</v>
      </c>
      <c r="E331" s="54"/>
      <c r="F331" s="3"/>
      <c r="G331" s="3"/>
      <c r="H331" s="3"/>
      <c r="I331" s="241">
        <f>'WS9 - Financials'!I109</f>
        <v>21000</v>
      </c>
      <c r="J331" s="240">
        <f>'WS9 - Financials'!J109</f>
        <v>26183.410735217021</v>
      </c>
      <c r="K331" s="240">
        <f>'WS9 - Financials'!K109</f>
        <v>25337.631116683046</v>
      </c>
      <c r="L331" s="240">
        <f>'WS9 - Financials'!L109</f>
        <v>25545.652857985071</v>
      </c>
      <c r="M331" s="240">
        <f>'WS9 - Financials'!M109</f>
        <v>23155.819432756703</v>
      </c>
      <c r="N331" s="240">
        <f>'WS9 - Financials'!N109</f>
        <v>23194.989981384198</v>
      </c>
      <c r="O331" s="240">
        <f>'WS9 - Financials'!O109</f>
        <v>24326.97015446096</v>
      </c>
      <c r="P331" s="240">
        <f>'WS9 - Financials'!P109</f>
        <v>27260.652087634451</v>
      </c>
      <c r="Q331" s="240">
        <f>'WS9 - Financials'!Q109</f>
        <v>29918.822742365122</v>
      </c>
      <c r="R331" s="240">
        <f>'WS9 - Financials'!R109</f>
        <v>32820.960690441862</v>
      </c>
      <c r="S331" s="240">
        <f>'WS9 - Financials'!S109</f>
        <v>35976.802891090454</v>
      </c>
      <c r="T331" s="240">
        <f>'WS9 - Financials'!T109</f>
        <v>38882.186492242457</v>
      </c>
      <c r="U331" s="54"/>
      <c r="V331" s="3"/>
      <c r="W331" s="3"/>
      <c r="X331" s="3"/>
      <c r="Y331" s="3"/>
      <c r="Z331" s="3"/>
      <c r="AA331" s="3"/>
      <c r="AB331" s="3"/>
      <c r="AC331" s="3"/>
      <c r="AD331" s="3"/>
      <c r="AE331" s="3"/>
      <c r="AF331" s="3"/>
      <c r="AG331" s="3"/>
      <c r="AH331" s="3"/>
      <c r="AI331" s="3"/>
    </row>
    <row r="332" spans="2:35" x14ac:dyDescent="0.2">
      <c r="B332" s="202" t="s">
        <v>77</v>
      </c>
      <c r="C332" s="3"/>
      <c r="D332" s="3"/>
      <c r="E332" s="54"/>
      <c r="F332" s="3"/>
      <c r="G332" s="3"/>
      <c r="H332" s="3"/>
      <c r="I332" s="246">
        <f>SUM(I327:I331)-SUM('WS9 - Financials'!I105:I109)</f>
        <v>0</v>
      </c>
      <c r="J332" s="243">
        <f>SUM(J327:J331)-SUM('WS9 - Financials'!J105:J109)</f>
        <v>0</v>
      </c>
      <c r="K332" s="243">
        <f>SUM(K327:K331)-SUM('WS9 - Financials'!K105:K109)</f>
        <v>0</v>
      </c>
      <c r="L332" s="243">
        <f>SUM(L327:L331)-SUM('WS9 - Financials'!L105:L109)</f>
        <v>0</v>
      </c>
      <c r="M332" s="243">
        <f>SUM(M327:M331)-SUM('WS9 - Financials'!M105:M109)</f>
        <v>0</v>
      </c>
      <c r="N332" s="243">
        <f>SUM(N327:N331)-SUM('WS9 - Financials'!N105:N109)</f>
        <v>0</v>
      </c>
      <c r="O332" s="243">
        <f>SUM(O327:O331)-SUM('WS9 - Financials'!O105:O109)</f>
        <v>0</v>
      </c>
      <c r="P332" s="243">
        <f>SUM(P327:P331)-SUM('WS9 - Financials'!P105:P109)</f>
        <v>0</v>
      </c>
      <c r="Q332" s="243">
        <f>SUM(Q327:Q331)-SUM('WS9 - Financials'!Q105:Q109)</f>
        <v>0</v>
      </c>
      <c r="R332" s="243">
        <f>SUM(R327:R331)-SUM('WS9 - Financials'!R105:R109)</f>
        <v>0</v>
      </c>
      <c r="S332" s="243">
        <f>SUM(S327:S331)-SUM('WS9 - Financials'!S105:S109)</f>
        <v>0</v>
      </c>
      <c r="T332" s="243">
        <f>SUM(T327:T331)-SUM('WS9 - Financials'!T105:T109)</f>
        <v>0</v>
      </c>
      <c r="U332" s="54"/>
      <c r="V332" s="3"/>
      <c r="W332" s="3"/>
      <c r="X332" s="3"/>
      <c r="Y332" s="3"/>
      <c r="Z332" s="3"/>
      <c r="AA332" s="3"/>
      <c r="AB332" s="3"/>
      <c r="AC332" s="3"/>
      <c r="AD332" s="3"/>
      <c r="AE332" s="3"/>
      <c r="AF332" s="3"/>
      <c r="AG332" s="3"/>
      <c r="AH332" s="3"/>
      <c r="AI332" s="3"/>
    </row>
    <row r="333" spans="2:35" x14ac:dyDescent="0.2">
      <c r="B333" s="219" t="str">
        <f>'WS9 - Financials'!B111</f>
        <v>Liabilities</v>
      </c>
      <c r="C333" s="3"/>
      <c r="D333" s="3"/>
      <c r="E333" s="54"/>
      <c r="F333" s="3"/>
      <c r="G333" s="3"/>
      <c r="H333" s="3"/>
      <c r="I333" s="201"/>
      <c r="J333" s="85"/>
      <c r="K333" s="85"/>
      <c r="L333" s="85"/>
      <c r="M333" s="85"/>
      <c r="N333" s="85"/>
      <c r="O333" s="85"/>
      <c r="P333" s="85"/>
      <c r="Q333" s="85"/>
      <c r="R333" s="85"/>
      <c r="S333" s="85"/>
      <c r="T333" s="85"/>
      <c r="U333" s="54"/>
      <c r="V333" s="3"/>
      <c r="W333" s="3"/>
      <c r="X333" s="3"/>
      <c r="Y333" s="3"/>
      <c r="Z333" s="3"/>
      <c r="AA333" s="3"/>
      <c r="AB333" s="3"/>
      <c r="AC333" s="3"/>
      <c r="AD333" s="3"/>
      <c r="AE333" s="3"/>
      <c r="AF333" s="3"/>
      <c r="AG333" s="3"/>
      <c r="AH333" s="3"/>
      <c r="AI333" s="3"/>
    </row>
    <row r="334" spans="2:35" x14ac:dyDescent="0.2">
      <c r="B334" s="218" t="str">
        <f>'WS9 - Financials'!B112</f>
        <v>Payables</v>
      </c>
      <c r="C334" s="207" t="str">
        <f>'WS9 - Financials'!C112</f>
        <v>Current</v>
      </c>
      <c r="D334" s="207" t="str">
        <f>'WS9 - Financials'!D112</f>
        <v>$'000 nominal</v>
      </c>
      <c r="E334" s="54"/>
      <c r="F334" s="3"/>
      <c r="G334" s="3"/>
      <c r="H334" s="3"/>
      <c r="I334" s="241">
        <f>'WS9 - Financials'!I112</f>
        <v>24265</v>
      </c>
      <c r="J334" s="240">
        <f>'WS9 - Financials'!J112</f>
        <v>28739.88757275392</v>
      </c>
      <c r="K334" s="240">
        <f>'WS9 - Financials'!K112</f>
        <v>29003.050965826475</v>
      </c>
      <c r="L334" s="240">
        <f>'WS9 - Financials'!L112</f>
        <v>29305.733091604219</v>
      </c>
      <c r="M334" s="240">
        <f>'WS9 - Financials'!M112</f>
        <v>29707.325559909968</v>
      </c>
      <c r="N334" s="240">
        <f>'WS9 - Financials'!N112</f>
        <v>30161.873116784613</v>
      </c>
      <c r="O334" s="240">
        <f>'WS9 - Financials'!O112</f>
        <v>30982.840920896931</v>
      </c>
      <c r="P334" s="240">
        <f>'WS9 - Financials'!P112</f>
        <v>31363.237193985427</v>
      </c>
      <c r="Q334" s="240">
        <f>'WS9 - Financials'!Q112</f>
        <v>31810.524072842047</v>
      </c>
      <c r="R334" s="240">
        <f>'WS9 - Financials'!R112</f>
        <v>32314.362097100133</v>
      </c>
      <c r="S334" s="240">
        <f>'WS9 - Financials'!S112</f>
        <v>32945.921624426541</v>
      </c>
      <c r="T334" s="240">
        <f>'WS9 - Financials'!T112</f>
        <v>33473.483101240243</v>
      </c>
      <c r="U334" s="54"/>
      <c r="V334" s="3"/>
      <c r="W334" s="3"/>
      <c r="X334" s="3"/>
      <c r="Y334" s="3"/>
      <c r="Z334" s="3"/>
      <c r="AA334" s="3"/>
      <c r="AB334" s="3"/>
      <c r="AC334" s="3"/>
      <c r="AD334" s="3"/>
      <c r="AE334" s="3"/>
      <c r="AF334" s="3"/>
      <c r="AG334" s="3"/>
      <c r="AH334" s="3"/>
      <c r="AI334" s="3"/>
    </row>
    <row r="335" spans="2:35" x14ac:dyDescent="0.2">
      <c r="B335" s="218" t="str">
        <f>'WS9 - Financials'!B113</f>
        <v>Payables</v>
      </c>
      <c r="C335" s="207" t="str">
        <f>'WS9 - Financials'!C113</f>
        <v>Non-current</v>
      </c>
      <c r="D335" s="207" t="str">
        <f>'WS9 - Financials'!D113</f>
        <v>$'000 nominal</v>
      </c>
      <c r="E335" s="54"/>
      <c r="F335" s="3"/>
      <c r="G335" s="3"/>
      <c r="H335" s="3"/>
      <c r="I335" s="241">
        <f>'WS9 - Financials'!I113</f>
        <v>0</v>
      </c>
      <c r="J335" s="240">
        <f>'WS9 - Financials'!J113</f>
        <v>0</v>
      </c>
      <c r="K335" s="240">
        <f>'WS9 - Financials'!K113</f>
        <v>0</v>
      </c>
      <c r="L335" s="240">
        <f>'WS9 - Financials'!L113</f>
        <v>0</v>
      </c>
      <c r="M335" s="240">
        <f>'WS9 - Financials'!M113</f>
        <v>0</v>
      </c>
      <c r="N335" s="240">
        <f>'WS9 - Financials'!N113</f>
        <v>0</v>
      </c>
      <c r="O335" s="240">
        <f>'WS9 - Financials'!O113</f>
        <v>0</v>
      </c>
      <c r="P335" s="240">
        <f>'WS9 - Financials'!P113</f>
        <v>0</v>
      </c>
      <c r="Q335" s="240">
        <f>'WS9 - Financials'!Q113</f>
        <v>0</v>
      </c>
      <c r="R335" s="240">
        <f>'WS9 - Financials'!R113</f>
        <v>0</v>
      </c>
      <c r="S335" s="240">
        <f>'WS9 - Financials'!S113</f>
        <v>0</v>
      </c>
      <c r="T335" s="240">
        <f>'WS9 - Financials'!T113</f>
        <v>0</v>
      </c>
      <c r="U335" s="54"/>
      <c r="V335" s="3"/>
      <c r="W335" s="3"/>
      <c r="X335" s="3"/>
      <c r="Y335" s="3"/>
      <c r="Z335" s="3"/>
      <c r="AA335" s="3"/>
      <c r="AB335" s="3"/>
      <c r="AC335" s="3"/>
      <c r="AD335" s="3"/>
      <c r="AE335" s="3"/>
      <c r="AF335" s="3"/>
      <c r="AG335" s="3"/>
      <c r="AH335" s="3"/>
      <c r="AI335" s="3"/>
    </row>
    <row r="336" spans="2:35" x14ac:dyDescent="0.2">
      <c r="B336" s="218" t="str">
        <f>'WS9 - Financials'!B114</f>
        <v>Borrowing</v>
      </c>
      <c r="C336" s="207" t="str">
        <f>'WS9 - Financials'!C114</f>
        <v>Current</v>
      </c>
      <c r="D336" s="207" t="str">
        <f>'WS9 - Financials'!D114</f>
        <v>$'000 nominal</v>
      </c>
      <c r="E336" s="54"/>
      <c r="F336" s="3"/>
      <c r="G336" s="3"/>
      <c r="H336" s="3"/>
      <c r="I336" s="241">
        <f>'WS9 - Financials'!I114</f>
        <v>1280</v>
      </c>
      <c r="J336" s="240">
        <f>'WS9 - Financials'!J114</f>
        <v>1326.556</v>
      </c>
      <c r="K336" s="240">
        <f>'WS9 - Financials'!K114</f>
        <v>1376.2239999999999</v>
      </c>
      <c r="L336" s="240">
        <f>'WS9 - Financials'!L114</f>
        <v>1426.2090000000001</v>
      </c>
      <c r="M336" s="240">
        <f>'WS9 - Financials'!M114</f>
        <v>1477.691</v>
      </c>
      <c r="N336" s="240">
        <f>'WS9 - Financials'!N114</f>
        <v>1494.3589999999999</v>
      </c>
      <c r="O336" s="240">
        <f>'WS9 - Financials'!O114</f>
        <v>1512.981</v>
      </c>
      <c r="P336" s="240">
        <f>'WS9 - Financials'!P114</f>
        <v>968.77599999999995</v>
      </c>
      <c r="Q336" s="240">
        <f>'WS9 - Financials'!Q114</f>
        <v>796.96400000000006</v>
      </c>
      <c r="R336" s="240">
        <f>'WS9 - Financials'!R114</f>
        <v>822.53</v>
      </c>
      <c r="S336" s="240">
        <f>'WS9 - Financials'!S114</f>
        <v>848.91600000000005</v>
      </c>
      <c r="T336" s="240">
        <f>'WS9 - Financials'!T114</f>
        <v>874.89200000000005</v>
      </c>
      <c r="U336" s="54"/>
      <c r="V336" s="3"/>
      <c r="W336" s="3"/>
      <c r="X336" s="3"/>
      <c r="Y336" s="3"/>
      <c r="Z336" s="3"/>
      <c r="AA336" s="3"/>
      <c r="AB336" s="3"/>
      <c r="AC336" s="3"/>
      <c r="AD336" s="3"/>
      <c r="AE336" s="3"/>
      <c r="AF336" s="3"/>
      <c r="AG336" s="3"/>
      <c r="AH336" s="3"/>
      <c r="AI336" s="3"/>
    </row>
    <row r="337" spans="2:36" x14ac:dyDescent="0.2">
      <c r="B337" s="218" t="str">
        <f>'WS9 - Financials'!B115</f>
        <v>Borrowing</v>
      </c>
      <c r="C337" s="207" t="str">
        <f>'WS9 - Financials'!C115</f>
        <v>Non-current</v>
      </c>
      <c r="D337" s="207" t="str">
        <f>'WS9 - Financials'!D115</f>
        <v>$'000 nominal</v>
      </c>
      <c r="E337" s="54"/>
      <c r="F337" s="3"/>
      <c r="G337" s="3"/>
      <c r="H337" s="3"/>
      <c r="I337" s="241">
        <f>'WS9 - Financials'!I115</f>
        <v>36220</v>
      </c>
      <c r="J337" s="240">
        <f>'WS9 - Financials'!J115</f>
        <v>35684.107000000004</v>
      </c>
      <c r="K337" s="240">
        <f>'WS9 - Financials'!K115</f>
        <v>35007.883000000002</v>
      </c>
      <c r="L337" s="240">
        <f>'WS9 - Financials'!L115</f>
        <v>34281.673999999999</v>
      </c>
      <c r="M337" s="240">
        <f>'WS9 - Financials'!M115</f>
        <v>33503.983</v>
      </c>
      <c r="N337" s="240">
        <f>'WS9 - Financials'!N115</f>
        <v>32709.624</v>
      </c>
      <c r="O337" s="240">
        <f>'WS9 - Financials'!O115</f>
        <v>31896.643</v>
      </c>
      <c r="P337" s="240">
        <f>'WS9 - Financials'!P115</f>
        <v>31627.866999999998</v>
      </c>
      <c r="Q337" s="240">
        <f>'WS9 - Financials'!Q115</f>
        <v>31530.902999999998</v>
      </c>
      <c r="R337" s="240">
        <f>'WS9 - Financials'!R115</f>
        <v>31408.373</v>
      </c>
      <c r="S337" s="240">
        <f>'WS9 - Financials'!S115</f>
        <v>31259.456999999999</v>
      </c>
      <c r="T337" s="240">
        <f>'WS9 - Financials'!T115</f>
        <v>31136.653666666665</v>
      </c>
      <c r="U337" s="54"/>
      <c r="V337" s="3"/>
      <c r="W337" s="3"/>
      <c r="X337" s="3"/>
      <c r="Y337" s="3"/>
      <c r="Z337" s="3"/>
      <c r="AA337" s="3"/>
      <c r="AB337" s="3"/>
      <c r="AC337" s="3"/>
      <c r="AD337" s="3"/>
      <c r="AE337" s="3"/>
      <c r="AF337" s="3"/>
      <c r="AG337" s="3"/>
      <c r="AH337" s="3"/>
      <c r="AI337" s="3"/>
    </row>
    <row r="338" spans="2:36" x14ac:dyDescent="0.2">
      <c r="B338" s="202" t="s">
        <v>77</v>
      </c>
      <c r="C338" s="3"/>
      <c r="D338" s="3"/>
      <c r="E338" s="54"/>
      <c r="F338" s="3"/>
      <c r="G338" s="3"/>
      <c r="H338" s="3"/>
      <c r="I338" s="246">
        <f>SUM(I334:I337)-SUM('WS9 - Financials'!I112:I115)</f>
        <v>0</v>
      </c>
      <c r="J338" s="243">
        <f>SUM(J334:J337)-SUM('WS9 - Financials'!J112:J115)</f>
        <v>0</v>
      </c>
      <c r="K338" s="243">
        <f>SUM(K334:K337)-SUM('WS9 - Financials'!K112:K115)</f>
        <v>0</v>
      </c>
      <c r="L338" s="243">
        <f>SUM(L334:L337)-SUM('WS9 - Financials'!L112:L115)</f>
        <v>0</v>
      </c>
      <c r="M338" s="243">
        <f>SUM(M334:M337)-SUM('WS9 - Financials'!M112:M115)</f>
        <v>0</v>
      </c>
      <c r="N338" s="243">
        <f>SUM(N334:N337)-SUM('WS9 - Financials'!N112:N115)</f>
        <v>0</v>
      </c>
      <c r="O338" s="243">
        <f>SUM(O334:O337)-SUM('WS9 - Financials'!O112:O115)</f>
        <v>0</v>
      </c>
      <c r="P338" s="243">
        <f>SUM(P334:P337)-SUM('WS9 - Financials'!P112:P115)</f>
        <v>0</v>
      </c>
      <c r="Q338" s="243">
        <f>SUM(Q334:Q337)-SUM('WS9 - Financials'!Q112:Q115)</f>
        <v>0</v>
      </c>
      <c r="R338" s="243">
        <f>SUM(R334:R337)-SUM('WS9 - Financials'!R112:R115)</f>
        <v>0</v>
      </c>
      <c r="S338" s="243">
        <f>SUM(S334:S337)-SUM('WS9 - Financials'!S112:S115)</f>
        <v>0</v>
      </c>
      <c r="T338" s="243">
        <f>SUM(T334:T337)-SUM('WS9 - Financials'!T112:T115)</f>
        <v>0</v>
      </c>
      <c r="U338" s="54"/>
      <c r="V338" s="3"/>
      <c r="W338" s="3"/>
      <c r="X338" s="3"/>
      <c r="Y338" s="3"/>
      <c r="Z338" s="3"/>
      <c r="AA338" s="3"/>
      <c r="AB338" s="3"/>
      <c r="AC338" s="3"/>
      <c r="AD338" s="3"/>
      <c r="AE338" s="3"/>
      <c r="AF338" s="3"/>
      <c r="AG338" s="3"/>
      <c r="AH338" s="3"/>
      <c r="AI338" s="3"/>
    </row>
    <row r="339" spans="2:36" x14ac:dyDescent="0.2">
      <c r="B339" s="32"/>
      <c r="C339" s="30"/>
      <c r="D339" s="30"/>
      <c r="E339" s="32"/>
      <c r="F339" s="30"/>
      <c r="G339" s="30"/>
      <c r="H339" s="30"/>
      <c r="I339" s="33"/>
      <c r="J339" s="30"/>
      <c r="K339" s="30"/>
      <c r="L339" s="30"/>
      <c r="M339" s="30"/>
      <c r="N339" s="30"/>
      <c r="O339" s="30"/>
      <c r="P339" s="30"/>
      <c r="Q339" s="30"/>
      <c r="R339" s="30"/>
      <c r="S339" s="30"/>
      <c r="T339" s="30"/>
      <c r="U339" s="54"/>
      <c r="V339" s="3"/>
      <c r="W339" s="3"/>
      <c r="X339" s="3"/>
      <c r="Y339" s="3"/>
      <c r="Z339" s="3"/>
      <c r="AA339" s="3"/>
      <c r="AB339" s="3"/>
      <c r="AC339" s="3"/>
      <c r="AD339" s="3"/>
      <c r="AE339" s="3"/>
    </row>
    <row r="340" spans="2:36" x14ac:dyDescent="0.2">
      <c r="B340" s="3"/>
      <c r="C340" s="3"/>
      <c r="D340" s="3"/>
      <c r="E340" s="3"/>
      <c r="F340" s="3"/>
      <c r="G340" s="3"/>
      <c r="H340" s="3"/>
      <c r="I340" s="3"/>
      <c r="J340" s="3"/>
      <c r="K340" s="3"/>
      <c r="L340" s="3"/>
      <c r="M340" s="3"/>
      <c r="N340" s="3"/>
      <c r="O340" s="3"/>
      <c r="P340" s="3"/>
      <c r="Q340" s="3"/>
      <c r="R340" s="3"/>
      <c r="S340" s="3"/>
      <c r="T340" s="3"/>
      <c r="U340" s="3"/>
      <c r="W340" s="3"/>
      <c r="X340" s="3"/>
      <c r="Y340" s="3"/>
      <c r="Z340" s="3"/>
      <c r="AA340" s="3"/>
      <c r="AB340" s="3"/>
      <c r="AC340" s="3"/>
      <c r="AD340" s="3"/>
      <c r="AE340" s="3"/>
    </row>
    <row r="341" spans="2:36" x14ac:dyDescent="0.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2:36" x14ac:dyDescent="0.2">
      <c r="B342" s="207" t="str">
        <f>'WS10 - LTFP'!B4</f>
        <v>WORKSHEET 10: LONG TERM FINANCIAL PLAN</v>
      </c>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2:36" x14ac:dyDescent="0.2">
      <c r="B343" s="208"/>
      <c r="C343" s="3"/>
      <c r="E343" s="3"/>
      <c r="F343" s="3"/>
      <c r="G343" s="3"/>
      <c r="H343" s="208"/>
      <c r="I343" s="3"/>
      <c r="J343" s="3"/>
      <c r="K343" s="3"/>
      <c r="L343" s="3"/>
      <c r="M343" s="3"/>
      <c r="N343" s="3"/>
      <c r="O343" s="3"/>
      <c r="P343" s="3"/>
      <c r="Q343" s="3"/>
      <c r="R343" s="3"/>
      <c r="S343" s="3"/>
      <c r="T343" s="3"/>
      <c r="U343" s="3"/>
      <c r="V343" s="3"/>
      <c r="W343" s="3"/>
      <c r="X343" s="3"/>
      <c r="Y343" s="3"/>
      <c r="Z343" s="3"/>
      <c r="AA343" s="3"/>
      <c r="AB343" s="3"/>
      <c r="AC343" s="3"/>
      <c r="AD343" s="3"/>
      <c r="AE343" s="3"/>
    </row>
    <row r="344" spans="2:36" x14ac:dyDescent="0.2">
      <c r="B344" s="334" t="str">
        <f>B$51</f>
        <v>Year number</v>
      </c>
      <c r="C344" s="282"/>
      <c r="D344" s="282"/>
      <c r="E344" s="312"/>
      <c r="F344" s="282"/>
      <c r="G344" s="350" t="str">
        <f t="shared" ref="G344:T344" si="7">G$51</f>
        <v>Hist yr -3</v>
      </c>
      <c r="H344" s="350" t="str">
        <f t="shared" si="7"/>
        <v>Hist yr -2</v>
      </c>
      <c r="I344" s="351" t="str">
        <f t="shared" si="7"/>
        <v>Hist yr -1</v>
      </c>
      <c r="J344" s="349" t="str">
        <f t="shared" si="7"/>
        <v>Year 0</v>
      </c>
      <c r="K344" s="315" t="str">
        <f t="shared" si="7"/>
        <v>Year 1</v>
      </c>
      <c r="L344" s="315" t="str">
        <f t="shared" si="7"/>
        <v>Year 2</v>
      </c>
      <c r="M344" s="315" t="str">
        <f t="shared" si="7"/>
        <v>Year 3</v>
      </c>
      <c r="N344" s="315" t="str">
        <f t="shared" si="7"/>
        <v>Year 4</v>
      </c>
      <c r="O344" s="315" t="str">
        <f t="shared" si="7"/>
        <v>Year 5</v>
      </c>
      <c r="P344" s="315" t="str">
        <f t="shared" si="7"/>
        <v>Year 6</v>
      </c>
      <c r="Q344" s="353" t="str">
        <f t="shared" si="7"/>
        <v>Year 7</v>
      </c>
      <c r="R344" s="315" t="str">
        <f t="shared" si="7"/>
        <v>Year 8</v>
      </c>
      <c r="S344" s="315" t="str">
        <f t="shared" si="7"/>
        <v>Year 9</v>
      </c>
      <c r="T344" s="353" t="str">
        <f t="shared" si="7"/>
        <v>Year 10</v>
      </c>
      <c r="U344" s="500" t="str">
        <f>'WS10 - LTFP'!U22</f>
        <v>Sum of 10 years</v>
      </c>
      <c r="V344" s="354"/>
      <c r="W344" s="501" t="str">
        <f>'WS10 - LTFP'!W22</f>
        <v xml:space="preserve">  Change over 10 years</v>
      </c>
      <c r="X344" s="355"/>
      <c r="Y344" s="356" t="s">
        <v>77</v>
      </c>
      <c r="Z344" s="348"/>
      <c r="AA344" s="3"/>
      <c r="AB344" s="3"/>
      <c r="AC344" s="3"/>
      <c r="AD344" s="3"/>
      <c r="AE344" s="3"/>
    </row>
    <row r="345" spans="2:36" x14ac:dyDescent="0.2">
      <c r="B345" s="218" t="str">
        <f>B$52</f>
        <v>Financial year</v>
      </c>
      <c r="C345" s="3"/>
      <c r="D345" s="3"/>
      <c r="E345" s="54"/>
      <c r="F345" s="3"/>
      <c r="G345" s="502" t="str">
        <f t="shared" ref="G345:T345" si="8">G$52</f>
        <v>2020-21</v>
      </c>
      <c r="H345" s="502" t="str">
        <f t="shared" si="8"/>
        <v>2021-22</v>
      </c>
      <c r="I345" s="503" t="str">
        <f t="shared" si="8"/>
        <v>2022-23</v>
      </c>
      <c r="J345" s="504" t="str">
        <f t="shared" si="8"/>
        <v>2023-24</v>
      </c>
      <c r="K345" s="505" t="str">
        <f t="shared" si="8"/>
        <v>2024-25</v>
      </c>
      <c r="L345" s="505" t="str">
        <f t="shared" si="8"/>
        <v>2025-26</v>
      </c>
      <c r="M345" s="505" t="str">
        <f t="shared" si="8"/>
        <v>2026-27</v>
      </c>
      <c r="N345" s="505" t="str">
        <f t="shared" si="8"/>
        <v>2027-28</v>
      </c>
      <c r="O345" s="505" t="str">
        <f t="shared" si="8"/>
        <v>2028-29</v>
      </c>
      <c r="P345" s="505" t="str">
        <f t="shared" si="8"/>
        <v>2029-30</v>
      </c>
      <c r="Q345" s="506" t="str">
        <f t="shared" si="8"/>
        <v>2030-31</v>
      </c>
      <c r="R345" s="505" t="str">
        <f t="shared" si="8"/>
        <v>2031-32</v>
      </c>
      <c r="S345" s="505" t="str">
        <f t="shared" si="8"/>
        <v>2032-33</v>
      </c>
      <c r="T345" s="506" t="str">
        <f t="shared" si="8"/>
        <v>2033-34</v>
      </c>
      <c r="U345" s="64"/>
      <c r="V345" s="30"/>
      <c r="W345" s="507" t="str">
        <f>'WS10 - LTFP'!W23</f>
        <v>$</v>
      </c>
      <c r="X345" s="508" t="str">
        <f>'WS10 - LTFP'!X23</f>
        <v>%</v>
      </c>
      <c r="Y345" s="30"/>
      <c r="Z345" s="33"/>
      <c r="AA345" s="3"/>
      <c r="AB345" s="3"/>
      <c r="AC345" s="3"/>
      <c r="AD345" s="3"/>
      <c r="AE345" s="3"/>
    </row>
    <row r="346" spans="2:36" x14ac:dyDescent="0.2">
      <c r="B346" s="312"/>
      <c r="C346" s="282"/>
      <c r="D346" s="282"/>
      <c r="E346" s="312"/>
      <c r="F346" s="282"/>
      <c r="G346" s="282"/>
      <c r="H346" s="282"/>
      <c r="I346" s="348"/>
      <c r="J346" s="312"/>
      <c r="K346" s="282"/>
      <c r="L346" s="282"/>
      <c r="M346" s="282"/>
      <c r="N346" s="282"/>
      <c r="O346" s="282"/>
      <c r="P346" s="282"/>
      <c r="Q346" s="348"/>
      <c r="R346" s="282"/>
      <c r="S346" s="282"/>
      <c r="T346" s="348"/>
      <c r="U346" s="54"/>
      <c r="V346" s="3"/>
      <c r="W346" s="3"/>
      <c r="X346" s="31"/>
      <c r="Y346" s="3"/>
      <c r="Z346" s="31"/>
      <c r="AA346" s="3"/>
      <c r="AB346" s="3"/>
      <c r="AC346" s="3"/>
      <c r="AD346" s="3"/>
      <c r="AE346" s="3"/>
    </row>
    <row r="347" spans="2:36" x14ac:dyDescent="0.2">
      <c r="B347" s="247" t="str">
        <f>'WS10 - LTFP'!B21</f>
        <v>Table 10.1(a): Income Statement- General fund - PROPOSED Special Variation Scenario ($ nominal)</v>
      </c>
      <c r="C347" s="18"/>
      <c r="D347" s="18"/>
      <c r="E347" s="197"/>
      <c r="F347" s="18"/>
      <c r="G347" s="18"/>
      <c r="H347" s="18"/>
      <c r="I347" s="198"/>
      <c r="J347" s="197"/>
      <c r="K347" s="18"/>
      <c r="L347" s="18"/>
      <c r="M347" s="18"/>
      <c r="N347" s="18"/>
      <c r="O347" s="18"/>
      <c r="P347" s="18"/>
      <c r="Q347" s="198"/>
      <c r="R347" s="18"/>
      <c r="S347" s="18"/>
      <c r="T347" s="198"/>
      <c r="U347" s="197"/>
      <c r="V347" s="18"/>
      <c r="W347" s="18"/>
      <c r="X347" s="198"/>
      <c r="Y347" s="3"/>
      <c r="Z347" s="31"/>
      <c r="AA347" s="3"/>
      <c r="AB347" s="3"/>
      <c r="AC347" s="3"/>
      <c r="AD347" s="3"/>
      <c r="AE347" s="3"/>
    </row>
    <row r="348" spans="2:36" x14ac:dyDescent="0.2">
      <c r="B348" s="408" t="str">
        <f>"Revenue from "&amp;'WS10 - LTFP'!B26</f>
        <v xml:space="preserve">Revenue from Rates  </v>
      </c>
      <c r="D348" t="str">
        <f>'WS10 - LTFP'!D26</f>
        <v>$ nominal</v>
      </c>
      <c r="E348" s="284"/>
      <c r="I348" s="412"/>
      <c r="J348">
        <f>'WS10 - LTFP'!J26</f>
        <v>54352004</v>
      </c>
      <c r="K348">
        <f>'WS10 - LTFP'!K26</f>
        <v>62504804.599999994</v>
      </c>
      <c r="L348">
        <f>'WS10 - LTFP'!L26</f>
        <v>64379948.737999998</v>
      </c>
      <c r="M348">
        <f>'WS10 - LTFP'!M26</f>
        <v>66311347.200139999</v>
      </c>
      <c r="N348">
        <f>'WS10 - LTFP'!N26</f>
        <v>68300687.608878985</v>
      </c>
      <c r="O348">
        <f>'WS10 - LTFP'!O26</f>
        <v>70349708.241484284</v>
      </c>
      <c r="P348">
        <f>'WS10 - LTFP'!P26</f>
        <v>72460199.483078077</v>
      </c>
      <c r="Q348" s="412">
        <f>'WS10 - LTFP'!Q26</f>
        <v>74634005.47140485</v>
      </c>
      <c r="R348">
        <f>'WS10 - LTFP'!R26</f>
        <v>76873025.630602598</v>
      </c>
      <c r="S348">
        <f>'WS10 - LTFP'!S26</f>
        <v>79179216.396695316</v>
      </c>
      <c r="T348" s="412">
        <f>'WS10 - LTFP'!T26</f>
        <v>81554592.888596177</v>
      </c>
      <c r="U348">
        <f>'WS10 - LTFP'!U26</f>
        <v>716547536.25888026</v>
      </c>
      <c r="W348">
        <f>'WS10 - LTFP'!W26</f>
        <v>27202588.888596177</v>
      </c>
      <c r="X348" s="412">
        <f>'WS10 - LTFP'!X26</f>
        <v>0.50048916114659137</v>
      </c>
      <c r="Y348" s="243">
        <f t="shared" ref="Y348:Y352" si="9">T348-J348-W348</f>
        <v>0</v>
      </c>
      <c r="Z348" s="412"/>
      <c r="AB348" s="3"/>
    </row>
    <row r="349" spans="2:36" x14ac:dyDescent="0.2">
      <c r="B349" s="239" t="str">
        <f>'WS10 - LTFP'!B31</f>
        <v>Grants &amp; Contributions Op Purposes</v>
      </c>
      <c r="C349" s="3"/>
      <c r="D349" s="207" t="str">
        <f>'WS10 - LTFP'!D31</f>
        <v>$ nominal</v>
      </c>
      <c r="E349" s="54"/>
      <c r="F349" s="3"/>
      <c r="G349" s="3"/>
      <c r="H349" s="3"/>
      <c r="I349" s="31"/>
      <c r="J349" s="239">
        <f>'WS10 - LTFP'!J31</f>
        <v>9741793.5899999999</v>
      </c>
      <c r="K349" s="240">
        <f>'WS10 - LTFP'!K31</f>
        <v>5383007.9199999999</v>
      </c>
      <c r="L349" s="240">
        <f>'WS10 - LTFP'!L31</f>
        <v>5535587.8500000006</v>
      </c>
      <c r="M349" s="240">
        <f>'WS10 - LTFP'!M31</f>
        <v>5692567.5699999994</v>
      </c>
      <c r="N349" s="240">
        <f>'WS10 - LTFP'!N31</f>
        <v>5855432.3700000001</v>
      </c>
      <c r="O349" s="240">
        <f>'WS10 - LTFP'!O31</f>
        <v>6023025.2000000002</v>
      </c>
      <c r="P349" s="240">
        <f>'WS10 - LTFP'!P31</f>
        <v>6194042.7200000007</v>
      </c>
      <c r="Q349" s="241">
        <f>'WS10 - LTFP'!Q31</f>
        <v>6369998.4400000013</v>
      </c>
      <c r="R349" s="240">
        <f>'WS10 - LTFP'!R31</f>
        <v>6551034.8399999999</v>
      </c>
      <c r="S349" s="240">
        <f>'WS10 - LTFP'!S31</f>
        <v>6716772.5700000003</v>
      </c>
      <c r="T349" s="241">
        <f>'WS10 - LTFP'!T31</f>
        <v>6918275.7471000003</v>
      </c>
      <c r="U349" s="239">
        <f>'WS10 - LTFP'!U31</f>
        <v>61239745.227100015</v>
      </c>
      <c r="V349" s="85"/>
      <c r="W349" s="240">
        <f>'WS10 - LTFP'!W31</f>
        <v>-2823517.8428999996</v>
      </c>
      <c r="X349" s="547">
        <f>'WS10 - LTFP'!X31</f>
        <v>-0.28983552328581003</v>
      </c>
      <c r="Y349" s="243">
        <f t="shared" si="9"/>
        <v>0</v>
      </c>
      <c r="Z349" s="31"/>
      <c r="AA349" s="3"/>
      <c r="AB349" s="3"/>
      <c r="AC349" s="3"/>
      <c r="AD349" s="3"/>
      <c r="AE349" s="3"/>
      <c r="AF349" s="3"/>
      <c r="AG349" s="3"/>
      <c r="AH349" s="3"/>
      <c r="AI349" s="3"/>
      <c r="AJ349" s="3"/>
    </row>
    <row r="350" spans="2:36" x14ac:dyDescent="0.2">
      <c r="B350" s="239" t="str">
        <f>'WS10 - LTFP'!B32</f>
        <v>Grants &amp; Contributions Capital Purposes</v>
      </c>
      <c r="C350" s="3"/>
      <c r="D350" s="207" t="str">
        <f>'WS10 - LTFP'!D32</f>
        <v>$ nominal</v>
      </c>
      <c r="E350" s="54"/>
      <c r="F350" s="3"/>
      <c r="G350" s="3"/>
      <c r="H350" s="3"/>
      <c r="I350" s="31"/>
      <c r="J350" s="239">
        <f>'WS10 - LTFP'!J32</f>
        <v>10994914</v>
      </c>
      <c r="K350" s="240">
        <f>'WS10 - LTFP'!K32</f>
        <v>8292412.5</v>
      </c>
      <c r="L350" s="240">
        <f>'WS10 - LTFP'!L32</f>
        <v>10811777.73</v>
      </c>
      <c r="M350" s="240">
        <f>'WS10 - LTFP'!M32</f>
        <v>10934687.030000001</v>
      </c>
      <c r="N350" s="240">
        <f>'WS10 - LTFP'!N32</f>
        <v>11061242.280000001</v>
      </c>
      <c r="O350" s="240">
        <f>'WS10 - LTFP'!O32</f>
        <v>11191556.950000001</v>
      </c>
      <c r="P350" s="240">
        <f>'WS10 - LTFP'!P32</f>
        <v>11375739.17</v>
      </c>
      <c r="Q350" s="241">
        <f>'WS10 - LTFP'!Q32</f>
        <v>9013904.8599999994</v>
      </c>
      <c r="R350" s="240">
        <f>'WS10 - LTFP'!R32</f>
        <v>9156174.8300000001</v>
      </c>
      <c r="S350" s="240">
        <f>'WS10 - LTFP'!S32</f>
        <v>9298289.9000000004</v>
      </c>
      <c r="T350" s="241">
        <f>'WS10 - LTFP'!T32</f>
        <v>9484255.6980000008</v>
      </c>
      <c r="U350" s="239">
        <f>'WS10 - LTFP'!U32</f>
        <v>100620040.94800001</v>
      </c>
      <c r="V350" s="85"/>
      <c r="W350" s="240">
        <f>'WS10 - LTFP'!W32</f>
        <v>-1510658.3019999992</v>
      </c>
      <c r="X350" s="547">
        <f>'WS10 - LTFP'!X32</f>
        <v>-0.13739609986944865</v>
      </c>
      <c r="Y350" s="243">
        <f t="shared" si="9"/>
        <v>0</v>
      </c>
      <c r="Z350" s="31"/>
      <c r="AA350" s="3"/>
      <c r="AB350" s="3"/>
      <c r="AC350" s="3"/>
      <c r="AD350" s="3"/>
      <c r="AE350" s="3"/>
      <c r="AF350" s="3"/>
      <c r="AG350" s="3"/>
      <c r="AH350" s="3"/>
      <c r="AI350" s="3"/>
      <c r="AJ350" s="3"/>
    </row>
    <row r="351" spans="2:36" ht="24" x14ac:dyDescent="0.2">
      <c r="B351" s="509" t="str">
        <f>'WS10 - LTFP'!B35&amp;", "&amp;'WS10 - LTFP'!B36&amp;" &amp; "&amp;'WS10 - LTFP'!B37</f>
        <v>Net share of profit  on joint ventures, Fair value gains &amp; Net gains from disposal of assets</v>
      </c>
      <c r="C351" s="3"/>
      <c r="D351" s="207" t="str">
        <f>'WS10 - LTFP'!D37</f>
        <v>$ nominal</v>
      </c>
      <c r="E351" s="54"/>
      <c r="F351" s="3"/>
      <c r="G351" s="3"/>
      <c r="H351" s="3"/>
      <c r="I351" s="31"/>
      <c r="J351" s="239">
        <f>SUM('WS10 - LTFP'!J35:J37)</f>
        <v>1170000</v>
      </c>
      <c r="K351" s="240">
        <f>SUM('WS10 - LTFP'!K35:K37)</f>
        <v>1170000</v>
      </c>
      <c r="L351" s="240">
        <f>SUM('WS10 - LTFP'!L35:L37)</f>
        <v>1170000</v>
      </c>
      <c r="M351" s="240">
        <f>SUM('WS10 - LTFP'!M35:M37)</f>
        <v>1170000</v>
      </c>
      <c r="N351" s="240">
        <f>SUM('WS10 - LTFP'!N35:N37)</f>
        <v>1170000</v>
      </c>
      <c r="O351" s="240">
        <f>SUM('WS10 - LTFP'!O35:O37)</f>
        <v>1170000</v>
      </c>
      <c r="P351" s="240">
        <f>SUM('WS10 - LTFP'!P35:P37)</f>
        <v>1170000</v>
      </c>
      <c r="Q351" s="241">
        <f>SUM('WS10 - LTFP'!Q35:Q37)</f>
        <v>1170000</v>
      </c>
      <c r="R351" s="240">
        <f>SUM('WS10 - LTFP'!R35:R37)</f>
        <v>1170000</v>
      </c>
      <c r="S351" s="240">
        <f>SUM('WS10 - LTFP'!S35:S37)</f>
        <v>1170000</v>
      </c>
      <c r="T351" s="241">
        <f>SUM('WS10 - LTFP'!T35:T37)</f>
        <v>1170000</v>
      </c>
      <c r="U351" s="239">
        <f>SUM('WS10 - LTFP'!U35:U37)</f>
        <v>11700000</v>
      </c>
      <c r="V351" s="85"/>
      <c r="W351" s="240">
        <f>SUM('WS10 - LTFP'!W35:W37)</f>
        <v>0</v>
      </c>
      <c r="X351" s="547"/>
      <c r="Y351" s="243">
        <f t="shared" si="9"/>
        <v>0</v>
      </c>
      <c r="Z351" s="31"/>
      <c r="AA351" s="3"/>
      <c r="AB351" s="3"/>
      <c r="AC351" s="3"/>
      <c r="AD351" s="3"/>
      <c r="AE351" s="3"/>
      <c r="AF351" s="3"/>
      <c r="AG351" s="3"/>
      <c r="AH351" s="3"/>
      <c r="AI351" s="3"/>
      <c r="AJ351" s="3"/>
    </row>
    <row r="352" spans="2:36" x14ac:dyDescent="0.2">
      <c r="B352" s="336" t="s">
        <v>79</v>
      </c>
      <c r="C352" s="3"/>
      <c r="D352" s="337" t="str">
        <f>'WS10 - LTFP'!D27</f>
        <v>$ nominal</v>
      </c>
      <c r="E352" s="54"/>
      <c r="F352" s="3"/>
      <c r="G352" s="3"/>
      <c r="H352" s="3"/>
      <c r="I352" s="31"/>
      <c r="J352" s="239">
        <f>SUM('WS10 - LTFP'!J27:J30,'WS10 - LTFP'!J33:J33)</f>
        <v>64352875.650000006</v>
      </c>
      <c r="K352" s="240">
        <f>SUM('WS10 - LTFP'!K27:K30,'WS10 - LTFP'!K33:K33)</f>
        <v>70018848.780000001</v>
      </c>
      <c r="L352" s="240">
        <f>SUM('WS10 - LTFP'!L27:L30,'WS10 - LTFP'!L33:L33)</f>
        <v>71946316.851999998</v>
      </c>
      <c r="M352" s="240">
        <f>SUM('WS10 - LTFP'!M27:M30,'WS10 - LTFP'!M33:M33)</f>
        <v>73900656.749860004</v>
      </c>
      <c r="N352" s="240">
        <f>SUM('WS10 - LTFP'!N27:N30,'WS10 - LTFP'!N33:N33)</f>
        <v>75417638.331121027</v>
      </c>
      <c r="O352" s="240">
        <f>SUM('WS10 - LTFP'!O27:O30,'WS10 - LTFP'!O33:O33)</f>
        <v>79078933.668515697</v>
      </c>
      <c r="P352" s="240">
        <f>SUM('WS10 - LTFP'!P27:P30,'WS10 - LTFP'!P33:P33)</f>
        <v>81510925.796921909</v>
      </c>
      <c r="Q352" s="241">
        <f>SUM('WS10 - LTFP'!Q27:Q30,'WS10 - LTFP'!Q33:Q33)</f>
        <v>84384021.048595145</v>
      </c>
      <c r="R352" s="240">
        <f>SUM('WS10 - LTFP'!R27:R30,'WS10 - LTFP'!R33:R33)</f>
        <v>87268160.199397385</v>
      </c>
      <c r="S352" s="240">
        <f>SUM('WS10 - LTFP'!S27:S30,'WS10 - LTFP'!S33:S33)</f>
        <v>90279678.353304684</v>
      </c>
      <c r="T352" s="241">
        <f>SUM('WS10 - LTFP'!T27:T30,'WS10 - LTFP'!T33:T33)</f>
        <v>93484573.373703808</v>
      </c>
      <c r="U352" s="239">
        <f>SUM('WS10 - LTFP'!U27:U30,'WS10 - LTFP'!U33:U33)</f>
        <v>807289753.15341949</v>
      </c>
      <c r="V352" s="85"/>
      <c r="W352" s="240">
        <f>SUM('WS10 - LTFP'!W27:W30,'WS10 - LTFP'!W33:W33)</f>
        <v>29131697.723703809</v>
      </c>
      <c r="X352" s="547">
        <f>SUM('WS10 - LTFP'!X27:X30,'WS10 - LTFP'!X33:X33)</f>
        <v>2.0750341538103383</v>
      </c>
      <c r="Y352" s="243">
        <f t="shared" si="9"/>
        <v>0</v>
      </c>
      <c r="Z352" s="31"/>
      <c r="AA352" s="3"/>
      <c r="AB352" s="3"/>
      <c r="AC352" s="3"/>
      <c r="AD352" s="3"/>
      <c r="AE352" s="3"/>
      <c r="AF352" s="3"/>
      <c r="AG352" s="3"/>
      <c r="AH352" s="3"/>
      <c r="AI352" s="3"/>
      <c r="AJ352" s="3"/>
    </row>
    <row r="353" spans="2:36" x14ac:dyDescent="0.2">
      <c r="B353" s="239" t="str">
        <f>'WS10 - LTFP'!B39</f>
        <v>Total Income Continuing Operations</v>
      </c>
      <c r="C353" s="3"/>
      <c r="D353" s="207" t="str">
        <f>'WS10 - LTFP'!D39</f>
        <v>$ nominal</v>
      </c>
      <c r="E353" s="54"/>
      <c r="F353" s="3"/>
      <c r="G353" s="3"/>
      <c r="H353" s="3"/>
      <c r="I353" s="31"/>
      <c r="J353" s="239">
        <f>'WS10 - LTFP'!J39</f>
        <v>140611587.24000001</v>
      </c>
      <c r="K353" s="240">
        <f>'WS10 - LTFP'!K39</f>
        <v>147369073.80000001</v>
      </c>
      <c r="L353" s="240">
        <f>'WS10 - LTFP'!L39</f>
        <v>153843631.16999996</v>
      </c>
      <c r="M353" s="240">
        <f>'WS10 - LTFP'!M39</f>
        <v>158009258.54999998</v>
      </c>
      <c r="N353" s="240">
        <f>'WS10 - LTFP'!N39</f>
        <v>161805000.59000003</v>
      </c>
      <c r="O353" s="240">
        <f>'WS10 - LTFP'!O39</f>
        <v>167813224.05999994</v>
      </c>
      <c r="P353" s="240">
        <f>'WS10 - LTFP'!P39</f>
        <v>172710907.16999996</v>
      </c>
      <c r="Q353" s="241">
        <f>'WS10 - LTFP'!Q39</f>
        <v>175571929.81999999</v>
      </c>
      <c r="R353" s="240">
        <f>'WS10 - LTFP'!R39</f>
        <v>181018395.50000003</v>
      </c>
      <c r="S353" s="240">
        <f>'WS10 - LTFP'!S39</f>
        <v>186643957.22</v>
      </c>
      <c r="T353" s="241">
        <f>'WS10 - LTFP'!T39</f>
        <v>192611697.70740002</v>
      </c>
      <c r="U353" s="239">
        <f>'WS10 - LTFP'!U39</f>
        <v>1697397075.5874</v>
      </c>
      <c r="V353" s="85"/>
      <c r="W353" s="240">
        <f>'WS10 - LTFP'!W39</f>
        <v>52000110.467399985</v>
      </c>
      <c r="X353" s="547">
        <f>'WS10 - LTFP'!X39</f>
        <v>0.36981383602934986</v>
      </c>
      <c r="Y353" s="243">
        <f>T353-J353-W353</f>
        <v>0</v>
      </c>
      <c r="Z353" s="31"/>
      <c r="AA353" s="3"/>
      <c r="AB353" s="3"/>
      <c r="AC353" s="3"/>
      <c r="AD353" s="3"/>
      <c r="AE353" s="3"/>
      <c r="AF353" s="3"/>
      <c r="AG353" s="3"/>
      <c r="AH353" s="3"/>
      <c r="AI353" s="3"/>
      <c r="AJ353" s="3"/>
    </row>
    <row r="354" spans="2:36" x14ac:dyDescent="0.2">
      <c r="B354" s="239" t="str">
        <f>'WS10 - LTFP'!B41</f>
        <v>Income excluding capital grants and contributions</v>
      </c>
      <c r="C354" s="3"/>
      <c r="D354" s="207" t="str">
        <f>'WS10 - LTFP'!D41</f>
        <v>$ nominal</v>
      </c>
      <c r="E354" s="54"/>
      <c r="F354" s="3"/>
      <c r="G354" s="3"/>
      <c r="H354" s="3"/>
      <c r="I354" s="31"/>
      <c r="J354" s="239">
        <f>'WS10 - LTFP'!J41</f>
        <v>129616673.24000001</v>
      </c>
      <c r="K354" s="240">
        <f>'WS10 - LTFP'!K41</f>
        <v>139076661.30000001</v>
      </c>
      <c r="L354" s="240">
        <f>'WS10 - LTFP'!L41</f>
        <v>143031853.43999997</v>
      </c>
      <c r="M354" s="240">
        <f>'WS10 - LTFP'!M41</f>
        <v>147074571.51999998</v>
      </c>
      <c r="N354" s="240">
        <f>'WS10 - LTFP'!N41</f>
        <v>150743758.31000003</v>
      </c>
      <c r="O354" s="240">
        <f>'WS10 - LTFP'!O41</f>
        <v>156621667.10999995</v>
      </c>
      <c r="P354" s="240">
        <f>'WS10 - LTFP'!P41</f>
        <v>161335167.99999997</v>
      </c>
      <c r="Q354" s="241">
        <f>'WS10 - LTFP'!Q41</f>
        <v>166558024.95999998</v>
      </c>
      <c r="R354" s="240">
        <f>'WS10 - LTFP'!R41</f>
        <v>171862220.67000002</v>
      </c>
      <c r="S354" s="240">
        <f>'WS10 - LTFP'!S41</f>
        <v>177345667.31999999</v>
      </c>
      <c r="T354" s="241">
        <f>'WS10 - LTFP'!T41</f>
        <v>183127442.00940001</v>
      </c>
      <c r="U354" s="239">
        <f>'WS10 - LTFP'!U41</f>
        <v>1596777034.6394</v>
      </c>
      <c r="V354" s="85"/>
      <c r="W354" s="240">
        <f>'WS10 - LTFP'!W41</f>
        <v>53510768.769400001</v>
      </c>
      <c r="X354" s="547">
        <f>'WS10 - LTFP'!X41</f>
        <v>0.41283862200597238</v>
      </c>
      <c r="Y354" s="243">
        <f>T354-J354-W354</f>
        <v>0</v>
      </c>
      <c r="Z354" s="31"/>
      <c r="AA354" s="3"/>
      <c r="AB354" s="3"/>
      <c r="AC354" s="3"/>
      <c r="AD354" s="3"/>
      <c r="AE354" s="3"/>
      <c r="AF354" s="3"/>
      <c r="AG354" s="3"/>
      <c r="AH354" s="3"/>
      <c r="AI354" s="3"/>
      <c r="AJ354" s="3"/>
    </row>
    <row r="355" spans="2:36" ht="24" x14ac:dyDescent="0.2">
      <c r="B355" s="510" t="str">
        <f>'WS10 - LTFP'!B43</f>
        <v>Income excluding capital grants and contributions, net gains from asset disposals, profit on joint ventures and fair value gains</v>
      </c>
      <c r="C355" s="3"/>
      <c r="D355" s="207" t="str">
        <f>'WS10 - LTFP'!D43</f>
        <v>$ nominal</v>
      </c>
      <c r="E355" s="54"/>
      <c r="F355" s="3"/>
      <c r="G355" s="3"/>
      <c r="H355" s="3"/>
      <c r="I355" s="31"/>
      <c r="J355" s="239">
        <f>'WS10 - LTFP'!J43</f>
        <v>128446673.24000001</v>
      </c>
      <c r="K355" s="240">
        <f>'WS10 - LTFP'!K43</f>
        <v>137906661.30000001</v>
      </c>
      <c r="L355" s="240">
        <f>'WS10 - LTFP'!L43</f>
        <v>141861853.43999997</v>
      </c>
      <c r="M355" s="240">
        <f>'WS10 - LTFP'!M43</f>
        <v>145904571.51999998</v>
      </c>
      <c r="N355" s="240">
        <f>'WS10 - LTFP'!N43</f>
        <v>149573758.31000003</v>
      </c>
      <c r="O355" s="240">
        <f>'WS10 - LTFP'!O43</f>
        <v>155451667.10999995</v>
      </c>
      <c r="P355" s="240">
        <f>'WS10 - LTFP'!P43</f>
        <v>160165167.99999997</v>
      </c>
      <c r="Q355" s="241">
        <f>'WS10 - LTFP'!Q43</f>
        <v>165388024.95999998</v>
      </c>
      <c r="R355" s="240">
        <f>'WS10 - LTFP'!R43</f>
        <v>170692220.67000002</v>
      </c>
      <c r="S355" s="240">
        <f>'WS10 - LTFP'!S43</f>
        <v>176175667.31999999</v>
      </c>
      <c r="T355" s="241">
        <f>'WS10 - LTFP'!T43</f>
        <v>181957442.00940001</v>
      </c>
      <c r="U355" s="239">
        <f>'WS10 - LTFP'!U43</f>
        <v>1585077034.6394</v>
      </c>
      <c r="V355" s="85"/>
      <c r="W355" s="240">
        <f>'WS10 - LTFP'!W43</f>
        <v>53510768.769400001</v>
      </c>
      <c r="X355" s="547">
        <f>'WS10 - LTFP'!X43</f>
        <v>0.41659910233265607</v>
      </c>
      <c r="Y355" s="243">
        <f>T355-J355-W355</f>
        <v>0</v>
      </c>
      <c r="Z355" s="31"/>
      <c r="AA355" s="3"/>
      <c r="AB355" s="3"/>
      <c r="AC355" s="3"/>
      <c r="AD355" s="3"/>
      <c r="AE355" s="3"/>
      <c r="AF355" s="3"/>
      <c r="AG355" s="3"/>
      <c r="AH355" s="3"/>
      <c r="AI355" s="3"/>
      <c r="AJ355" s="3"/>
    </row>
    <row r="356" spans="2:36" x14ac:dyDescent="0.2">
      <c r="B356" s="218"/>
      <c r="C356" s="3"/>
      <c r="D356" s="3"/>
      <c r="E356" s="54"/>
      <c r="F356" s="3"/>
      <c r="G356" s="3"/>
      <c r="H356" s="3"/>
      <c r="I356" s="31"/>
      <c r="J356" s="239"/>
      <c r="K356" s="240"/>
      <c r="L356" s="240"/>
      <c r="M356" s="240"/>
      <c r="N356" s="240"/>
      <c r="O356" s="240"/>
      <c r="P356" s="240"/>
      <c r="Q356" s="241"/>
      <c r="R356" s="240"/>
      <c r="S356" s="240"/>
      <c r="T356" s="241"/>
      <c r="U356" s="239"/>
      <c r="V356" s="85"/>
      <c r="W356" s="240"/>
      <c r="X356" s="547"/>
      <c r="Y356" s="243"/>
      <c r="Z356" s="31"/>
      <c r="AA356" s="3"/>
      <c r="AB356" s="3"/>
      <c r="AC356" s="3"/>
      <c r="AD356" s="3"/>
      <c r="AE356" s="3"/>
      <c r="AF356" s="3"/>
      <c r="AG356" s="3"/>
      <c r="AH356" s="3"/>
      <c r="AI356" s="3"/>
      <c r="AJ356" s="3"/>
    </row>
    <row r="357" spans="2:36" ht="24" x14ac:dyDescent="0.2">
      <c r="B357" s="509" t="str">
        <f>'WS10 - LTFP'!B54&amp;", "&amp;'WS10 - LTFP'!B55&amp;" &amp; "&amp;'WS10 - LTFP'!B56</f>
        <v>Net loss on joint ventures, Fair value losses &amp; Net loss from disposal of assets</v>
      </c>
      <c r="C357" s="3"/>
      <c r="D357" s="337" t="str">
        <f>'WS10 - LTFP'!D54</f>
        <v>$ nominal</v>
      </c>
      <c r="E357" s="54"/>
      <c r="F357" s="3"/>
      <c r="G357" s="3"/>
      <c r="H357" s="3"/>
      <c r="I357" s="31"/>
      <c r="J357" s="239">
        <f>SUM('WS10 - LTFP'!J54:J56)</f>
        <v>50000</v>
      </c>
      <c r="K357" s="240">
        <f>SUM('WS10 - LTFP'!K54:K56)</f>
        <v>50000</v>
      </c>
      <c r="L357" s="240">
        <f>SUM('WS10 - LTFP'!L54:L56)</f>
        <v>50000</v>
      </c>
      <c r="M357" s="240">
        <f>SUM('WS10 - LTFP'!M54:M56)</f>
        <v>50000</v>
      </c>
      <c r="N357" s="240">
        <f>SUM('WS10 - LTFP'!N54:N56)</f>
        <v>50000</v>
      </c>
      <c r="O357" s="240">
        <f>SUM('WS10 - LTFP'!O54:O56)</f>
        <v>50000</v>
      </c>
      <c r="P357" s="240">
        <f>SUM('WS10 - LTFP'!P54:P56)</f>
        <v>50000</v>
      </c>
      <c r="Q357" s="241">
        <f>SUM('WS10 - LTFP'!Q54:Q56)</f>
        <v>50000</v>
      </c>
      <c r="R357" s="240">
        <f>SUM('WS10 - LTFP'!R54:R56)</f>
        <v>50000</v>
      </c>
      <c r="S357" s="240">
        <f>SUM('WS10 - LTFP'!S54:S56)</f>
        <v>50000</v>
      </c>
      <c r="T357" s="241">
        <f>SUM('WS10 - LTFP'!T54:T56)</f>
        <v>50000</v>
      </c>
      <c r="U357" s="239">
        <f>SUM('WS10 - LTFP'!U54:U56)</f>
        <v>500000</v>
      </c>
      <c r="V357" s="85"/>
      <c r="W357" s="240">
        <f>SUM('WS10 - LTFP'!W54:W56)</f>
        <v>0</v>
      </c>
      <c r="X357" s="547"/>
      <c r="Y357" s="243">
        <f t="shared" ref="Y357" si="10">T357-J357-W357</f>
        <v>0</v>
      </c>
      <c r="Z357" s="31"/>
      <c r="AA357" s="3"/>
      <c r="AB357" s="3"/>
      <c r="AC357" s="3"/>
      <c r="AD357" s="3"/>
      <c r="AE357" s="3"/>
      <c r="AF357" s="3"/>
      <c r="AG357" s="3"/>
      <c r="AH357" s="3"/>
      <c r="AI357" s="3"/>
      <c r="AJ357" s="3"/>
    </row>
    <row r="358" spans="2:36" x14ac:dyDescent="0.2">
      <c r="B358" s="218" t="str">
        <f>'WS10 - LTFP'!B58</f>
        <v>Total expenses continuing operations</v>
      </c>
      <c r="C358" s="3"/>
      <c r="D358" s="207" t="str">
        <f>'WS10 - LTFP'!D58</f>
        <v>$ nominal</v>
      </c>
      <c r="E358" s="54"/>
      <c r="F358" s="3"/>
      <c r="G358" s="3"/>
      <c r="H358" s="3"/>
      <c r="I358" s="31"/>
      <c r="J358" s="239">
        <f>'WS10 - LTFP'!J58</f>
        <v>132772974.48999998</v>
      </c>
      <c r="K358" s="240">
        <f>'WS10 - LTFP'!K58</f>
        <v>135587088.20896569</v>
      </c>
      <c r="L358" s="240">
        <f>'WS10 - LTFP'!L58</f>
        <v>139013956.46764156</v>
      </c>
      <c r="M358" s="240">
        <f>'WS10 - LTFP'!M58</f>
        <v>142626339.74462843</v>
      </c>
      <c r="N358" s="240">
        <f>'WS10 - LTFP'!N58</f>
        <v>147117795.82575655</v>
      </c>
      <c r="O358" s="240">
        <f>'WS10 - LTFP'!O58</f>
        <v>153015103.07772899</v>
      </c>
      <c r="P358" s="240">
        <f>'WS10 - LTFP'!P58</f>
        <v>156728385.45754886</v>
      </c>
      <c r="Q358" s="241">
        <f>'WS10 - LTFP'!Q58</f>
        <v>160834143.68030107</v>
      </c>
      <c r="R358" s="240">
        <f>'WS10 - LTFP'!R58</f>
        <v>165305363.45205012</v>
      </c>
      <c r="S358" s="240">
        <f>'WS10 - LTFP'!S58</f>
        <v>170490863.3135663</v>
      </c>
      <c r="T358" s="241">
        <f>'WS10 - LTFP'!T58</f>
        <v>175286363.84481701</v>
      </c>
      <c r="U358" s="239">
        <f>'WS10 - LTFP'!U58</f>
        <v>1546005403.0730045</v>
      </c>
      <c r="V358" s="85"/>
      <c r="W358" s="240">
        <f>'WS10 - LTFP'!W58</f>
        <v>42513389.354817055</v>
      </c>
      <c r="X358" s="547">
        <f>'WS10 - LTFP'!X58</f>
        <v>0.320196105556248</v>
      </c>
      <c r="Y358" s="243">
        <f>T358-J358-W358</f>
        <v>0</v>
      </c>
      <c r="Z358" s="31"/>
      <c r="AA358" s="3"/>
      <c r="AB358" s="3"/>
      <c r="AC358" s="3"/>
      <c r="AD358" s="3"/>
      <c r="AE358" s="3"/>
      <c r="AF358" s="3"/>
      <c r="AG358" s="3"/>
      <c r="AH358" s="3"/>
      <c r="AI358" s="3"/>
      <c r="AJ358" s="3"/>
    </row>
    <row r="359" spans="2:36" x14ac:dyDescent="0.2">
      <c r="B359" s="218"/>
      <c r="C359" s="3"/>
      <c r="D359" s="3"/>
      <c r="E359" s="54"/>
      <c r="F359" s="3"/>
      <c r="G359" s="3"/>
      <c r="H359" s="3"/>
      <c r="I359" s="31"/>
      <c r="J359" s="239"/>
      <c r="K359" s="240"/>
      <c r="L359" s="240"/>
      <c r="M359" s="240"/>
      <c r="N359" s="240"/>
      <c r="O359" s="240"/>
      <c r="P359" s="240"/>
      <c r="Q359" s="241"/>
      <c r="R359" s="240"/>
      <c r="S359" s="240"/>
      <c r="T359" s="241"/>
      <c r="U359" s="239"/>
      <c r="V359" s="85"/>
      <c r="W359" s="240"/>
      <c r="X359" s="547"/>
      <c r="Y359" s="243"/>
      <c r="Z359" s="31"/>
      <c r="AA359" s="3"/>
      <c r="AB359" s="3"/>
      <c r="AC359" s="3"/>
      <c r="AD359" s="3"/>
      <c r="AE359" s="3"/>
      <c r="AF359" s="3"/>
      <c r="AG359" s="3"/>
      <c r="AH359" s="3"/>
      <c r="AI359" s="3"/>
      <c r="AJ359" s="3"/>
    </row>
    <row r="360" spans="2:36" x14ac:dyDescent="0.2">
      <c r="B360" s="245" t="str">
        <f>'WS10 - LTFP'!B64</f>
        <v>Operating result from continuing operations</v>
      </c>
      <c r="C360" s="3"/>
      <c r="D360" s="207" t="str">
        <f>'WS10 - LTFP'!D64</f>
        <v>$ nominal</v>
      </c>
      <c r="E360" s="54"/>
      <c r="F360" s="3"/>
      <c r="G360" s="3"/>
      <c r="H360" s="3"/>
      <c r="I360" s="31"/>
      <c r="J360" s="239">
        <f>'WS10 - LTFP'!J64</f>
        <v>7838612.7500000298</v>
      </c>
      <c r="K360" s="240">
        <f>'WS10 - LTFP'!K64</f>
        <v>11781985.591034323</v>
      </c>
      <c r="L360" s="240">
        <f>'WS10 - LTFP'!L64</f>
        <v>14829674.702358395</v>
      </c>
      <c r="M360" s="240">
        <f>'WS10 - LTFP'!M64</f>
        <v>15382918.805371553</v>
      </c>
      <c r="N360" s="240">
        <f>'WS10 - LTFP'!N64</f>
        <v>14687204.764243484</v>
      </c>
      <c r="O360" s="240">
        <f>'WS10 - LTFP'!O64</f>
        <v>14798120.982270956</v>
      </c>
      <c r="P360" s="240">
        <f>'WS10 - LTFP'!P64</f>
        <v>15982521.7124511</v>
      </c>
      <c r="Q360" s="241">
        <f>'WS10 - LTFP'!Q64</f>
        <v>14737786.139698923</v>
      </c>
      <c r="R360" s="240">
        <f>'WS10 - LTFP'!R64</f>
        <v>15713032.04794991</v>
      </c>
      <c r="S360" s="240">
        <f>'WS10 - LTFP'!S64</f>
        <v>16153093.906433702</v>
      </c>
      <c r="T360" s="241">
        <f>'WS10 - LTFP'!T64</f>
        <v>17325333.862583011</v>
      </c>
      <c r="U360" s="239">
        <f>'WS10 - LTFP'!U64</f>
        <v>151391672.51439536</v>
      </c>
      <c r="V360" s="85"/>
      <c r="W360" s="240">
        <f>'WS10 - LTFP'!W64</f>
        <v>9486721.1125829816</v>
      </c>
      <c r="X360" s="547">
        <f>'WS10 - LTFP'!X64</f>
        <v>1.2102551070127741</v>
      </c>
      <c r="Y360" s="243">
        <f>T360-J360-W360</f>
        <v>0</v>
      </c>
      <c r="Z360" s="31"/>
      <c r="AA360" s="3"/>
      <c r="AB360" s="3"/>
      <c r="AC360" s="3"/>
      <c r="AD360" s="3"/>
      <c r="AE360" s="3"/>
      <c r="AF360" s="3"/>
      <c r="AG360" s="3"/>
      <c r="AH360" s="3"/>
      <c r="AI360" s="3"/>
      <c r="AJ360" s="3"/>
    </row>
    <row r="361" spans="2:36" x14ac:dyDescent="0.2">
      <c r="B361" s="245" t="str">
        <f>'WS10 - LTFP'!B65</f>
        <v>Net operating result before capital grants &amp; contributions</v>
      </c>
      <c r="C361" s="3"/>
      <c r="D361" s="207" t="str">
        <f>'WS10 - LTFP'!D65</f>
        <v>$ nominal</v>
      </c>
      <c r="E361" s="54"/>
      <c r="F361" s="3"/>
      <c r="G361" s="3"/>
      <c r="H361" s="3"/>
      <c r="I361" s="31"/>
      <c r="J361" s="239">
        <f>'WS10 - LTFP'!J65</f>
        <v>-3156301.2499999702</v>
      </c>
      <c r="K361" s="240">
        <f>'WS10 - LTFP'!K65</f>
        <v>3489573.091034323</v>
      </c>
      <c r="L361" s="240">
        <f>'WS10 - LTFP'!L65</f>
        <v>4017896.9723584056</v>
      </c>
      <c r="M361" s="240">
        <f>'WS10 - LTFP'!M65</f>
        <v>4448231.7753715515</v>
      </c>
      <c r="N361" s="240">
        <f>'WS10 - LTFP'!N65</f>
        <v>3625962.4842434824</v>
      </c>
      <c r="O361" s="240">
        <f>'WS10 - LTFP'!O65</f>
        <v>3606564.032270968</v>
      </c>
      <c r="P361" s="240">
        <f>'WS10 - LTFP'!P65</f>
        <v>4606782.5424511135</v>
      </c>
      <c r="Q361" s="241">
        <f>'WS10 - LTFP'!Q65</f>
        <v>5723881.2796989083</v>
      </c>
      <c r="R361" s="240">
        <f>'WS10 - LTFP'!R65</f>
        <v>6556857.2179498971</v>
      </c>
      <c r="S361" s="240">
        <f>'WS10 - LTFP'!S65</f>
        <v>6854804.0064336956</v>
      </c>
      <c r="T361" s="241">
        <f>'WS10 - LTFP'!T65</f>
        <v>7841078.1645829976</v>
      </c>
      <c r="U361" s="239">
        <f>'WS10 - LTFP'!U65</f>
        <v>50771631.566395342</v>
      </c>
      <c r="V361" s="85"/>
      <c r="W361" s="240">
        <f>'WS10 - LTFP'!W65</f>
        <v>10997379.414582968</v>
      </c>
      <c r="X361" s="547">
        <f>'WS10 - LTFP'!X65</f>
        <v>-3.4842616542331224</v>
      </c>
      <c r="Y361" s="243"/>
      <c r="Z361" s="31"/>
      <c r="AA361" s="3"/>
      <c r="AB361" s="3"/>
      <c r="AC361" s="3"/>
      <c r="AD361" s="3"/>
      <c r="AE361" s="3"/>
      <c r="AF361" s="3"/>
      <c r="AG361" s="3"/>
      <c r="AH361" s="3"/>
      <c r="AI361" s="3"/>
      <c r="AJ361" s="3"/>
    </row>
    <row r="362" spans="2:36" ht="24" x14ac:dyDescent="0.2">
      <c r="B362" s="511" t="str">
        <f>'WS10 - LTFP'!B66</f>
        <v>Net operating result before capital grants &amp; contributions, gains/losses on asset disposals, gains/losses on joint ventures and fair value adjustments</v>
      </c>
      <c r="C362" s="3"/>
      <c r="D362" s="512" t="str">
        <f>'WS10 - LTFP'!D66</f>
        <v>$ nominal</v>
      </c>
      <c r="E362" s="54"/>
      <c r="F362" s="3"/>
      <c r="G362" s="3"/>
      <c r="H362" s="3"/>
      <c r="I362" s="31"/>
      <c r="J362" s="239">
        <f>'WS10 - LTFP'!J66</f>
        <v>-4276301.2499999702</v>
      </c>
      <c r="K362" s="240">
        <f>'WS10 - LTFP'!K66</f>
        <v>2369573.091034323</v>
      </c>
      <c r="L362" s="240">
        <f>'WS10 - LTFP'!L66</f>
        <v>2897896.9723584056</v>
      </c>
      <c r="M362" s="240">
        <f>'WS10 - LTFP'!M66</f>
        <v>3328231.7753715515</v>
      </c>
      <c r="N362" s="240">
        <f>'WS10 - LTFP'!N66</f>
        <v>2505962.4842434824</v>
      </c>
      <c r="O362" s="240">
        <f>'WS10 - LTFP'!O66</f>
        <v>2486564.032270968</v>
      </c>
      <c r="P362" s="240">
        <f>'WS10 - LTFP'!P66</f>
        <v>3486782.5424511135</v>
      </c>
      <c r="Q362" s="241">
        <f>'WS10 - LTFP'!Q66</f>
        <v>4603881.2796989083</v>
      </c>
      <c r="R362" s="240">
        <f>'WS10 - LTFP'!R66</f>
        <v>5436857.2179498971</v>
      </c>
      <c r="S362" s="240">
        <f>'WS10 - LTFP'!S66</f>
        <v>5734804.0064336956</v>
      </c>
      <c r="T362" s="241">
        <f>'WS10 - LTFP'!T66</f>
        <v>6721078.1645829976</v>
      </c>
      <c r="U362" s="239">
        <f>'WS10 - LTFP'!U66</f>
        <v>39571631.566395342</v>
      </c>
      <c r="V362" s="85"/>
      <c r="W362" s="240">
        <f>'WS10 - LTFP'!W66</f>
        <v>10997379.414582968</v>
      </c>
      <c r="X362" s="548">
        <f>'WS10 - LTFP'!X66</f>
        <v>-2.5717036222794278</v>
      </c>
      <c r="Y362" s="243">
        <f>T362-J362-W362</f>
        <v>0</v>
      </c>
      <c r="Z362" s="31"/>
      <c r="AA362" s="3"/>
      <c r="AB362" s="3"/>
      <c r="AC362" s="3"/>
      <c r="AD362" s="3"/>
      <c r="AE362" s="3"/>
      <c r="AF362" s="3"/>
      <c r="AG362" s="3"/>
      <c r="AH362" s="3"/>
      <c r="AI362" s="3"/>
      <c r="AJ362" s="3"/>
    </row>
    <row r="363" spans="2:36" x14ac:dyDescent="0.2">
      <c r="B363" s="202" t="s">
        <v>77</v>
      </c>
      <c r="C363" s="3"/>
      <c r="D363" s="3"/>
      <c r="E363" s="54"/>
      <c r="F363" s="3"/>
      <c r="G363" s="3"/>
      <c r="H363" s="3"/>
      <c r="I363" s="31"/>
      <c r="J363" s="513">
        <f>J353-SUM(J348:J352)</f>
        <v>0</v>
      </c>
      <c r="K363" s="243">
        <f t="shared" ref="K363:W363" si="11">K353-SUM(K348:K352)</f>
        <v>0</v>
      </c>
      <c r="L363" s="243">
        <f t="shared" si="11"/>
        <v>0</v>
      </c>
      <c r="M363" s="243">
        <f t="shared" si="11"/>
        <v>0</v>
      </c>
      <c r="N363" s="243">
        <f t="shared" si="11"/>
        <v>0</v>
      </c>
      <c r="O363" s="243">
        <f t="shared" si="11"/>
        <v>0</v>
      </c>
      <c r="P363" s="243">
        <f t="shared" si="11"/>
        <v>0</v>
      </c>
      <c r="Q363" s="246">
        <f t="shared" si="11"/>
        <v>0</v>
      </c>
      <c r="R363" s="243">
        <f t="shared" si="11"/>
        <v>0</v>
      </c>
      <c r="S363" s="243">
        <f t="shared" si="11"/>
        <v>0</v>
      </c>
      <c r="T363" s="246">
        <f t="shared" si="11"/>
        <v>0</v>
      </c>
      <c r="U363" s="243">
        <f t="shared" si="11"/>
        <v>0</v>
      </c>
      <c r="V363" s="243"/>
      <c r="W363" s="243">
        <f t="shared" si="11"/>
        <v>0</v>
      </c>
      <c r="X363" s="550">
        <f>T360/J360-1-X360</f>
        <v>0</v>
      </c>
      <c r="Y363" s="3"/>
      <c r="Z363" s="31"/>
      <c r="AA363" s="3"/>
      <c r="AB363" s="3"/>
      <c r="AC363" s="3"/>
      <c r="AD363" s="3"/>
      <c r="AE363" s="3"/>
      <c r="AF363" s="3"/>
      <c r="AG363" s="3"/>
      <c r="AH363" s="3"/>
      <c r="AI363" s="3"/>
      <c r="AJ363" s="3"/>
    </row>
    <row r="364" spans="2:36" ht="11.25" customHeight="1" x14ac:dyDescent="0.2">
      <c r="B364" s="202" t="s">
        <v>77</v>
      </c>
      <c r="C364" s="3"/>
      <c r="D364" s="3"/>
      <c r="E364" s="54"/>
      <c r="F364" s="3"/>
      <c r="G364" s="3"/>
      <c r="H364" s="3"/>
      <c r="I364" s="31"/>
      <c r="J364" s="513">
        <f>J353-J358-J360</f>
        <v>0</v>
      </c>
      <c r="K364" s="243">
        <f t="shared" ref="K364:W364" si="12">K353-K358-K360</f>
        <v>0</v>
      </c>
      <c r="L364" s="243">
        <f t="shared" si="12"/>
        <v>0</v>
      </c>
      <c r="M364" s="243">
        <f t="shared" si="12"/>
        <v>0</v>
      </c>
      <c r="N364" s="243">
        <f t="shared" si="12"/>
        <v>0</v>
      </c>
      <c r="O364" s="243">
        <f t="shared" si="12"/>
        <v>0</v>
      </c>
      <c r="P364" s="243">
        <f t="shared" si="12"/>
        <v>0</v>
      </c>
      <c r="Q364" s="246">
        <f t="shared" si="12"/>
        <v>0</v>
      </c>
      <c r="R364" s="243">
        <f t="shared" si="12"/>
        <v>0</v>
      </c>
      <c r="S364" s="243">
        <f t="shared" si="12"/>
        <v>0</v>
      </c>
      <c r="T364" s="246">
        <f t="shared" si="12"/>
        <v>0</v>
      </c>
      <c r="U364" s="513">
        <f t="shared" si="12"/>
        <v>0</v>
      </c>
      <c r="V364" s="204"/>
      <c r="W364" s="243">
        <f t="shared" si="12"/>
        <v>-5.2154064178466797E-8</v>
      </c>
      <c r="X364" s="550">
        <f>T361/J361-1-X361</f>
        <v>0</v>
      </c>
      <c r="Y364" s="243"/>
      <c r="Z364" s="31"/>
      <c r="AA364" s="3"/>
      <c r="AB364" s="3"/>
      <c r="AC364" s="3"/>
      <c r="AD364" s="3"/>
      <c r="AE364" s="3"/>
      <c r="AF364" s="3"/>
      <c r="AG364" s="3"/>
      <c r="AH364" s="3"/>
      <c r="AI364" s="3"/>
      <c r="AJ364" s="3"/>
    </row>
    <row r="365" spans="2:36" x14ac:dyDescent="0.2">
      <c r="B365" s="202" t="s">
        <v>77</v>
      </c>
      <c r="C365" s="3"/>
      <c r="D365" s="3"/>
      <c r="E365" s="54"/>
      <c r="F365" s="3"/>
      <c r="G365" s="3"/>
      <c r="H365" s="3"/>
      <c r="I365" s="31"/>
      <c r="J365" s="513">
        <f>J352+J349+J348-J358+J357-J362</f>
        <v>0</v>
      </c>
      <c r="K365" s="243">
        <f t="shared" ref="K365:U365" si="13">K352+K349+K348-K358+K357-K362</f>
        <v>0</v>
      </c>
      <c r="L365" s="243">
        <f t="shared" si="13"/>
        <v>2.9802322387695313E-8</v>
      </c>
      <c r="M365" s="243">
        <f t="shared" si="13"/>
        <v>0</v>
      </c>
      <c r="N365" s="243">
        <f t="shared" si="13"/>
        <v>-2.9802322387695313E-8</v>
      </c>
      <c r="O365" s="243">
        <f t="shared" si="13"/>
        <v>2.9802322387695313E-8</v>
      </c>
      <c r="P365" s="243">
        <f t="shared" si="13"/>
        <v>2.9802322387695313E-8</v>
      </c>
      <c r="Q365" s="246">
        <f t="shared" si="13"/>
        <v>0</v>
      </c>
      <c r="R365" s="243">
        <f t="shared" si="13"/>
        <v>-2.9802322387695313E-8</v>
      </c>
      <c r="S365" s="243">
        <f t="shared" si="13"/>
        <v>0</v>
      </c>
      <c r="T365" s="246">
        <f t="shared" si="13"/>
        <v>-2.9802322387695313E-8</v>
      </c>
      <c r="U365" s="243">
        <f t="shared" si="13"/>
        <v>-5.9604644775390625E-8</v>
      </c>
      <c r="V365" s="203"/>
      <c r="W365" s="243">
        <f>T362-J362-W362</f>
        <v>0</v>
      </c>
      <c r="X365" s="550">
        <f>T362/J362-1-X362</f>
        <v>0</v>
      </c>
      <c r="Y365" s="3"/>
      <c r="Z365" s="31"/>
      <c r="AA365" s="3"/>
      <c r="AB365" s="3"/>
      <c r="AC365" s="3"/>
      <c r="AD365" s="3"/>
      <c r="AE365" s="3"/>
      <c r="AF365" s="3"/>
      <c r="AG365" s="3"/>
      <c r="AH365" s="3"/>
      <c r="AI365" s="3"/>
      <c r="AJ365" s="3"/>
    </row>
    <row r="366" spans="2:36" x14ac:dyDescent="0.2">
      <c r="B366" s="247" t="str">
        <f>'WS10 - LTFP'!B167</f>
        <v xml:space="preserve">Table 10.2(a): Income Statement - General fund - BASE case scenario ($ nominal) </v>
      </c>
      <c r="C366" s="18"/>
      <c r="D366" s="18"/>
      <c r="E366" s="197"/>
      <c r="F366" s="18"/>
      <c r="G366" s="18"/>
      <c r="H366" s="18"/>
      <c r="I366" s="198"/>
      <c r="J366" s="522"/>
      <c r="K366" s="521"/>
      <c r="L366" s="521"/>
      <c r="M366" s="521"/>
      <c r="N366" s="521"/>
      <c r="O366" s="521"/>
      <c r="P366" s="521"/>
      <c r="Q366" s="523"/>
      <c r="R366" s="521"/>
      <c r="S366" s="521"/>
      <c r="T366" s="523"/>
      <c r="U366" s="522"/>
      <c r="V366" s="521"/>
      <c r="W366" s="521"/>
      <c r="X366" s="551"/>
      <c r="Y366" s="3"/>
      <c r="Z366" s="31"/>
      <c r="AA366" s="3"/>
      <c r="AB366" s="3"/>
      <c r="AC366" s="3"/>
      <c r="AD366" s="3"/>
      <c r="AE366" s="3"/>
      <c r="AF366" s="3"/>
      <c r="AG366" s="3"/>
      <c r="AH366" s="3"/>
      <c r="AI366" s="3"/>
      <c r="AJ366" s="3"/>
    </row>
    <row r="367" spans="2:36" x14ac:dyDescent="0.2">
      <c r="B367" s="239" t="str">
        <f>"Revenue from "&amp;'WS10 - LTFP'!B172</f>
        <v xml:space="preserve">Revenue from Rates  </v>
      </c>
      <c r="C367" s="3"/>
      <c r="D367" s="3" t="str">
        <f>'WS10 - LTFP'!D172</f>
        <v>$ nominal</v>
      </c>
      <c r="E367" s="54"/>
      <c r="F367" s="3"/>
      <c r="G367" s="3"/>
      <c r="H367" s="3"/>
      <c r="I367" s="31"/>
      <c r="J367" s="94">
        <f>'WS10 - LTFP'!J172</f>
        <v>54352004</v>
      </c>
      <c r="K367" s="85">
        <f>'WS10 - LTFP'!K172</f>
        <v>57069604.200000003</v>
      </c>
      <c r="L367" s="85">
        <f>'WS10 - LTFP'!L172</f>
        <v>58781692.326000005</v>
      </c>
      <c r="M367" s="85">
        <f>'WS10 - LTFP'!M172</f>
        <v>60545143.095780008</v>
      </c>
      <c r="N367" s="85">
        <f>'WS10 - LTFP'!N172</f>
        <v>62361497.382019952</v>
      </c>
      <c r="O367" s="85">
        <f>'WS10 - LTFP'!O172</f>
        <v>64232342.307442188</v>
      </c>
      <c r="P367" s="85">
        <f>'WS10 - LTFP'!P172</f>
        <v>66159312.57150609</v>
      </c>
      <c r="Q367" s="201">
        <f>'WS10 - LTFP'!Q172</f>
        <v>68144091.952152267</v>
      </c>
      <c r="R367" s="85">
        <f>'WS10 - LTFP'!R172</f>
        <v>70188414.706202388</v>
      </c>
      <c r="S367" s="85">
        <f>'WS10 - LTFP'!S172</f>
        <v>72294067.144808769</v>
      </c>
      <c r="T367" s="201">
        <f>'WS10 - LTFP'!T172</f>
        <v>74462889.159153029</v>
      </c>
      <c r="U367" s="94">
        <f>'WS10 - LTFP'!U172</f>
        <v>654239054.84506464</v>
      </c>
      <c r="V367" s="85"/>
      <c r="W367" s="85">
        <f>'WS10 - LTFP'!W172</f>
        <v>20110885.159153029</v>
      </c>
      <c r="X367" s="549">
        <f>'WS10 - LTFP'!X172</f>
        <v>0.37001184278601812</v>
      </c>
      <c r="Y367" s="3"/>
      <c r="Z367" s="31"/>
      <c r="AA367" s="3"/>
      <c r="AB367" s="3"/>
      <c r="AC367" s="3"/>
      <c r="AD367" s="3"/>
      <c r="AE367" s="3"/>
      <c r="AF367" s="3"/>
      <c r="AG367" s="3"/>
      <c r="AH367" s="3"/>
      <c r="AI367" s="3"/>
      <c r="AJ367" s="3"/>
    </row>
    <row r="368" spans="2:36" x14ac:dyDescent="0.2">
      <c r="B368" s="239" t="str">
        <f>'WS10 - LTFP'!B177</f>
        <v>Grants &amp; Contributions Op Purposes</v>
      </c>
      <c r="C368" s="3"/>
      <c r="D368" s="207" t="str">
        <f>'WS10 - LTFP'!D177</f>
        <v>$ nominal</v>
      </c>
      <c r="E368" s="54"/>
      <c r="F368" s="3"/>
      <c r="G368" s="3"/>
      <c r="H368" s="3"/>
      <c r="I368" s="31"/>
      <c r="J368" s="239">
        <f>'WS10 - LTFP'!J177</f>
        <v>9741793.5899999999</v>
      </c>
      <c r="K368" s="240">
        <f>'WS10 - LTFP'!K177</f>
        <v>5383007.9199999999</v>
      </c>
      <c r="L368" s="240">
        <f>'WS10 - LTFP'!L177</f>
        <v>5535587.8500000006</v>
      </c>
      <c r="M368" s="240">
        <f>'WS10 - LTFP'!M177</f>
        <v>5692567.5699999994</v>
      </c>
      <c r="N368" s="240">
        <f>'WS10 - LTFP'!N177</f>
        <v>5855432.3700000001</v>
      </c>
      <c r="O368" s="240">
        <f>'WS10 - LTFP'!O177</f>
        <v>6023025.2000000002</v>
      </c>
      <c r="P368" s="240">
        <f>'WS10 - LTFP'!P177</f>
        <v>6194042.7200000007</v>
      </c>
      <c r="Q368" s="241">
        <f>'WS10 - LTFP'!Q177</f>
        <v>6369998.4400000013</v>
      </c>
      <c r="R368" s="240">
        <f>'WS10 - LTFP'!R177</f>
        <v>6551034.8399999999</v>
      </c>
      <c r="S368" s="240">
        <f>'WS10 - LTFP'!S177</f>
        <v>6716772.5700000003</v>
      </c>
      <c r="T368" s="241">
        <f>'WS10 - LTFP'!T177</f>
        <v>6918275.7471000003</v>
      </c>
      <c r="U368" s="239">
        <f>'WS10 - LTFP'!U177</f>
        <v>61239745.227100015</v>
      </c>
      <c r="V368" s="85"/>
      <c r="W368" s="240">
        <f>'WS10 - LTFP'!W177</f>
        <v>-2823517.8428999996</v>
      </c>
      <c r="X368" s="547">
        <f>'WS10 - LTFP'!X177</f>
        <v>-0.28983552328581003</v>
      </c>
      <c r="Y368" s="243"/>
      <c r="Z368" s="31"/>
      <c r="AA368" s="3"/>
      <c r="AB368" s="3"/>
      <c r="AC368" s="3"/>
      <c r="AD368" s="3"/>
      <c r="AE368" s="3"/>
      <c r="AF368" s="3"/>
      <c r="AG368" s="3"/>
      <c r="AH368" s="3"/>
      <c r="AI368" s="3"/>
      <c r="AJ368" s="3"/>
    </row>
    <row r="369" spans="2:36" x14ac:dyDescent="0.2">
      <c r="B369" s="239" t="str">
        <f>'WS10 - LTFP'!B178</f>
        <v>Grants &amp; Contributions Capital Purposes</v>
      </c>
      <c r="C369" s="3"/>
      <c r="D369" s="207" t="str">
        <f>'WS10 - LTFP'!D178</f>
        <v>$ nominal</v>
      </c>
      <c r="E369" s="54"/>
      <c r="F369" s="3"/>
      <c r="G369" s="3"/>
      <c r="H369" s="3"/>
      <c r="I369" s="31"/>
      <c r="J369" s="239">
        <f>'WS10 - LTFP'!J178</f>
        <v>10994914</v>
      </c>
      <c r="K369" s="240">
        <f>'WS10 - LTFP'!K178</f>
        <v>8292412.5</v>
      </c>
      <c r="L369" s="240">
        <f>'WS10 - LTFP'!L178</f>
        <v>10811777.73</v>
      </c>
      <c r="M369" s="240">
        <f>'WS10 - LTFP'!M178</f>
        <v>10934687.030000001</v>
      </c>
      <c r="N369" s="240">
        <f>'WS10 - LTFP'!N178</f>
        <v>11061242.280000001</v>
      </c>
      <c r="O369" s="240">
        <f>'WS10 - LTFP'!O178</f>
        <v>11191556.950000001</v>
      </c>
      <c r="P369" s="240">
        <f>'WS10 - LTFP'!P178</f>
        <v>11375739.17</v>
      </c>
      <c r="Q369" s="241">
        <f>'WS10 - LTFP'!Q178</f>
        <v>9013904.8599999994</v>
      </c>
      <c r="R369" s="240">
        <f>'WS10 - LTFP'!R178</f>
        <v>9156174.8300000001</v>
      </c>
      <c r="S369" s="240">
        <f>'WS10 - LTFP'!S178</f>
        <v>9298289.9000000004</v>
      </c>
      <c r="T369" s="241">
        <f>'WS10 - LTFP'!T178</f>
        <v>9484255.6980000008</v>
      </c>
      <c r="U369" s="239">
        <f>'WS10 - LTFP'!U178</f>
        <v>100620040.94800001</v>
      </c>
      <c r="V369" s="85"/>
      <c r="W369" s="240">
        <f>'WS10 - LTFP'!W178</f>
        <v>-1510658.3019999992</v>
      </c>
      <c r="X369" s="547">
        <f>'WS10 - LTFP'!X178</f>
        <v>-0.13739609986944865</v>
      </c>
      <c r="Y369" s="243"/>
      <c r="Z369" s="31"/>
      <c r="AA369" s="3"/>
      <c r="AB369" s="3"/>
      <c r="AC369" s="3"/>
      <c r="AD369" s="3"/>
      <c r="AE369" s="3"/>
      <c r="AF369" s="3"/>
      <c r="AG369" s="3"/>
      <c r="AH369" s="3"/>
      <c r="AI369" s="3"/>
      <c r="AJ369" s="3"/>
    </row>
    <row r="370" spans="2:36" ht="24" x14ac:dyDescent="0.2">
      <c r="B370" s="509" t="str">
        <f>B351</f>
        <v>Net share of profit  on joint ventures, Fair value gains &amp; Net gains from disposal of assets</v>
      </c>
      <c r="C370" s="3"/>
      <c r="D370" s="207" t="str">
        <f>D351</f>
        <v>$ nominal</v>
      </c>
      <c r="E370" s="54"/>
      <c r="F370" s="3"/>
      <c r="G370" s="3"/>
      <c r="H370" s="3"/>
      <c r="I370" s="31"/>
      <c r="J370" s="239">
        <f>SUM('WS10 - LTFP'!J181:J183)</f>
        <v>1170000</v>
      </c>
      <c r="K370" s="240">
        <f>SUM('WS10 - LTFP'!K181:K183)</f>
        <v>1170000</v>
      </c>
      <c r="L370" s="240">
        <f>SUM('WS10 - LTFP'!L181:L183)</f>
        <v>1170000</v>
      </c>
      <c r="M370" s="240">
        <f>SUM('WS10 - LTFP'!M181:M183)</f>
        <v>1170000</v>
      </c>
      <c r="N370" s="240">
        <f>SUM('WS10 - LTFP'!N181:N183)</f>
        <v>1170000</v>
      </c>
      <c r="O370" s="240">
        <f>SUM('WS10 - LTFP'!O181:O183)</f>
        <v>1170000</v>
      </c>
      <c r="P370" s="240">
        <f>SUM('WS10 - LTFP'!P181:P183)</f>
        <v>1170000</v>
      </c>
      <c r="Q370" s="241">
        <f>SUM('WS10 - LTFP'!Q181:Q183)</f>
        <v>1170000</v>
      </c>
      <c r="R370" s="240">
        <f>SUM('WS10 - LTFP'!R181:R183)</f>
        <v>1170000</v>
      </c>
      <c r="S370" s="240">
        <f>SUM('WS10 - LTFP'!S181:S183)</f>
        <v>1170000</v>
      </c>
      <c r="T370" s="241">
        <f>SUM('WS10 - LTFP'!T181:T183)</f>
        <v>1170000</v>
      </c>
      <c r="U370" s="239">
        <f>SUM('WS10 - LTFP'!U181:U183)</f>
        <v>11700000</v>
      </c>
      <c r="V370" s="85"/>
      <c r="W370" s="240">
        <f>SUM('WS10 - LTFP'!W181:W183)</f>
        <v>0</v>
      </c>
      <c r="X370" s="547"/>
      <c r="Y370" s="243"/>
      <c r="Z370" s="31"/>
      <c r="AA370" s="3"/>
      <c r="AB370" s="3"/>
      <c r="AC370" s="3"/>
      <c r="AD370" s="3"/>
      <c r="AE370" s="3"/>
      <c r="AF370" s="3"/>
      <c r="AG370" s="3"/>
      <c r="AH370" s="3"/>
      <c r="AI370" s="3"/>
      <c r="AJ370" s="3"/>
    </row>
    <row r="371" spans="2:36" x14ac:dyDescent="0.2">
      <c r="B371" s="239" t="str">
        <f>B352</f>
        <v>All other income</v>
      </c>
      <c r="C371" s="3"/>
      <c r="D371" s="207" t="str">
        <f>D352</f>
        <v>$ nominal</v>
      </c>
      <c r="E371" s="54"/>
      <c r="F371" s="3"/>
      <c r="G371" s="3"/>
      <c r="H371" s="3"/>
      <c r="I371" s="31"/>
      <c r="J371" s="239">
        <f>SUM('WS10 - LTFP'!J173:J176,'WS10 - LTFP'!J179:J179)</f>
        <v>64352875.650000006</v>
      </c>
      <c r="K371" s="240">
        <f>SUM('WS10 - LTFP'!K173:K176,'WS10 - LTFP'!K179:K179)</f>
        <v>69600096.180000007</v>
      </c>
      <c r="L371" s="240">
        <f>SUM('WS10 - LTFP'!L173:L176,'WS10 - LTFP'!L179:L179)</f>
        <v>71252815.263999999</v>
      </c>
      <c r="M371" s="240">
        <f>SUM('WS10 - LTFP'!M173:M176,'WS10 - LTFP'!M179:M179)</f>
        <v>73144483.094219998</v>
      </c>
      <c r="N371" s="240">
        <f>SUM('WS10 - LTFP'!N173:N176,'WS10 - LTFP'!N179:N179)</f>
        <v>74104256.347980037</v>
      </c>
      <c r="O371" s="240">
        <f>SUM('WS10 - LTFP'!O173:O176,'WS10 - LTFP'!O179:O179)</f>
        <v>77479850.552557811</v>
      </c>
      <c r="P371" s="240">
        <f>SUM('WS10 - LTFP'!P173:P176,'WS10 - LTFP'!P179:P179)</f>
        <v>79607903.828493908</v>
      </c>
      <c r="Q371" s="241">
        <f>SUM('WS10 - LTFP'!Q173:Q176,'WS10 - LTFP'!Q179:Q179)</f>
        <v>81957536.167847723</v>
      </c>
      <c r="R371" s="240">
        <f>SUM('WS10 - LTFP'!R173:R176,'WS10 - LTFP'!R179:R179)</f>
        <v>84390469.643797606</v>
      </c>
      <c r="S371" s="240">
        <f>SUM('WS10 - LTFP'!S173:S176,'WS10 - LTFP'!S179:S179)</f>
        <v>86925699.255191237</v>
      </c>
      <c r="T371" s="241">
        <f>SUM('WS10 - LTFP'!T173:T176,'WS10 - LTFP'!T179:T179)</f>
        <v>89478543.584546968</v>
      </c>
      <c r="U371" s="239">
        <f>SUM('WS10 - LTFP'!U173:U176,'WS10 - LTFP'!U179:U179)</f>
        <v>787941653.91863537</v>
      </c>
      <c r="V371" s="85"/>
      <c r="W371" s="240">
        <f>SUM('WS10 - LTFP'!W173:W176,'WS10 - LTFP'!W179:W179)</f>
        <v>25125667.934546974</v>
      </c>
      <c r="X371" s="547">
        <f>SUM('WS10 - LTFP'!X173:X176,'WS10 - LTFP'!X179:X179)</f>
        <v>1.569495080460696</v>
      </c>
      <c r="Y371" s="243"/>
      <c r="Z371" s="31"/>
      <c r="AA371" s="3"/>
      <c r="AB371" s="3"/>
      <c r="AC371" s="3"/>
      <c r="AD371" s="3"/>
      <c r="AE371" s="3"/>
      <c r="AF371" s="3"/>
      <c r="AG371" s="3"/>
      <c r="AH371" s="3"/>
      <c r="AI371" s="3"/>
      <c r="AJ371" s="3"/>
    </row>
    <row r="372" spans="2:36" x14ac:dyDescent="0.2">
      <c r="B372" s="239" t="str">
        <f>'WS10 - LTFP'!B185</f>
        <v>Total Income Continuing Operations</v>
      </c>
      <c r="C372" s="3"/>
      <c r="D372" s="207" t="str">
        <f>'WS10 - LTFP'!D185</f>
        <v>$ nominal</v>
      </c>
      <c r="E372" s="54"/>
      <c r="F372" s="3"/>
      <c r="G372" s="3"/>
      <c r="H372" s="3"/>
      <c r="I372" s="31"/>
      <c r="J372" s="239">
        <f>'WS10 - LTFP'!J185</f>
        <v>140611587.24000001</v>
      </c>
      <c r="K372" s="240">
        <f>'WS10 - LTFP'!K185</f>
        <v>141515120.80000001</v>
      </c>
      <c r="L372" s="240">
        <f>'WS10 - LTFP'!L185</f>
        <v>147551873.16999999</v>
      </c>
      <c r="M372" s="240">
        <f>'WS10 - LTFP'!M185</f>
        <v>151486880.78999999</v>
      </c>
      <c r="N372" s="240">
        <f>'WS10 - LTFP'!N185</f>
        <v>154552428.38</v>
      </c>
      <c r="O372" s="240">
        <f>'WS10 - LTFP'!O185</f>
        <v>160096775.00999999</v>
      </c>
      <c r="P372" s="240">
        <f>'WS10 - LTFP'!P185</f>
        <v>164506998.28999999</v>
      </c>
      <c r="Q372" s="241">
        <f>'WS10 - LTFP'!Q185</f>
        <v>166655531.42000002</v>
      </c>
      <c r="R372" s="240">
        <f>'WS10 - LTFP'!R185</f>
        <v>171456094.02000001</v>
      </c>
      <c r="S372" s="240">
        <f>'WS10 - LTFP'!S185</f>
        <v>176404828.86999997</v>
      </c>
      <c r="T372" s="241">
        <f>'WS10 - LTFP'!T185</f>
        <v>181513964.18880004</v>
      </c>
      <c r="U372" s="239">
        <f>'WS10 - LTFP'!U185</f>
        <v>1615740494.9388003</v>
      </c>
      <c r="V372" s="85"/>
      <c r="W372" s="240">
        <f>'WS10 - LTFP'!W185</f>
        <v>40902376.948799998</v>
      </c>
      <c r="X372" s="547">
        <f>'WS10 - LTFP'!X185</f>
        <v>0.29088909208447106</v>
      </c>
      <c r="Y372" s="243">
        <f t="shared" ref="Y372:Y381" si="14">T372-J372-W372</f>
        <v>0</v>
      </c>
      <c r="Z372" s="31"/>
      <c r="AA372" s="3"/>
      <c r="AB372" s="3"/>
      <c r="AC372" s="3"/>
      <c r="AD372" s="3"/>
      <c r="AE372" s="3"/>
      <c r="AF372" s="3"/>
      <c r="AG372" s="3"/>
      <c r="AH372" s="3"/>
      <c r="AI372" s="3"/>
      <c r="AJ372" s="3"/>
    </row>
    <row r="373" spans="2:36" ht="11.25" customHeight="1" x14ac:dyDescent="0.2">
      <c r="B373" s="218" t="str">
        <f>'WS10 - LTFP'!B187</f>
        <v>Income excluding capital grants and contributions</v>
      </c>
      <c r="C373" s="3"/>
      <c r="D373" s="207" t="str">
        <f>'WS10 - LTFP'!D187</f>
        <v>$ nominal</v>
      </c>
      <c r="E373" s="54"/>
      <c r="F373" s="3"/>
      <c r="G373" s="3"/>
      <c r="H373" s="3"/>
      <c r="I373" s="31"/>
      <c r="J373" s="239">
        <f>'WS10 - LTFP'!J187</f>
        <v>129616673.24000001</v>
      </c>
      <c r="K373" s="240">
        <f>'WS10 - LTFP'!K187</f>
        <v>133222708.30000001</v>
      </c>
      <c r="L373" s="240">
        <f>'WS10 - LTFP'!L187</f>
        <v>136740095.44</v>
      </c>
      <c r="M373" s="240">
        <f>'WS10 - LTFP'!M187</f>
        <v>140552193.75999999</v>
      </c>
      <c r="N373" s="240">
        <f>'WS10 - LTFP'!N187</f>
        <v>143491186.09999999</v>
      </c>
      <c r="O373" s="240">
        <f>'WS10 - LTFP'!O187</f>
        <v>148905218.06</v>
      </c>
      <c r="P373" s="240">
        <f>'WS10 - LTFP'!P187</f>
        <v>153131259.12</v>
      </c>
      <c r="Q373" s="241">
        <f>'WS10 - LTFP'!Q187</f>
        <v>157641626.56</v>
      </c>
      <c r="R373" s="240">
        <f>'WS10 - LTFP'!R187</f>
        <v>162299919.19</v>
      </c>
      <c r="S373" s="240">
        <f>'WS10 - LTFP'!S187</f>
        <v>167106538.96999997</v>
      </c>
      <c r="T373" s="241">
        <f>'WS10 - LTFP'!T187</f>
        <v>172029708.49080002</v>
      </c>
      <c r="U373" s="239">
        <f>'WS10 - LTFP'!U187</f>
        <v>1515120453.9908004</v>
      </c>
      <c r="V373" s="85"/>
      <c r="W373" s="240">
        <f>'WS10 - LTFP'!W187</f>
        <v>42413035.250800014</v>
      </c>
      <c r="X373" s="547">
        <f>'WS10 - LTFP'!X187</f>
        <v>0.32721897723966004</v>
      </c>
      <c r="Y373" s="243">
        <f t="shared" si="14"/>
        <v>0</v>
      </c>
      <c r="Z373" s="31"/>
      <c r="AA373" s="3"/>
      <c r="AB373" s="3"/>
      <c r="AC373" s="3"/>
      <c r="AD373" s="3"/>
      <c r="AE373" s="3"/>
      <c r="AF373" s="3"/>
      <c r="AG373" s="3"/>
      <c r="AH373" s="3"/>
      <c r="AI373" s="3"/>
      <c r="AJ373" s="3"/>
    </row>
    <row r="374" spans="2:36" ht="24" x14ac:dyDescent="0.2">
      <c r="B374" s="510" t="str">
        <f>'WS10 - LTFP'!B189</f>
        <v>Income excluding capital grants and contributions, net gains from asset disposals, profit on joint ventures and fair value gains</v>
      </c>
      <c r="C374" s="3"/>
      <c r="D374" s="207" t="str">
        <f>'WS10 - LTFP'!D189</f>
        <v>$ nominal</v>
      </c>
      <c r="E374" s="54"/>
      <c r="F374" s="3"/>
      <c r="G374" s="3"/>
      <c r="H374" s="3"/>
      <c r="I374" s="31"/>
      <c r="J374" s="239">
        <f>'WS10 - LTFP'!J189</f>
        <v>128446673.24000001</v>
      </c>
      <c r="K374" s="240">
        <f>'WS10 - LTFP'!K189</f>
        <v>132052708.30000001</v>
      </c>
      <c r="L374" s="240">
        <f>'WS10 - LTFP'!L189</f>
        <v>135570095.44</v>
      </c>
      <c r="M374" s="240">
        <f>'WS10 - LTFP'!M189</f>
        <v>139382193.75999999</v>
      </c>
      <c r="N374" s="240">
        <f>'WS10 - LTFP'!N189</f>
        <v>142321186.09999999</v>
      </c>
      <c r="O374" s="240">
        <f>'WS10 - LTFP'!O189</f>
        <v>147735218.06</v>
      </c>
      <c r="P374" s="240">
        <f>'WS10 - LTFP'!P189</f>
        <v>151961259.12</v>
      </c>
      <c r="Q374" s="241">
        <f>'WS10 - LTFP'!Q189</f>
        <v>156471626.56</v>
      </c>
      <c r="R374" s="240">
        <f>'WS10 - LTFP'!R189</f>
        <v>161129919.19</v>
      </c>
      <c r="S374" s="240">
        <f>'WS10 - LTFP'!S189</f>
        <v>165936538.96999997</v>
      </c>
      <c r="T374" s="241">
        <f>'WS10 - LTFP'!T189</f>
        <v>170859708.49080002</v>
      </c>
      <c r="U374" s="239">
        <f>'WS10 - LTFP'!U189</f>
        <v>1503420453.9908004</v>
      </c>
      <c r="V374" s="85"/>
      <c r="W374" s="240">
        <f>'WS10 - LTFP'!W189</f>
        <v>42413035.250800014</v>
      </c>
      <c r="X374" s="547">
        <f>'WS10 - LTFP'!X189</f>
        <v>0.33019956205134343</v>
      </c>
      <c r="Y374" s="243">
        <f t="shared" si="14"/>
        <v>0</v>
      </c>
      <c r="Z374" s="31"/>
      <c r="AA374" s="3"/>
      <c r="AB374" s="3"/>
      <c r="AC374" s="3"/>
      <c r="AD374" s="3"/>
      <c r="AE374" s="3"/>
      <c r="AF374" s="3"/>
      <c r="AG374" s="3"/>
      <c r="AH374" s="3"/>
      <c r="AI374" s="3"/>
      <c r="AJ374" s="3"/>
    </row>
    <row r="375" spans="2:36" x14ac:dyDescent="0.2">
      <c r="B375" s="218"/>
      <c r="C375" s="3"/>
      <c r="D375" s="3"/>
      <c r="E375" s="54"/>
      <c r="F375" s="3"/>
      <c r="G375" s="3"/>
      <c r="H375" s="3"/>
      <c r="I375" s="31"/>
      <c r="J375" s="239"/>
      <c r="K375" s="240"/>
      <c r="L375" s="240"/>
      <c r="M375" s="240"/>
      <c r="N375" s="240"/>
      <c r="O375" s="240"/>
      <c r="P375" s="240"/>
      <c r="Q375" s="241"/>
      <c r="R375" s="240"/>
      <c r="S375" s="240"/>
      <c r="T375" s="241"/>
      <c r="U375" s="239"/>
      <c r="V375" s="85"/>
      <c r="W375" s="240"/>
      <c r="X375" s="547"/>
      <c r="Y375" s="243"/>
      <c r="Z375" s="31"/>
      <c r="AA375" s="3"/>
      <c r="AB375" s="3"/>
      <c r="AC375" s="3"/>
      <c r="AD375" s="3"/>
      <c r="AE375" s="3"/>
      <c r="AF375" s="3"/>
      <c r="AG375" s="3"/>
      <c r="AH375" s="3"/>
      <c r="AI375" s="3"/>
      <c r="AJ375" s="3"/>
    </row>
    <row r="376" spans="2:36" ht="24" x14ac:dyDescent="0.2">
      <c r="B376" s="509" t="str">
        <f>B357</f>
        <v>Net loss on joint ventures, Fair value losses &amp; Net loss from disposal of assets</v>
      </c>
      <c r="C376" s="3"/>
      <c r="D376" s="207" t="str">
        <f>D357</f>
        <v>$ nominal</v>
      </c>
      <c r="E376" s="54"/>
      <c r="F376" s="3"/>
      <c r="G376" s="3"/>
      <c r="H376" s="3"/>
      <c r="I376" s="31"/>
      <c r="J376" s="239">
        <f>SUM('WS10 - LTFP'!J200:J202)</f>
        <v>50000</v>
      </c>
      <c r="K376" s="240">
        <f>SUM('WS10 - LTFP'!K200:K202)</f>
        <v>50000</v>
      </c>
      <c r="L376" s="240">
        <f>SUM('WS10 - LTFP'!L200:L202)</f>
        <v>50000</v>
      </c>
      <c r="M376" s="240">
        <f>SUM('WS10 - LTFP'!M200:M202)</f>
        <v>50000</v>
      </c>
      <c r="N376" s="240">
        <f>SUM('WS10 - LTFP'!N200:N202)</f>
        <v>50000</v>
      </c>
      <c r="O376" s="240">
        <f>SUM('WS10 - LTFP'!O200:O202)</f>
        <v>50000</v>
      </c>
      <c r="P376" s="240">
        <f>SUM('WS10 - LTFP'!P200:P202)</f>
        <v>50000</v>
      </c>
      <c r="Q376" s="241">
        <f>SUM('WS10 - LTFP'!Q200:Q202)</f>
        <v>50000</v>
      </c>
      <c r="R376" s="240">
        <f>SUM('WS10 - LTFP'!R200:R202)</f>
        <v>50000</v>
      </c>
      <c r="S376" s="240">
        <f>SUM('WS10 - LTFP'!S200:S202)</f>
        <v>50000</v>
      </c>
      <c r="T376" s="241">
        <f>SUM('WS10 - LTFP'!T200:T202)</f>
        <v>50000</v>
      </c>
      <c r="U376" s="239">
        <f>SUM('WS10 - LTFP'!U200:U202)</f>
        <v>500000</v>
      </c>
      <c r="V376" s="85"/>
      <c r="W376" s="240">
        <f>SUM('WS10 - LTFP'!W200:W202)</f>
        <v>0</v>
      </c>
      <c r="X376" s="547"/>
      <c r="Y376" s="243"/>
      <c r="Z376" s="31"/>
      <c r="AA376" s="3"/>
      <c r="AB376" s="3"/>
      <c r="AC376" s="3"/>
      <c r="AD376" s="3"/>
      <c r="AE376" s="3"/>
      <c r="AF376" s="3"/>
      <c r="AG376" s="3"/>
      <c r="AH376" s="3"/>
      <c r="AI376" s="3"/>
      <c r="AJ376" s="3"/>
    </row>
    <row r="377" spans="2:36" x14ac:dyDescent="0.2">
      <c r="B377" s="218" t="str">
        <f>'WS10 - LTFP'!B204</f>
        <v>Total expenses continuing operations</v>
      </c>
      <c r="C377" s="3"/>
      <c r="D377" s="3"/>
      <c r="E377" s="54"/>
      <c r="F377" s="3"/>
      <c r="G377" s="3"/>
      <c r="H377" s="3"/>
      <c r="I377" s="31"/>
      <c r="J377" s="239">
        <f>'WS10 - LTFP'!J204</f>
        <v>132772974.48999998</v>
      </c>
      <c r="K377" s="240">
        <f>'WS10 - LTFP'!K204</f>
        <v>134605048.20896569</v>
      </c>
      <c r="L377" s="240">
        <f>'WS10 - LTFP'!L204</f>
        <v>136616155.26764157</v>
      </c>
      <c r="M377" s="240">
        <f>'WS10 - LTFP'!M204</f>
        <v>139622604.51462841</v>
      </c>
      <c r="N377" s="240">
        <f>'WS10 - LTFP'!N204</f>
        <v>144023948.53575653</v>
      </c>
      <c r="O377" s="240">
        <f>'WS10 - LTFP'!O204</f>
        <v>149828440.377729</v>
      </c>
      <c r="P377" s="240">
        <f>'WS10 - LTFP'!P204</f>
        <v>153446122.8775489</v>
      </c>
      <c r="Q377" s="241">
        <f>'WS10 - LTFP'!Q204</f>
        <v>157453413.22030109</v>
      </c>
      <c r="R377" s="240">
        <f>'WS10 - LTFP'!R204</f>
        <v>161823211.08205017</v>
      </c>
      <c r="S377" s="240">
        <f>'WS10 - LTFP'!S204</f>
        <v>166904246.36356634</v>
      </c>
      <c r="T377" s="241">
        <f>'WS10 - LTFP'!T204</f>
        <v>171643648.38631707</v>
      </c>
      <c r="U377" s="239">
        <f>'WS10 - LTFP'!U204</f>
        <v>1515966838.8345046</v>
      </c>
      <c r="V377" s="85"/>
      <c r="W377" s="240">
        <f>'WS10 - LTFP'!W204</f>
        <v>38870673.896317102</v>
      </c>
      <c r="X377" s="547">
        <f>'WS10 - LTFP'!X204</f>
        <v>0.2927604359669197</v>
      </c>
      <c r="Y377" s="243">
        <f t="shared" si="14"/>
        <v>0</v>
      </c>
      <c r="Z377" s="31"/>
      <c r="AA377" s="3"/>
      <c r="AB377" s="3"/>
      <c r="AC377" s="3"/>
      <c r="AD377" s="3"/>
      <c r="AE377" s="3"/>
      <c r="AF377" s="3"/>
      <c r="AG377" s="3"/>
      <c r="AH377" s="3"/>
      <c r="AI377" s="3"/>
      <c r="AJ377" s="3"/>
    </row>
    <row r="378" spans="2:36" x14ac:dyDescent="0.2">
      <c r="B378" s="218"/>
      <c r="C378" s="3"/>
      <c r="D378" s="3"/>
      <c r="E378" s="54"/>
      <c r="F378" s="3"/>
      <c r="G378" s="3"/>
      <c r="H378" s="3"/>
      <c r="I378" s="31"/>
      <c r="J378" s="239"/>
      <c r="K378" s="240"/>
      <c r="L378" s="240"/>
      <c r="M378" s="240"/>
      <c r="N378" s="240"/>
      <c r="O378" s="240"/>
      <c r="P378" s="240"/>
      <c r="Q378" s="241"/>
      <c r="R378" s="240"/>
      <c r="S378" s="240"/>
      <c r="T378" s="241"/>
      <c r="U378" s="239"/>
      <c r="V378" s="85"/>
      <c r="W378" s="240"/>
      <c r="X378" s="547"/>
      <c r="Y378" s="243"/>
      <c r="Z378" s="31"/>
      <c r="AA378" s="3"/>
      <c r="AB378" s="3"/>
      <c r="AC378" s="3"/>
      <c r="AD378" s="3"/>
      <c r="AE378" s="3"/>
      <c r="AF378" s="3"/>
      <c r="AG378" s="3"/>
      <c r="AH378" s="3"/>
      <c r="AI378" s="3"/>
      <c r="AJ378" s="3"/>
    </row>
    <row r="379" spans="2:36" x14ac:dyDescent="0.2">
      <c r="B379" s="245" t="str">
        <f>'WS10 - LTFP'!B210</f>
        <v>Operating result from continuing operations</v>
      </c>
      <c r="C379" s="3"/>
      <c r="D379" s="207" t="str">
        <f>'WS10 - LTFP'!D210</f>
        <v>$ nominal</v>
      </c>
      <c r="E379" s="54"/>
      <c r="F379" s="3"/>
      <c r="G379" s="3"/>
      <c r="H379" s="3"/>
      <c r="I379" s="31"/>
      <c r="J379" s="239">
        <f>'WS10 - LTFP'!J210</f>
        <v>7838612.7500000298</v>
      </c>
      <c r="K379" s="240">
        <f>'WS10 - LTFP'!K210</f>
        <v>6910072.591034323</v>
      </c>
      <c r="L379" s="240">
        <f>'WS10 - LTFP'!L210</f>
        <v>10935717.902358413</v>
      </c>
      <c r="M379" s="240">
        <f>'WS10 - LTFP'!M210</f>
        <v>11864276.275371581</v>
      </c>
      <c r="N379" s="240">
        <f>'WS10 - LTFP'!N210</f>
        <v>10528479.844243467</v>
      </c>
      <c r="O379" s="240">
        <f>'WS10 - LTFP'!O210</f>
        <v>10268334.632270992</v>
      </c>
      <c r="P379" s="240">
        <f>'WS10 - LTFP'!P210</f>
        <v>11060875.412451088</v>
      </c>
      <c r="Q379" s="241">
        <f>'WS10 - LTFP'!Q210</f>
        <v>9202118.199698925</v>
      </c>
      <c r="R379" s="240">
        <f>'WS10 - LTFP'!R210</f>
        <v>9632882.9379498363</v>
      </c>
      <c r="S379" s="240">
        <f>'WS10 - LTFP'!S210</f>
        <v>9500582.506433636</v>
      </c>
      <c r="T379" s="241">
        <f>'WS10 - LTFP'!T210</f>
        <v>9870315.8024829626</v>
      </c>
      <c r="U379" s="239">
        <f>'WS10 - LTFP'!U210</f>
        <v>99773656.104295224</v>
      </c>
      <c r="V379" s="85"/>
      <c r="W379" s="240">
        <f>'WS10 - LTFP'!W210</f>
        <v>2031703.0524829328</v>
      </c>
      <c r="X379" s="547">
        <f>'WS10 - LTFP'!X210</f>
        <v>0.25919166021856677</v>
      </c>
      <c r="Y379" s="243">
        <f t="shared" si="14"/>
        <v>0</v>
      </c>
      <c r="Z379" s="31"/>
      <c r="AA379" s="3"/>
      <c r="AB379" s="3"/>
      <c r="AC379" s="3"/>
      <c r="AD379" s="3"/>
      <c r="AE379" s="3"/>
      <c r="AF379" s="3"/>
      <c r="AG379" s="3"/>
      <c r="AH379" s="3"/>
      <c r="AI379" s="3"/>
      <c r="AJ379" s="3"/>
    </row>
    <row r="380" spans="2:36" x14ac:dyDescent="0.2">
      <c r="B380" s="245" t="str">
        <f>'WS10 - LTFP'!B211</f>
        <v>Net operating result before capital grants &amp; contributions</v>
      </c>
      <c r="C380" s="3"/>
      <c r="D380" s="207" t="str">
        <f>'WS10 - LTFP'!D211</f>
        <v>$ nominal</v>
      </c>
      <c r="E380" s="54"/>
      <c r="F380" s="3"/>
      <c r="G380" s="3"/>
      <c r="H380" s="3"/>
      <c r="I380" s="31"/>
      <c r="J380" s="239">
        <f>'WS10 - LTFP'!J211</f>
        <v>-3156301.2499999702</v>
      </c>
      <c r="K380" s="240">
        <f>'WS10 - LTFP'!K211</f>
        <v>-1382339.908965677</v>
      </c>
      <c r="L380" s="240">
        <f>'WS10 - LTFP'!L211</f>
        <v>123940.17235842347</v>
      </c>
      <c r="M380" s="240">
        <f>'WS10 - LTFP'!M211</f>
        <v>929589.24537158012</v>
      </c>
      <c r="N380" s="240">
        <f>'WS10 - LTFP'!N211</f>
        <v>-532762.43575653434</v>
      </c>
      <c r="O380" s="240">
        <f>'WS10 - LTFP'!O211</f>
        <v>-923222.31772899628</v>
      </c>
      <c r="P380" s="240">
        <f>'WS10 - LTFP'!P211</f>
        <v>-314863.75754889846</v>
      </c>
      <c r="Q380" s="241">
        <f>'WS10 - LTFP'!Q211</f>
        <v>188213.33969891071</v>
      </c>
      <c r="R380" s="240">
        <f>'WS10 - LTFP'!R211</f>
        <v>476708.10794982314</v>
      </c>
      <c r="S380" s="240">
        <f>'WS10 - LTFP'!S211</f>
        <v>202292.60643362999</v>
      </c>
      <c r="T380" s="241">
        <f>'WS10 - LTFP'!T211</f>
        <v>386060.10448294878</v>
      </c>
      <c r="U380" s="239">
        <f>'WS10 - LTFP'!U211</f>
        <v>-846384.84370478988</v>
      </c>
      <c r="V380" s="85"/>
      <c r="W380" s="240">
        <f>'WS10 - LTFP'!W211</f>
        <v>3542361.354482919</v>
      </c>
      <c r="X380" s="547">
        <f>'WS10 - LTFP'!X211</f>
        <v>-1.1223140866173507</v>
      </c>
      <c r="Y380" s="243"/>
      <c r="Z380" s="31"/>
      <c r="AA380" s="3"/>
      <c r="AB380" s="3"/>
      <c r="AC380" s="3"/>
      <c r="AD380" s="3"/>
      <c r="AE380" s="3"/>
      <c r="AF380" s="3"/>
      <c r="AG380" s="3"/>
      <c r="AH380" s="3"/>
      <c r="AI380" s="3"/>
      <c r="AJ380" s="3"/>
    </row>
    <row r="381" spans="2:36" ht="24" x14ac:dyDescent="0.2">
      <c r="B381" s="511" t="str">
        <f>'WS10 - LTFP'!B212</f>
        <v>Net operating result before capital grants &amp; contributions, gains/losses on asset disposals, gains/losses on joint ventures and fair value adjustments</v>
      </c>
      <c r="C381" s="3"/>
      <c r="D381" s="207" t="str">
        <f>'WS10 - LTFP'!D212</f>
        <v>$ nominal</v>
      </c>
      <c r="E381" s="54"/>
      <c r="F381" s="3"/>
      <c r="G381" s="3"/>
      <c r="H381" s="3"/>
      <c r="I381" s="31"/>
      <c r="J381" s="239">
        <f>'WS10 - LTFP'!J212</f>
        <v>-4276301.2499999702</v>
      </c>
      <c r="K381" s="240">
        <f>'WS10 - LTFP'!K212</f>
        <v>-2502339.908965677</v>
      </c>
      <c r="L381" s="240">
        <f>'WS10 - LTFP'!L212</f>
        <v>-996059.82764157653</v>
      </c>
      <c r="M381" s="240">
        <f>'WS10 - LTFP'!M212</f>
        <v>-190410.75462841988</v>
      </c>
      <c r="N381" s="240">
        <f>'WS10 - LTFP'!N212</f>
        <v>-1652762.4357565343</v>
      </c>
      <c r="O381" s="240">
        <f>'WS10 - LTFP'!O212</f>
        <v>-2043222.3177289963</v>
      </c>
      <c r="P381" s="240">
        <f>'WS10 - LTFP'!P212</f>
        <v>-1434863.7575488985</v>
      </c>
      <c r="Q381" s="241">
        <f>'WS10 - LTFP'!Q212</f>
        <v>-931786.66030108929</v>
      </c>
      <c r="R381" s="240">
        <f>'WS10 - LTFP'!R212</f>
        <v>-643291.89205017686</v>
      </c>
      <c r="S381" s="240">
        <f>'WS10 - LTFP'!S212</f>
        <v>-917707.39356637001</v>
      </c>
      <c r="T381" s="241">
        <f>'WS10 - LTFP'!T212</f>
        <v>-733939.89551705122</v>
      </c>
      <c r="U381" s="239">
        <f>'WS10 - LTFP'!U212</f>
        <v>-12046384.84370479</v>
      </c>
      <c r="V381" s="85"/>
      <c r="W381" s="240">
        <f>'WS10 - LTFP'!W212</f>
        <v>3542361.354482919</v>
      </c>
      <c r="X381" s="548">
        <f>'WS10 - LTFP'!X212</f>
        <v>-0.82837039473843044</v>
      </c>
      <c r="Y381" s="243">
        <f t="shared" si="14"/>
        <v>0</v>
      </c>
      <c r="Z381" s="31"/>
      <c r="AA381" s="3"/>
      <c r="AB381" s="3"/>
      <c r="AC381" s="3"/>
      <c r="AD381" s="3"/>
      <c r="AE381" s="3"/>
      <c r="AF381" s="3"/>
      <c r="AG381" s="3"/>
      <c r="AH381" s="3"/>
      <c r="AI381" s="3"/>
      <c r="AJ381" s="3"/>
    </row>
    <row r="382" spans="2:36" x14ac:dyDescent="0.2">
      <c r="B382" s="202" t="s">
        <v>77</v>
      </c>
      <c r="C382" s="3"/>
      <c r="D382" s="3"/>
      <c r="E382" s="54"/>
      <c r="F382" s="3"/>
      <c r="G382" s="3"/>
      <c r="H382" s="3"/>
      <c r="I382" s="31"/>
      <c r="J382" s="513">
        <f>J372-SUM(J367:J371)</f>
        <v>0</v>
      </c>
      <c r="K382" s="243">
        <f t="shared" ref="K382:W382" si="15">K372-SUM(K367:K371)</f>
        <v>0</v>
      </c>
      <c r="L382" s="243">
        <f t="shared" si="15"/>
        <v>0</v>
      </c>
      <c r="M382" s="243">
        <f t="shared" si="15"/>
        <v>0</v>
      </c>
      <c r="N382" s="243">
        <f t="shared" si="15"/>
        <v>0</v>
      </c>
      <c r="O382" s="243">
        <f t="shared" si="15"/>
        <v>0</v>
      </c>
      <c r="P382" s="243">
        <f t="shared" si="15"/>
        <v>0</v>
      </c>
      <c r="Q382" s="246">
        <f t="shared" si="15"/>
        <v>0</v>
      </c>
      <c r="R382" s="243">
        <f t="shared" si="15"/>
        <v>0</v>
      </c>
      <c r="S382" s="243">
        <f t="shared" si="15"/>
        <v>0</v>
      </c>
      <c r="T382" s="246">
        <f t="shared" si="15"/>
        <v>0</v>
      </c>
      <c r="U382" s="243">
        <f t="shared" si="15"/>
        <v>0</v>
      </c>
      <c r="V382" s="243"/>
      <c r="W382" s="243">
        <f t="shared" si="15"/>
        <v>0</v>
      </c>
      <c r="X382" s="550">
        <f>T379/J379-1-X379</f>
        <v>0</v>
      </c>
      <c r="Y382" s="3"/>
      <c r="Z382" s="31"/>
      <c r="AA382" s="3"/>
      <c r="AB382" s="3"/>
      <c r="AC382" s="3"/>
      <c r="AD382" s="3"/>
      <c r="AE382" s="3"/>
      <c r="AF382" s="3"/>
      <c r="AG382" s="3"/>
      <c r="AH382" s="3"/>
      <c r="AI382" s="3"/>
      <c r="AJ382" s="3"/>
    </row>
    <row r="383" spans="2:36" x14ac:dyDescent="0.2">
      <c r="B383" s="202" t="s">
        <v>77</v>
      </c>
      <c r="C383" s="3"/>
      <c r="D383" s="3"/>
      <c r="E383" s="54"/>
      <c r="F383" s="3"/>
      <c r="G383" s="3"/>
      <c r="H383" s="3"/>
      <c r="I383" s="31"/>
      <c r="J383" s="513">
        <f t="shared" ref="J383:U383" si="16">J372-J377-J379</f>
        <v>0</v>
      </c>
      <c r="K383" s="243">
        <f t="shared" si="16"/>
        <v>0</v>
      </c>
      <c r="L383" s="243">
        <f t="shared" si="16"/>
        <v>0</v>
      </c>
      <c r="M383" s="243">
        <f t="shared" si="16"/>
        <v>0</v>
      </c>
      <c r="N383" s="243">
        <f t="shared" si="16"/>
        <v>0</v>
      </c>
      <c r="O383" s="243">
        <f t="shared" si="16"/>
        <v>0</v>
      </c>
      <c r="P383" s="243">
        <f t="shared" si="16"/>
        <v>0</v>
      </c>
      <c r="Q383" s="246">
        <f t="shared" si="16"/>
        <v>0</v>
      </c>
      <c r="R383" s="243">
        <f t="shared" si="16"/>
        <v>0</v>
      </c>
      <c r="S383" s="243">
        <f t="shared" si="16"/>
        <v>0</v>
      </c>
      <c r="T383" s="246">
        <f t="shared" si="16"/>
        <v>0</v>
      </c>
      <c r="U383" s="513">
        <f t="shared" si="16"/>
        <v>5.0663948059082031E-7</v>
      </c>
      <c r="V383" s="204"/>
      <c r="W383" s="243">
        <f>W372-W377-W379</f>
        <v>-3.7252902984619141E-8</v>
      </c>
      <c r="X383" s="550">
        <f>T380/J380-1-X380</f>
        <v>0</v>
      </c>
      <c r="Y383" s="3"/>
      <c r="Z383" s="31"/>
      <c r="AA383" s="3"/>
      <c r="AB383" s="3"/>
      <c r="AC383" s="3"/>
      <c r="AD383" s="3"/>
      <c r="AE383" s="3"/>
      <c r="AF383" s="3"/>
      <c r="AG383" s="3"/>
      <c r="AH383" s="3"/>
      <c r="AI383" s="3"/>
      <c r="AJ383" s="3"/>
    </row>
    <row r="384" spans="2:36" x14ac:dyDescent="0.2">
      <c r="B384" s="202" t="s">
        <v>77</v>
      </c>
      <c r="C384" s="3"/>
      <c r="D384" s="3"/>
      <c r="E384" s="54"/>
      <c r="F384" s="3"/>
      <c r="G384" s="3"/>
      <c r="H384" s="3"/>
      <c r="I384" s="31"/>
      <c r="J384" s="513">
        <f>J371+J368+J367-J377+J376-J381</f>
        <v>0</v>
      </c>
      <c r="K384" s="243">
        <f t="shared" ref="K384:W384" si="17">K371+K368+K367-K377+K376-K381</f>
        <v>0</v>
      </c>
      <c r="L384" s="243">
        <f t="shared" si="17"/>
        <v>0</v>
      </c>
      <c r="M384" s="243">
        <f t="shared" si="17"/>
        <v>0</v>
      </c>
      <c r="N384" s="243">
        <f t="shared" si="17"/>
        <v>0</v>
      </c>
      <c r="O384" s="243">
        <f t="shared" si="17"/>
        <v>0</v>
      </c>
      <c r="P384" s="243">
        <f t="shared" si="17"/>
        <v>0</v>
      </c>
      <c r="Q384" s="246">
        <f t="shared" si="17"/>
        <v>0</v>
      </c>
      <c r="R384" s="243">
        <f t="shared" si="17"/>
        <v>0</v>
      </c>
      <c r="S384" s="243">
        <f t="shared" si="17"/>
        <v>2.9802322387695313E-8</v>
      </c>
      <c r="T384" s="246">
        <f t="shared" si="17"/>
        <v>-2.9802322387695313E-8</v>
      </c>
      <c r="U384" s="243">
        <f t="shared" si="17"/>
        <v>8.9406967163085938E-8</v>
      </c>
      <c r="V384" s="203"/>
      <c r="W384" s="243">
        <f t="shared" si="17"/>
        <v>-2.2351741790771484E-8</v>
      </c>
      <c r="X384" s="550">
        <f>T381/J381-1-X381</f>
        <v>0</v>
      </c>
      <c r="Y384" s="3"/>
      <c r="Z384" s="31"/>
      <c r="AA384" s="3"/>
      <c r="AB384" s="3"/>
      <c r="AC384" s="3"/>
      <c r="AD384" s="3"/>
      <c r="AE384" s="3"/>
      <c r="AF384" s="3"/>
      <c r="AG384" s="3"/>
      <c r="AH384" s="3"/>
      <c r="AI384" s="3"/>
      <c r="AJ384" s="3"/>
    </row>
    <row r="385" spans="2:31" x14ac:dyDescent="0.2">
      <c r="B385" s="247" t="str">
        <f>'WS10 - LTFP'!B334</f>
        <v>Table 10.4: Income Statement - General fund - Hybrid case scenario ($ nominal)</v>
      </c>
      <c r="C385" s="18"/>
      <c r="D385" s="18"/>
      <c r="E385" s="197"/>
      <c r="F385" s="18"/>
      <c r="G385" s="18"/>
      <c r="H385" s="18"/>
      <c r="I385" s="198"/>
      <c r="J385" s="522"/>
      <c r="K385" s="521"/>
      <c r="L385" s="521"/>
      <c r="M385" s="521"/>
      <c r="N385" s="521"/>
      <c r="O385" s="521"/>
      <c r="P385" s="521"/>
      <c r="Q385" s="523"/>
      <c r="R385" s="521"/>
      <c r="S385" s="521"/>
      <c r="T385" s="523"/>
      <c r="U385" s="522"/>
      <c r="V385" s="521"/>
      <c r="W385" s="521"/>
      <c r="X385" s="551"/>
      <c r="Y385" s="3"/>
      <c r="Z385" s="31"/>
      <c r="AA385" s="3"/>
      <c r="AB385" s="3"/>
      <c r="AC385" s="3"/>
      <c r="AD385" s="3"/>
      <c r="AE385" s="3"/>
    </row>
    <row r="386" spans="2:31" x14ac:dyDescent="0.2">
      <c r="B386" s="239" t="str">
        <f>"Revenue from "&amp;'WS10 - LTFP'!B339</f>
        <v xml:space="preserve">Revenue from Rates  </v>
      </c>
      <c r="C386" s="3"/>
      <c r="D386" s="3" t="str">
        <f>'WS10 - LTFP'!D339</f>
        <v>$ nominal</v>
      </c>
      <c r="E386" s="54"/>
      <c r="F386" s="3"/>
      <c r="G386" s="3"/>
      <c r="H386" s="3"/>
      <c r="I386" s="31"/>
      <c r="J386" s="94">
        <f>'WS10 - LTFP'!J339</f>
        <v>54352004</v>
      </c>
      <c r="K386" s="85">
        <f>'WS10 - LTFP'!K339</f>
        <v>57069604.200000003</v>
      </c>
      <c r="L386" s="85">
        <f>'WS10 - LTFP'!L339</f>
        <v>58781692.326000005</v>
      </c>
      <c r="M386" s="85">
        <f>'WS10 - LTFP'!M339</f>
        <v>60545143.095780008</v>
      </c>
      <c r="N386" s="85">
        <f>'WS10 - LTFP'!N339</f>
        <v>62361497.382019952</v>
      </c>
      <c r="O386" s="85">
        <f>'WS10 - LTFP'!O339</f>
        <v>64232342.307442188</v>
      </c>
      <c r="P386" s="85">
        <f>'WS10 - LTFP'!P339</f>
        <v>66159312.57150609</v>
      </c>
      <c r="Q386" s="201">
        <f>'WS10 - LTFP'!Q339</f>
        <v>68144091.952152267</v>
      </c>
      <c r="R386" s="85">
        <f>'WS10 - LTFP'!R339</f>
        <v>70188414.706202388</v>
      </c>
      <c r="S386" s="85">
        <f>'WS10 - LTFP'!S339</f>
        <v>72294067.144808769</v>
      </c>
      <c r="T386" s="201">
        <f>'WS10 - LTFP'!T339</f>
        <v>74462889.159153029</v>
      </c>
      <c r="U386" s="94">
        <f>'WS10 - LTFP'!U339</f>
        <v>654239054.84506464</v>
      </c>
      <c r="V386" s="85">
        <f>'WS10 - LTFP'!V339</f>
        <v>0</v>
      </c>
      <c r="W386" s="85">
        <f>'WS10 - LTFP'!W339</f>
        <v>20110885.159153029</v>
      </c>
      <c r="X386" s="549">
        <f>'WS10 - LTFP'!X339</f>
        <v>0.37001184278601812</v>
      </c>
      <c r="Y386" s="3"/>
      <c r="Z386" s="31"/>
      <c r="AA386" s="3"/>
      <c r="AB386" s="3"/>
      <c r="AC386" s="3"/>
      <c r="AD386" s="3"/>
      <c r="AE386" s="3"/>
    </row>
    <row r="387" spans="2:31" x14ac:dyDescent="0.2">
      <c r="B387" s="239" t="str">
        <f>'WS10 - LTFP'!B352</f>
        <v>Total Income Continuing Operations</v>
      </c>
      <c r="C387" s="3"/>
      <c r="D387" s="207" t="str">
        <f>'WS10 - LTFP'!D352</f>
        <v>$ nominal</v>
      </c>
      <c r="E387" s="54"/>
      <c r="F387" s="3"/>
      <c r="G387" s="3"/>
      <c r="H387" s="3"/>
      <c r="I387" s="31"/>
      <c r="J387" s="239">
        <f>'WS10 - LTFP'!J352</f>
        <v>140611587.24000001</v>
      </c>
      <c r="K387" s="240">
        <f>'WS10 - LTFP'!K352</f>
        <v>141515120.80000001</v>
      </c>
      <c r="L387" s="240">
        <f>'WS10 - LTFP'!L352</f>
        <v>147551873.16999999</v>
      </c>
      <c r="M387" s="240">
        <f>'WS10 - LTFP'!M352</f>
        <v>151486880.78999999</v>
      </c>
      <c r="N387" s="240">
        <f>'WS10 - LTFP'!N352</f>
        <v>154552428.38</v>
      </c>
      <c r="O387" s="240">
        <f>'WS10 - LTFP'!O352</f>
        <v>160096775.00999999</v>
      </c>
      <c r="P387" s="240">
        <f>'WS10 - LTFP'!P352</f>
        <v>164506998.28999999</v>
      </c>
      <c r="Q387" s="241">
        <f>'WS10 - LTFP'!Q352</f>
        <v>166655531.42000002</v>
      </c>
      <c r="R387" s="240">
        <f>'WS10 - LTFP'!R352</f>
        <v>171456094.02000001</v>
      </c>
      <c r="S387" s="240">
        <f>'WS10 - LTFP'!S352</f>
        <v>176404828.86999997</v>
      </c>
      <c r="T387" s="241">
        <f>'WS10 - LTFP'!T352</f>
        <v>181513964.18880004</v>
      </c>
      <c r="U387" s="239">
        <f>'WS10 - LTFP'!U352</f>
        <v>1615740494.9388003</v>
      </c>
      <c r="V387" s="85"/>
      <c r="W387" s="240">
        <f>'WS10 - LTFP'!W352</f>
        <v>40902376.948800027</v>
      </c>
      <c r="X387" s="547">
        <f>'WS10 - LTFP'!X352</f>
        <v>0.29088909208447128</v>
      </c>
      <c r="Y387" s="243">
        <f>T387-J387-W387</f>
        <v>0</v>
      </c>
      <c r="Z387" s="31"/>
      <c r="AA387" s="3"/>
      <c r="AB387" s="3"/>
      <c r="AC387" s="3"/>
      <c r="AD387" s="3"/>
      <c r="AE387" s="3"/>
    </row>
    <row r="388" spans="2:31" x14ac:dyDescent="0.2">
      <c r="B388" s="218" t="str">
        <f>'WS10 - LTFP'!B354</f>
        <v>Income excluding capital grants and contributions</v>
      </c>
      <c r="C388" s="3"/>
      <c r="D388" s="207" t="str">
        <f>'WS10 - LTFP'!D354</f>
        <v>$ nominal</v>
      </c>
      <c r="E388" s="54"/>
      <c r="F388" s="3"/>
      <c r="G388" s="3"/>
      <c r="H388" s="3"/>
      <c r="I388" s="31"/>
      <c r="J388" s="239">
        <f>'WS10 - LTFP'!J354</f>
        <v>129616673.24000001</v>
      </c>
      <c r="K388" s="240">
        <f>'WS10 - LTFP'!K354</f>
        <v>133222708.30000001</v>
      </c>
      <c r="L388" s="240">
        <f>'WS10 - LTFP'!L354</f>
        <v>136740095.44</v>
      </c>
      <c r="M388" s="240">
        <f>'WS10 - LTFP'!M354</f>
        <v>140552193.75999999</v>
      </c>
      <c r="N388" s="240">
        <f>'WS10 - LTFP'!N354</f>
        <v>143491186.09999999</v>
      </c>
      <c r="O388" s="240">
        <f>'WS10 - LTFP'!O354</f>
        <v>148905218.06</v>
      </c>
      <c r="P388" s="240">
        <f>'WS10 - LTFP'!P354</f>
        <v>153131259.12</v>
      </c>
      <c r="Q388" s="241">
        <f>'WS10 - LTFP'!Q354</f>
        <v>157641626.56</v>
      </c>
      <c r="R388" s="240">
        <f>'WS10 - LTFP'!R354</f>
        <v>162299919.19</v>
      </c>
      <c r="S388" s="240">
        <f>'WS10 - LTFP'!S354</f>
        <v>167106538.96999997</v>
      </c>
      <c r="T388" s="241">
        <f>'WS10 - LTFP'!T354</f>
        <v>172029708.49080002</v>
      </c>
      <c r="U388" s="239">
        <f>'WS10 - LTFP'!U354</f>
        <v>1515120453.9908004</v>
      </c>
      <c r="V388" s="85"/>
      <c r="W388" s="240">
        <f>'WS10 - LTFP'!W354</f>
        <v>42413035.250800014</v>
      </c>
      <c r="X388" s="547">
        <f>'WS10 - LTFP'!X354</f>
        <v>0.32721897723966004</v>
      </c>
      <c r="Y388" s="243">
        <f>T388-J388-W388</f>
        <v>0</v>
      </c>
      <c r="Z388" s="201"/>
      <c r="AA388" s="3"/>
      <c r="AB388" s="3"/>
      <c r="AC388" s="3"/>
      <c r="AD388" s="3"/>
      <c r="AE388" s="3"/>
    </row>
    <row r="389" spans="2:31" ht="24" x14ac:dyDescent="0.2">
      <c r="B389" s="510" t="str">
        <f>'WS10 - LTFP'!B356</f>
        <v>Income excluding capital grants and contributions, net gains from asset disposals, profit on joint ventures and fair value gains</v>
      </c>
      <c r="C389" s="3"/>
      <c r="D389" s="207" t="str">
        <f>'WS10 - LTFP'!D356</f>
        <v>$ nominal</v>
      </c>
      <c r="E389" s="54"/>
      <c r="F389" s="3"/>
      <c r="G389" s="3"/>
      <c r="H389" s="3"/>
      <c r="I389" s="31"/>
      <c r="J389" s="239">
        <f>'WS10 - LTFP'!J356</f>
        <v>128446673.24000001</v>
      </c>
      <c r="K389" s="240">
        <f>'WS10 - LTFP'!K356</f>
        <v>132052708.30000001</v>
      </c>
      <c r="L389" s="240">
        <f>'WS10 - LTFP'!L356</f>
        <v>135570095.44</v>
      </c>
      <c r="M389" s="240">
        <f>'WS10 - LTFP'!M356</f>
        <v>139382193.75999999</v>
      </c>
      <c r="N389" s="240">
        <f>'WS10 - LTFP'!N356</f>
        <v>142321186.09999999</v>
      </c>
      <c r="O389" s="240">
        <f>'WS10 - LTFP'!O356</f>
        <v>147735218.06</v>
      </c>
      <c r="P389" s="240">
        <f>'WS10 - LTFP'!P356</f>
        <v>151961259.12</v>
      </c>
      <c r="Q389" s="241">
        <f>'WS10 - LTFP'!Q356</f>
        <v>156471626.56</v>
      </c>
      <c r="R389" s="240">
        <f>'WS10 - LTFP'!R356</f>
        <v>161129919.19</v>
      </c>
      <c r="S389" s="240">
        <f>'WS10 - LTFP'!S356</f>
        <v>165936538.96999997</v>
      </c>
      <c r="T389" s="241">
        <f>'WS10 - LTFP'!T356</f>
        <v>170859708.49080002</v>
      </c>
      <c r="U389" s="239">
        <f>'WS10 - LTFP'!U356</f>
        <v>1503420453.9908004</v>
      </c>
      <c r="V389" s="85"/>
      <c r="W389" s="240">
        <f>'WS10 - LTFP'!W356</f>
        <v>42413035.250800014</v>
      </c>
      <c r="X389" s="547">
        <f>'WS10 - LTFP'!X356</f>
        <v>0.33019956205134343</v>
      </c>
      <c r="Y389" s="243">
        <f>T389-J389-W389</f>
        <v>0</v>
      </c>
      <c r="Z389" s="31"/>
      <c r="AA389" s="3"/>
      <c r="AB389" s="3"/>
      <c r="AC389" s="3"/>
      <c r="AD389" s="3"/>
      <c r="AE389" s="3"/>
    </row>
    <row r="390" spans="2:31" x14ac:dyDescent="0.2">
      <c r="B390" s="218"/>
      <c r="C390" s="3"/>
      <c r="D390" s="3"/>
      <c r="E390" s="54"/>
      <c r="F390" s="3"/>
      <c r="G390" s="3"/>
      <c r="H390" s="3"/>
      <c r="I390" s="31"/>
      <c r="J390" s="239"/>
      <c r="K390" s="240"/>
      <c r="L390" s="240"/>
      <c r="M390" s="240"/>
      <c r="N390" s="240"/>
      <c r="O390" s="240"/>
      <c r="P390" s="240"/>
      <c r="Q390" s="241"/>
      <c r="R390" s="240"/>
      <c r="S390" s="240"/>
      <c r="T390" s="241"/>
      <c r="U390" s="239"/>
      <c r="V390" s="85"/>
      <c r="W390" s="240"/>
      <c r="X390" s="547"/>
      <c r="Y390" s="243"/>
      <c r="Z390" s="31"/>
      <c r="AA390" s="3"/>
      <c r="AB390" s="3"/>
      <c r="AC390" s="3"/>
      <c r="AD390" s="3"/>
      <c r="AE390" s="3"/>
    </row>
    <row r="391" spans="2:31" ht="11.25" customHeight="1" x14ac:dyDescent="0.2">
      <c r="B391" s="218" t="str">
        <f>'WS10 - LTFP'!B371</f>
        <v>Total expenses continuing operations</v>
      </c>
      <c r="C391" s="3"/>
      <c r="D391" s="207" t="str">
        <f>'WS10 - LTFP'!D371</f>
        <v>$ nominal</v>
      </c>
      <c r="E391" s="54"/>
      <c r="F391" s="3"/>
      <c r="G391" s="3"/>
      <c r="H391" s="3"/>
      <c r="I391" s="31"/>
      <c r="J391" s="239">
        <f>'WS10 - LTFP'!J371</f>
        <v>132772974.48999998</v>
      </c>
      <c r="K391" s="240">
        <f>'WS10 - LTFP'!K371</f>
        <v>135587088.20896569</v>
      </c>
      <c r="L391" s="240">
        <f>'WS10 - LTFP'!L371</f>
        <v>139013956.46764156</v>
      </c>
      <c r="M391" s="240">
        <f>'WS10 - LTFP'!M371</f>
        <v>142626339.74462843</v>
      </c>
      <c r="N391" s="240">
        <f>'WS10 - LTFP'!N371</f>
        <v>147117795.82575655</v>
      </c>
      <c r="O391" s="240">
        <f>'WS10 - LTFP'!O371</f>
        <v>153015103.07772899</v>
      </c>
      <c r="P391" s="240">
        <f>'WS10 - LTFP'!P371</f>
        <v>156728385.45754886</v>
      </c>
      <c r="Q391" s="241">
        <f>'WS10 - LTFP'!Q371</f>
        <v>160834143.68030107</v>
      </c>
      <c r="R391" s="240">
        <f>'WS10 - LTFP'!R371</f>
        <v>165305363.45205012</v>
      </c>
      <c r="S391" s="240">
        <f>'WS10 - LTFP'!S371</f>
        <v>170490863.3135663</v>
      </c>
      <c r="T391" s="241">
        <f>'WS10 - LTFP'!T371</f>
        <v>175286363.84481701</v>
      </c>
      <c r="U391" s="239">
        <f>'WS10 - LTFP'!U371</f>
        <v>1546005403.0730045</v>
      </c>
      <c r="V391" s="85"/>
      <c r="W391" s="240">
        <f>'WS10 - LTFP'!W371</f>
        <v>42513389.354817033</v>
      </c>
      <c r="X391" s="547">
        <f>'WS10 - LTFP'!X371</f>
        <v>0.32019610555624783</v>
      </c>
      <c r="Y391" s="243">
        <f t="shared" ref="Y391:Y395" si="18">T391-J391-W391</f>
        <v>0</v>
      </c>
      <c r="Z391" s="31"/>
      <c r="AA391" s="3"/>
      <c r="AB391" s="3"/>
      <c r="AC391" s="3"/>
      <c r="AD391" s="3"/>
      <c r="AE391" s="3"/>
    </row>
    <row r="392" spans="2:31" x14ac:dyDescent="0.2">
      <c r="B392" s="218"/>
      <c r="C392" s="3"/>
      <c r="D392" s="3"/>
      <c r="E392" s="54"/>
      <c r="F392" s="3"/>
      <c r="G392" s="3"/>
      <c r="H392" s="3"/>
      <c r="I392" s="31"/>
      <c r="J392" s="239"/>
      <c r="K392" s="240"/>
      <c r="L392" s="240"/>
      <c r="M392" s="240"/>
      <c r="N392" s="240"/>
      <c r="O392" s="240"/>
      <c r="P392" s="240"/>
      <c r="Q392" s="241"/>
      <c r="R392" s="240"/>
      <c r="S392" s="240"/>
      <c r="T392" s="241"/>
      <c r="U392" s="239"/>
      <c r="V392" s="85"/>
      <c r="W392" s="240"/>
      <c r="X392" s="547"/>
      <c r="Y392" s="243"/>
      <c r="Z392" s="31"/>
      <c r="AA392" s="3"/>
      <c r="AB392" s="3"/>
      <c r="AC392" s="3"/>
      <c r="AD392" s="3"/>
      <c r="AE392" s="3"/>
    </row>
    <row r="393" spans="2:31" x14ac:dyDescent="0.2">
      <c r="B393" s="245" t="str">
        <f>'WS10 - LTFP'!B377</f>
        <v>Operating result from continuing operations</v>
      </c>
      <c r="C393" s="3"/>
      <c r="D393" s="207" t="str">
        <f>'WS10 - LTFP'!D377</f>
        <v>$ nominal</v>
      </c>
      <c r="E393" s="54"/>
      <c r="F393" s="3"/>
      <c r="G393" s="3"/>
      <c r="H393" s="3"/>
      <c r="I393" s="31"/>
      <c r="J393" s="239">
        <f>'WS10 - LTFP'!J377</f>
        <v>7838612.7500000298</v>
      </c>
      <c r="K393" s="240">
        <f>'WS10 - LTFP'!K377</f>
        <v>5928032.591034323</v>
      </c>
      <c r="L393" s="240">
        <f>'WS10 - LTFP'!L377</f>
        <v>8537916.7023584247</v>
      </c>
      <c r="M393" s="240">
        <f>'WS10 - LTFP'!M377</f>
        <v>8860541.0453715622</v>
      </c>
      <c r="N393" s="240">
        <f>'WS10 - LTFP'!N377</f>
        <v>7434632.5542434454</v>
      </c>
      <c r="O393" s="240">
        <f>'WS10 - LTFP'!O377</f>
        <v>7081671.9322710037</v>
      </c>
      <c r="P393" s="240">
        <f>'WS10 - LTFP'!P377</f>
        <v>7778612.8324511349</v>
      </c>
      <c r="Q393" s="241">
        <f>'WS10 - LTFP'!Q377</f>
        <v>5821387.7396989465</v>
      </c>
      <c r="R393" s="240">
        <f>'WS10 - LTFP'!R377</f>
        <v>6150730.5679498911</v>
      </c>
      <c r="S393" s="240">
        <f>'WS10 - LTFP'!S377</f>
        <v>5913965.5564336777</v>
      </c>
      <c r="T393" s="241">
        <f>'WS10 - LTFP'!T377</f>
        <v>6227600.3439830244</v>
      </c>
      <c r="U393" s="239">
        <f>'WS10 - LTFP'!U377</f>
        <v>69735091.865795434</v>
      </c>
      <c r="V393" s="85"/>
      <c r="W393" s="240">
        <f>'WS10 - LTFP'!W377</f>
        <v>-1611012.4060170054</v>
      </c>
      <c r="X393" s="547">
        <f>'WS10 - LTFP'!X377</f>
        <v>-0.20552264251311553</v>
      </c>
      <c r="Y393" s="243">
        <f t="shared" si="18"/>
        <v>0</v>
      </c>
      <c r="Z393" s="31"/>
      <c r="AA393" s="3"/>
      <c r="AB393" s="3"/>
      <c r="AC393" s="3"/>
      <c r="AD393" s="3"/>
      <c r="AE393" s="3"/>
    </row>
    <row r="394" spans="2:31" x14ac:dyDescent="0.2">
      <c r="B394" s="245" t="str">
        <f>'WS10 - LTFP'!B378</f>
        <v>Net operating result before capital grants &amp; contributions</v>
      </c>
      <c r="C394" s="3"/>
      <c r="D394" s="207" t="str">
        <f>'WS10 - LTFP'!D378</f>
        <v>$ nominal</v>
      </c>
      <c r="E394" s="54"/>
      <c r="F394" s="3"/>
      <c r="G394" s="3"/>
      <c r="H394" s="3"/>
      <c r="I394" s="31"/>
      <c r="J394" s="239">
        <f>'WS10 - LTFP'!J378</f>
        <v>-3156301.2499999702</v>
      </c>
      <c r="K394" s="240">
        <f>'WS10 - LTFP'!K378</f>
        <v>-2364379.908965677</v>
      </c>
      <c r="L394" s="240">
        <f>'WS10 - LTFP'!L378</f>
        <v>-2273861.0276415646</v>
      </c>
      <c r="M394" s="240">
        <f>'WS10 - LTFP'!M378</f>
        <v>-2074145.9846284389</v>
      </c>
      <c r="N394" s="240">
        <f>'WS10 - LTFP'!N378</f>
        <v>-3626609.7257565558</v>
      </c>
      <c r="O394" s="240">
        <f>'WS10 - LTFP'!O378</f>
        <v>-4109885.0177289844</v>
      </c>
      <c r="P394" s="240">
        <f>'WS10 - LTFP'!P378</f>
        <v>-3597126.337548852</v>
      </c>
      <c r="Q394" s="241">
        <f>'WS10 - LTFP'!Q378</f>
        <v>-3192517.1203010678</v>
      </c>
      <c r="R394" s="240">
        <f>'WS10 - LTFP'!R378</f>
        <v>-3005444.262050122</v>
      </c>
      <c r="S394" s="240">
        <f>'WS10 - LTFP'!S378</f>
        <v>-3384324.3435663283</v>
      </c>
      <c r="T394" s="241">
        <f>'WS10 - LTFP'!T378</f>
        <v>-3256655.3540169895</v>
      </c>
      <c r="U394" s="239">
        <f>'WS10 - LTFP'!U378</f>
        <v>-30884949.08220458</v>
      </c>
      <c r="V394" s="85"/>
      <c r="W394" s="240">
        <f>'WS10 - LTFP'!W378</f>
        <v>-100354.10401701927</v>
      </c>
      <c r="X394" s="547">
        <f>'WS10 - LTFP'!X378</f>
        <v>3.1794843415855895E-2</v>
      </c>
      <c r="Y394" s="243"/>
      <c r="Z394" s="31"/>
      <c r="AA394" s="3"/>
      <c r="AB394" s="3"/>
      <c r="AC394" s="3"/>
      <c r="AD394" s="3"/>
      <c r="AE394" s="3"/>
    </row>
    <row r="395" spans="2:31" ht="24" x14ac:dyDescent="0.2">
      <c r="B395" s="511" t="str">
        <f>'WS10 - LTFP'!B379</f>
        <v>Net operating result before capital grants &amp; contributions, gains/losses on asset disposals, gains/losses on joint ventures and fair value adjustments</v>
      </c>
      <c r="C395" s="3"/>
      <c r="D395" s="207" t="str">
        <f>'WS10 - LTFP'!D379</f>
        <v>$ nominal</v>
      </c>
      <c r="E395" s="54"/>
      <c r="F395" s="3"/>
      <c r="G395" s="3"/>
      <c r="H395" s="3"/>
      <c r="I395" s="31"/>
      <c r="J395" s="239">
        <f>'WS10 - LTFP'!J379</f>
        <v>-4276301.2499999702</v>
      </c>
      <c r="K395" s="240">
        <f>'WS10 - LTFP'!K379</f>
        <v>-3484379.908965677</v>
      </c>
      <c r="L395" s="240">
        <f>'WS10 - LTFP'!L379</f>
        <v>-3393861.0276415646</v>
      </c>
      <c r="M395" s="240">
        <f>'WS10 - LTFP'!M379</f>
        <v>-3194145.9846284389</v>
      </c>
      <c r="N395" s="240">
        <f>'WS10 - LTFP'!N379</f>
        <v>-4746609.7257565558</v>
      </c>
      <c r="O395" s="240">
        <f>'WS10 - LTFP'!O379</f>
        <v>-5229885.0177289844</v>
      </c>
      <c r="P395" s="240">
        <f>'WS10 - LTFP'!P379</f>
        <v>-4717126.337548852</v>
      </c>
      <c r="Q395" s="241">
        <f>'WS10 - LTFP'!Q379</f>
        <v>-4312517.1203010678</v>
      </c>
      <c r="R395" s="240">
        <f>'WS10 - LTFP'!R379</f>
        <v>-4125444.262050122</v>
      </c>
      <c r="S395" s="240">
        <f>'WS10 - LTFP'!S379</f>
        <v>-4504324.3435663283</v>
      </c>
      <c r="T395" s="241">
        <f>'WS10 - LTFP'!T379</f>
        <v>-4376655.3540169895</v>
      </c>
      <c r="U395" s="239">
        <f>'WS10 - LTFP'!U379</f>
        <v>-42084949.08220458</v>
      </c>
      <c r="V395" s="85"/>
      <c r="W395" s="240">
        <f>'WS10 - LTFP'!W379</f>
        <v>-100354.10401701927</v>
      </c>
      <c r="X395" s="548">
        <f>'WS10 - LTFP'!X379</f>
        <v>2.3467501036560503E-2</v>
      </c>
      <c r="Y395" s="243">
        <f t="shared" si="18"/>
        <v>0</v>
      </c>
      <c r="Z395" s="31"/>
      <c r="AA395" s="3"/>
      <c r="AB395" s="3"/>
      <c r="AC395" s="3"/>
      <c r="AD395" s="3"/>
      <c r="AE395" s="3"/>
    </row>
    <row r="396" spans="2:31" x14ac:dyDescent="0.2">
      <c r="B396" s="202" t="s">
        <v>77</v>
      </c>
      <c r="C396" s="3"/>
      <c r="D396" s="3"/>
      <c r="E396" s="54"/>
      <c r="F396" s="3"/>
      <c r="G396" s="3"/>
      <c r="H396" s="3"/>
      <c r="I396" s="31"/>
      <c r="J396" s="513">
        <f>J389-J391-J395+J357</f>
        <v>0</v>
      </c>
      <c r="K396" s="243">
        <f t="shared" ref="K396:U396" si="19">K389-K391-K395+K357</f>
        <v>0</v>
      </c>
      <c r="L396" s="243">
        <f t="shared" si="19"/>
        <v>0</v>
      </c>
      <c r="M396" s="243">
        <f t="shared" si="19"/>
        <v>0</v>
      </c>
      <c r="N396" s="243">
        <f t="shared" si="19"/>
        <v>0</v>
      </c>
      <c r="O396" s="243">
        <f t="shared" si="19"/>
        <v>0</v>
      </c>
      <c r="P396" s="243">
        <f t="shared" si="19"/>
        <v>0</v>
      </c>
      <c r="Q396" s="246">
        <f t="shared" si="19"/>
        <v>0</v>
      </c>
      <c r="R396" s="243">
        <f t="shared" si="19"/>
        <v>0</v>
      </c>
      <c r="S396" s="243">
        <f t="shared" si="19"/>
        <v>0</v>
      </c>
      <c r="T396" s="243">
        <f t="shared" si="19"/>
        <v>0</v>
      </c>
      <c r="U396" s="513">
        <f t="shared" si="19"/>
        <v>4.76837158203125E-7</v>
      </c>
      <c r="V396" s="203"/>
      <c r="W396" s="243">
        <f>T395-J395-W395</f>
        <v>0</v>
      </c>
      <c r="X396" s="550">
        <f>T395/J395-1-X395</f>
        <v>8.6736173798840355E-17</v>
      </c>
      <c r="Y396" s="3"/>
      <c r="Z396" s="31"/>
      <c r="AA396" s="3"/>
      <c r="AB396" s="3"/>
      <c r="AC396" s="3"/>
      <c r="AD396" s="3"/>
      <c r="AE396" s="3"/>
    </row>
    <row r="397" spans="2:31" x14ac:dyDescent="0.2">
      <c r="B397" s="54"/>
      <c r="C397" s="3"/>
      <c r="D397" s="3"/>
      <c r="E397" s="54"/>
      <c r="F397" s="3"/>
      <c r="G397" s="3"/>
      <c r="H397" s="3"/>
      <c r="I397" s="31"/>
      <c r="J397" s="94"/>
      <c r="K397" s="85"/>
      <c r="L397" s="85"/>
      <c r="M397" s="85"/>
      <c r="N397" s="85"/>
      <c r="O397" s="85"/>
      <c r="P397" s="85"/>
      <c r="Q397" s="201"/>
      <c r="R397" s="85"/>
      <c r="S397" s="85"/>
      <c r="T397" s="85"/>
      <c r="U397" s="94"/>
      <c r="V397" s="85"/>
      <c r="W397" s="85"/>
      <c r="X397" s="100"/>
      <c r="Y397" s="203"/>
      <c r="Z397" s="31"/>
      <c r="AA397" s="3"/>
      <c r="AB397" s="3"/>
      <c r="AC397" s="3"/>
      <c r="AD397" s="3"/>
      <c r="AE397" s="3"/>
    </row>
    <row r="398" spans="2:31" x14ac:dyDescent="0.2">
      <c r="B398" s="247" t="str">
        <f>'WS10 - LTFP'!B388</f>
        <v>Table 10.5: Difference between Scenario 1 (with proposed SV income and expenditure) and Scenario 2 (base case - no SV income or expenditure)</v>
      </c>
      <c r="C398" s="18"/>
      <c r="D398" s="18"/>
      <c r="E398" s="197"/>
      <c r="F398" s="18"/>
      <c r="G398" s="18"/>
      <c r="H398" s="18"/>
      <c r="I398" s="198"/>
      <c r="J398" s="522"/>
      <c r="K398" s="521"/>
      <c r="L398" s="521"/>
      <c r="M398" s="521"/>
      <c r="N398" s="521"/>
      <c r="O398" s="521"/>
      <c r="P398" s="521"/>
      <c r="Q398" s="523"/>
      <c r="R398" s="521"/>
      <c r="S398" s="521"/>
      <c r="T398" s="521"/>
      <c r="U398" s="522"/>
      <c r="V398" s="521"/>
      <c r="W398" s="521"/>
      <c r="X398" s="198"/>
      <c r="Y398" s="3"/>
      <c r="Z398" s="31"/>
      <c r="AA398" s="3"/>
      <c r="AB398" s="3"/>
      <c r="AC398" s="3"/>
      <c r="AD398" s="3"/>
      <c r="AE398" s="3"/>
    </row>
    <row r="399" spans="2:31" x14ac:dyDescent="0.2">
      <c r="B399" s="239" t="str">
        <f>'WS10 - LTFP'!B406</f>
        <v>Total Income Continuing Operations</v>
      </c>
      <c r="C399" s="3"/>
      <c r="D399" s="207" t="str">
        <f>'WS10 - LTFP'!D406</f>
        <v>$ nominal</v>
      </c>
      <c r="E399" s="54"/>
      <c r="F399" s="3"/>
      <c r="G399" s="3"/>
      <c r="H399" s="3"/>
      <c r="I399" s="31"/>
      <c r="J399" s="239">
        <f>'WS10 - LTFP'!J406</f>
        <v>0</v>
      </c>
      <c r="K399" s="240">
        <f>'WS10 - LTFP'!K406</f>
        <v>5853953</v>
      </c>
      <c r="L399" s="240">
        <f>'WS10 - LTFP'!L406</f>
        <v>6291757.9999999702</v>
      </c>
      <c r="M399" s="240">
        <f>'WS10 - LTFP'!M406</f>
        <v>6522377.7599999905</v>
      </c>
      <c r="N399" s="240">
        <f>'WS10 - LTFP'!N406</f>
        <v>7252572.2100000381</v>
      </c>
      <c r="O399" s="240">
        <f>'WS10 - LTFP'!O406</f>
        <v>7716449.0499999523</v>
      </c>
      <c r="P399" s="240">
        <f>'WS10 - LTFP'!P406</f>
        <v>8203908.8799999654</v>
      </c>
      <c r="Q399" s="241">
        <f>'WS10 - LTFP'!Q406</f>
        <v>8916398.3999999762</v>
      </c>
      <c r="R399" s="240">
        <f>'WS10 - LTFP'!R406</f>
        <v>9562301.4800000191</v>
      </c>
      <c r="S399" s="240">
        <f>'WS10 - LTFP'!S406</f>
        <v>10239128.350000024</v>
      </c>
      <c r="T399" s="240">
        <f>'WS10 - LTFP'!T406</f>
        <v>11097733.518599987</v>
      </c>
      <c r="U399" s="239">
        <f>'WS10 - LTFP'!U406</f>
        <v>81656580.648599625</v>
      </c>
      <c r="V399" s="85"/>
      <c r="W399" s="85"/>
      <c r="X399" s="100"/>
      <c r="Y399" s="203"/>
      <c r="Z399" s="31"/>
      <c r="AA399" s="3"/>
      <c r="AB399" s="3"/>
      <c r="AC399" s="3"/>
      <c r="AD399" s="3"/>
      <c r="AE399" s="3"/>
    </row>
    <row r="400" spans="2:31" ht="24" x14ac:dyDescent="0.2">
      <c r="B400" s="510" t="str">
        <f>'WS10 - LTFP'!B410</f>
        <v>Income excluding capital grants and contributions, net gains from asset disposals, profit on joint ventures and fair value gains</v>
      </c>
      <c r="C400" s="3"/>
      <c r="D400" s="207" t="str">
        <f>'WS10 - LTFP'!D410</f>
        <v>$ nominal</v>
      </c>
      <c r="E400" s="54"/>
      <c r="F400" s="3"/>
      <c r="G400" s="3"/>
      <c r="H400" s="3"/>
      <c r="I400" s="31"/>
      <c r="J400" s="239">
        <f>'WS10 - LTFP'!J410</f>
        <v>0</v>
      </c>
      <c r="K400" s="240">
        <f>'WS10 - LTFP'!K410</f>
        <v>5853953</v>
      </c>
      <c r="L400" s="240">
        <f>'WS10 - LTFP'!L410</f>
        <v>6291757.9999999702</v>
      </c>
      <c r="M400" s="240">
        <f>'WS10 - LTFP'!M410</f>
        <v>6522377.7599999905</v>
      </c>
      <c r="N400" s="240">
        <f>'WS10 - LTFP'!N410</f>
        <v>7252572.2100000381</v>
      </c>
      <c r="O400" s="240">
        <f>'WS10 - LTFP'!O410</f>
        <v>7716449.0499999523</v>
      </c>
      <c r="P400" s="240">
        <f>'WS10 - LTFP'!P410</f>
        <v>8203908.8799999654</v>
      </c>
      <c r="Q400" s="241">
        <f>'WS10 - LTFP'!Q410</f>
        <v>8916398.3999999762</v>
      </c>
      <c r="R400" s="240">
        <f>'WS10 - LTFP'!R410</f>
        <v>9562301.4800000191</v>
      </c>
      <c r="S400" s="240">
        <f>'WS10 - LTFP'!S410</f>
        <v>10239128.350000024</v>
      </c>
      <c r="T400" s="240">
        <f>'WS10 - LTFP'!T410</f>
        <v>11097733.518599987</v>
      </c>
      <c r="U400" s="239">
        <f>'WS10 - LTFP'!U410</f>
        <v>81656580.648599625</v>
      </c>
      <c r="V400" s="85"/>
      <c r="W400" s="85"/>
      <c r="X400" s="100"/>
      <c r="Y400" s="203"/>
      <c r="Z400" s="31"/>
      <c r="AA400" s="3"/>
      <c r="AB400" s="3"/>
      <c r="AC400" s="3"/>
      <c r="AD400" s="3"/>
      <c r="AE400" s="3"/>
    </row>
    <row r="401" spans="2:31" x14ac:dyDescent="0.2">
      <c r="B401" s="218" t="str">
        <f>'WS10 - LTFP'!B425</f>
        <v>Total expenses continuing operations</v>
      </c>
      <c r="C401" s="3"/>
      <c r="D401" s="207" t="str">
        <f>'WS10 - LTFP'!D425</f>
        <v>$ nominal</v>
      </c>
      <c r="E401" s="54"/>
      <c r="F401" s="3"/>
      <c r="G401" s="3"/>
      <c r="H401" s="3"/>
      <c r="I401" s="31"/>
      <c r="J401" s="239">
        <f>'WS10 - LTFP'!J425</f>
        <v>0</v>
      </c>
      <c r="K401" s="240">
        <f>'WS10 - LTFP'!K425</f>
        <v>982040</v>
      </c>
      <c r="L401" s="240">
        <f>'WS10 - LTFP'!L425</f>
        <v>2397801.1999999881</v>
      </c>
      <c r="M401" s="240">
        <f>'WS10 - LTFP'!M425</f>
        <v>3003735.2300000191</v>
      </c>
      <c r="N401" s="240">
        <f>'WS10 - LTFP'!N425</f>
        <v>3093847.2900000215</v>
      </c>
      <c r="O401" s="240">
        <f>'WS10 - LTFP'!O425</f>
        <v>3186662.6999999881</v>
      </c>
      <c r="P401" s="240">
        <f>'WS10 - LTFP'!P425</f>
        <v>3282262.5799999535</v>
      </c>
      <c r="Q401" s="241">
        <f>'WS10 - LTFP'!Q425</f>
        <v>3380730.4599999785</v>
      </c>
      <c r="R401" s="240">
        <f>'WS10 - LTFP'!R425</f>
        <v>3482152.3699999452</v>
      </c>
      <c r="S401" s="240">
        <f>'WS10 - LTFP'!S425</f>
        <v>3586616.9499999583</v>
      </c>
      <c r="T401" s="240">
        <f>'WS10 - LTFP'!T425</f>
        <v>3642715.4584999382</v>
      </c>
      <c r="U401" s="239">
        <f>'WS10 - LTFP'!U425</f>
        <v>30038564.23849988</v>
      </c>
      <c r="V401" s="85"/>
      <c r="W401" s="85"/>
      <c r="X401" s="100"/>
      <c r="Y401" s="203"/>
      <c r="Z401" s="31"/>
      <c r="AA401" s="3"/>
      <c r="AB401" s="3"/>
      <c r="AC401" s="3"/>
      <c r="AD401" s="3"/>
      <c r="AE401" s="3"/>
    </row>
    <row r="402" spans="2:31" x14ac:dyDescent="0.2">
      <c r="B402" s="245" t="str">
        <f>'WS10 - LTFP'!B429</f>
        <v>Operating result from continuing operations</v>
      </c>
      <c r="C402" s="3"/>
      <c r="D402" s="207" t="str">
        <f>'WS10 - LTFP'!D429</f>
        <v>$ nominal</v>
      </c>
      <c r="E402" s="54"/>
      <c r="F402" s="3"/>
      <c r="G402" s="3"/>
      <c r="H402" s="3"/>
      <c r="I402" s="31"/>
      <c r="J402" s="239">
        <f>'WS10 - LTFP'!J429</f>
        <v>0</v>
      </c>
      <c r="K402" s="240">
        <f>'WS10 - LTFP'!K429</f>
        <v>4871913</v>
      </c>
      <c r="L402" s="240">
        <f>'WS10 - LTFP'!L429</f>
        <v>3893956.7999999821</v>
      </c>
      <c r="M402" s="240">
        <f>'WS10 - LTFP'!M429</f>
        <v>3518642.5299999714</v>
      </c>
      <c r="N402" s="240">
        <f>'WS10 - LTFP'!N429</f>
        <v>4158724.9200000167</v>
      </c>
      <c r="O402" s="240">
        <f>'WS10 - LTFP'!O429</f>
        <v>4529786.3499999642</v>
      </c>
      <c r="P402" s="240">
        <f>'WS10 - LTFP'!P429</f>
        <v>4921646.3000000119</v>
      </c>
      <c r="Q402" s="241">
        <f>'WS10 - LTFP'!Q429</f>
        <v>5535667.9399999976</v>
      </c>
      <c r="R402" s="240">
        <f>'WS10 - LTFP'!R429</f>
        <v>6080149.1100000739</v>
      </c>
      <c r="S402" s="240">
        <f>'WS10 - LTFP'!S429</f>
        <v>6652511.4000000656</v>
      </c>
      <c r="T402" s="240">
        <f>'WS10 - LTFP'!T429</f>
        <v>7455018.0601000488</v>
      </c>
      <c r="U402" s="239">
        <f>'WS10 - LTFP'!U429</f>
        <v>51618016.410100132</v>
      </c>
      <c r="V402" s="85"/>
      <c r="W402" s="85"/>
      <c r="X402" s="100"/>
      <c r="Y402" s="203"/>
      <c r="Z402" s="31"/>
      <c r="AA402" s="3"/>
      <c r="AB402" s="3"/>
      <c r="AC402" s="3"/>
      <c r="AD402" s="3"/>
      <c r="AE402" s="3"/>
    </row>
    <row r="403" spans="2:31" ht="24" x14ac:dyDescent="0.2">
      <c r="B403" s="514" t="str">
        <f>'WS10 - LTFP'!B431</f>
        <v>Net operating result before capital grants &amp; contributions, gains/losses on asset disposals, gains/losses on joint ventures and fair value adjustments</v>
      </c>
      <c r="C403" s="3"/>
      <c r="D403" s="207" t="str">
        <f>'WS10 - LTFP'!D431</f>
        <v>$ nominal</v>
      </c>
      <c r="E403" s="54"/>
      <c r="F403" s="3"/>
      <c r="G403" s="3"/>
      <c r="H403" s="3"/>
      <c r="I403" s="31"/>
      <c r="J403" s="249">
        <f>'WS10 - LTFP'!J431</f>
        <v>0</v>
      </c>
      <c r="K403" s="515">
        <f>'WS10 - LTFP'!K431</f>
        <v>4871913</v>
      </c>
      <c r="L403" s="515">
        <f>'WS10 - LTFP'!L431</f>
        <v>3893956.7999999821</v>
      </c>
      <c r="M403" s="515">
        <f>'WS10 - LTFP'!M431</f>
        <v>3518642.5299999714</v>
      </c>
      <c r="N403" s="515">
        <f>'WS10 - LTFP'!N431</f>
        <v>4158724.9200000167</v>
      </c>
      <c r="O403" s="515">
        <f>'WS10 - LTFP'!O431</f>
        <v>4529786.3499999642</v>
      </c>
      <c r="P403" s="515">
        <f>'WS10 - LTFP'!P431</f>
        <v>4921646.3000000119</v>
      </c>
      <c r="Q403" s="565">
        <f>'WS10 - LTFP'!Q431</f>
        <v>5535667.9399999976</v>
      </c>
      <c r="R403" s="515">
        <f>'WS10 - LTFP'!R431</f>
        <v>6080149.1100000739</v>
      </c>
      <c r="S403" s="515">
        <f>'WS10 - LTFP'!S431</f>
        <v>6652511.4000000656</v>
      </c>
      <c r="T403" s="515">
        <f>'WS10 - LTFP'!T431</f>
        <v>7455018.0601000488</v>
      </c>
      <c r="U403" s="249">
        <f>'WS10 - LTFP'!U431</f>
        <v>51618016.410100132</v>
      </c>
      <c r="V403" s="85"/>
      <c r="W403" s="85"/>
      <c r="X403" s="100"/>
      <c r="Y403" s="203"/>
      <c r="Z403" s="31"/>
      <c r="AA403" s="3"/>
      <c r="AB403" s="3"/>
      <c r="AC403" s="3"/>
      <c r="AD403" s="3"/>
      <c r="AE403" s="3"/>
    </row>
    <row r="404" spans="2:31" x14ac:dyDescent="0.2">
      <c r="B404" s="202" t="s">
        <v>77</v>
      </c>
      <c r="C404" s="3"/>
      <c r="D404" s="3"/>
      <c r="E404" s="54"/>
      <c r="F404" s="3"/>
      <c r="G404" s="3"/>
      <c r="H404" s="3"/>
      <c r="I404" s="31"/>
      <c r="J404" s="243">
        <f t="shared" ref="J404:U404" si="20">J355-J374-J399</f>
        <v>0</v>
      </c>
      <c r="K404" s="243">
        <f t="shared" si="20"/>
        <v>0</v>
      </c>
      <c r="L404" s="243">
        <f t="shared" si="20"/>
        <v>0</v>
      </c>
      <c r="M404" s="243">
        <f t="shared" si="20"/>
        <v>0</v>
      </c>
      <c r="N404" s="243">
        <f t="shared" si="20"/>
        <v>0</v>
      </c>
      <c r="O404" s="243">
        <f t="shared" si="20"/>
        <v>0</v>
      </c>
      <c r="P404" s="243">
        <f t="shared" si="20"/>
        <v>0</v>
      </c>
      <c r="Q404" s="246">
        <f t="shared" si="20"/>
        <v>0</v>
      </c>
      <c r="R404" s="243">
        <f t="shared" si="20"/>
        <v>0</v>
      </c>
      <c r="S404" s="243">
        <f t="shared" si="20"/>
        <v>0</v>
      </c>
      <c r="T404" s="243">
        <f t="shared" si="20"/>
        <v>0</v>
      </c>
      <c r="U404" s="513">
        <f t="shared" si="20"/>
        <v>0</v>
      </c>
      <c r="V404" s="203"/>
      <c r="W404" s="203"/>
      <c r="X404" s="205"/>
      <c r="Y404" s="3"/>
      <c r="Z404" s="31"/>
      <c r="AA404" s="3"/>
      <c r="AB404" s="3"/>
      <c r="AC404" s="3"/>
      <c r="AD404" s="3"/>
      <c r="AE404" s="3"/>
    </row>
    <row r="405" spans="2:31" x14ac:dyDescent="0.2">
      <c r="B405" s="202" t="s">
        <v>77</v>
      </c>
      <c r="C405" s="3"/>
      <c r="D405" s="3"/>
      <c r="E405" s="54"/>
      <c r="F405" s="3"/>
      <c r="G405" s="3"/>
      <c r="H405" s="3"/>
      <c r="I405" s="31"/>
      <c r="J405" s="243">
        <f t="shared" ref="J405:U405" si="21">J362-J381-J403</f>
        <v>0</v>
      </c>
      <c r="K405" s="243">
        <f t="shared" si="21"/>
        <v>0</v>
      </c>
      <c r="L405" s="243">
        <f t="shared" si="21"/>
        <v>0</v>
      </c>
      <c r="M405" s="243">
        <f t="shared" si="21"/>
        <v>0</v>
      </c>
      <c r="N405" s="243">
        <f t="shared" si="21"/>
        <v>0</v>
      </c>
      <c r="O405" s="243">
        <f t="shared" si="21"/>
        <v>0</v>
      </c>
      <c r="P405" s="243">
        <f t="shared" si="21"/>
        <v>0</v>
      </c>
      <c r="Q405" s="246">
        <f t="shared" si="21"/>
        <v>0</v>
      </c>
      <c r="R405" s="243">
        <f t="shared" si="21"/>
        <v>0</v>
      </c>
      <c r="S405" s="243">
        <f t="shared" si="21"/>
        <v>0</v>
      </c>
      <c r="T405" s="243">
        <f t="shared" si="21"/>
        <v>0</v>
      </c>
      <c r="U405" s="513">
        <f t="shared" si="21"/>
        <v>0</v>
      </c>
      <c r="V405" s="203"/>
      <c r="W405" s="203"/>
      <c r="X405" s="205"/>
      <c r="Y405" s="3"/>
      <c r="Z405" s="31"/>
      <c r="AA405" s="3"/>
      <c r="AB405" s="3"/>
      <c r="AC405" s="3"/>
      <c r="AD405" s="3"/>
      <c r="AE405" s="3"/>
    </row>
    <row r="406" spans="2:31" x14ac:dyDescent="0.2">
      <c r="B406" s="32"/>
      <c r="C406" s="30"/>
      <c r="D406" s="30"/>
      <c r="E406" s="32"/>
      <c r="F406" s="30"/>
      <c r="G406" s="30"/>
      <c r="H406" s="30"/>
      <c r="I406" s="33"/>
      <c r="J406" s="552"/>
      <c r="K406" s="333"/>
      <c r="L406" s="333"/>
      <c r="M406" s="333"/>
      <c r="N406" s="333"/>
      <c r="O406" s="333"/>
      <c r="P406" s="333"/>
      <c r="Q406" s="364"/>
      <c r="R406" s="333"/>
      <c r="S406" s="333"/>
      <c r="T406" s="364"/>
      <c r="U406" s="552"/>
      <c r="V406" s="333"/>
      <c r="W406" s="333"/>
      <c r="X406" s="33"/>
      <c r="Y406" s="30"/>
      <c r="Z406" s="33"/>
      <c r="AA406" s="3"/>
      <c r="AB406" s="3"/>
      <c r="AC406" s="3"/>
      <c r="AD406" s="3"/>
      <c r="AE406" s="3"/>
    </row>
    <row r="407" spans="2:31" x14ac:dyDescent="0.2">
      <c r="B407" s="282"/>
      <c r="C407" s="282"/>
      <c r="D407" s="282"/>
      <c r="E407" s="282"/>
      <c r="F407" s="282"/>
      <c r="G407" s="358"/>
      <c r="H407" s="358"/>
      <c r="I407" s="358"/>
      <c r="J407" s="282"/>
      <c r="K407" s="282"/>
      <c r="L407" s="282"/>
      <c r="M407" s="282"/>
      <c r="N407" s="282"/>
      <c r="O407" s="282"/>
      <c r="P407" s="282"/>
      <c r="Q407" s="282"/>
      <c r="R407" s="282"/>
      <c r="S407" s="282"/>
      <c r="T407" s="282"/>
      <c r="U407" s="282"/>
      <c r="V407" s="282"/>
      <c r="W407" s="282"/>
      <c r="X407" s="282"/>
      <c r="Y407" s="282"/>
      <c r="Z407" s="282"/>
      <c r="AA407" s="3"/>
      <c r="AB407" s="3"/>
      <c r="AC407" s="3"/>
      <c r="AD407" s="3"/>
      <c r="AE407" s="3"/>
    </row>
    <row r="408" spans="2:31" x14ac:dyDescent="0.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2:31" x14ac:dyDescent="0.2">
      <c r="B409" s="312" t="str">
        <f>B51</f>
        <v>Year number</v>
      </c>
      <c r="C409" s="282"/>
      <c r="D409" s="282"/>
      <c r="E409" s="312"/>
      <c r="F409" s="282"/>
      <c r="G409" s="282"/>
      <c r="H409" s="282"/>
      <c r="I409" s="348"/>
      <c r="J409" s="282" t="str">
        <f t="shared" ref="J409:Q409" si="22">J51</f>
        <v>Year 0</v>
      </c>
      <c r="K409" s="282" t="str">
        <f t="shared" si="22"/>
        <v>Year 1</v>
      </c>
      <c r="L409" s="282" t="str">
        <f t="shared" si="22"/>
        <v>Year 2</v>
      </c>
      <c r="M409" s="282" t="str">
        <f t="shared" si="22"/>
        <v>Year 3</v>
      </c>
      <c r="N409" s="282" t="str">
        <f t="shared" si="22"/>
        <v>Year 4</v>
      </c>
      <c r="O409" s="282" t="str">
        <f t="shared" si="22"/>
        <v>Year 5</v>
      </c>
      <c r="P409" s="282" t="str">
        <f t="shared" si="22"/>
        <v>Year 6</v>
      </c>
      <c r="Q409" s="282" t="str">
        <f t="shared" si="22"/>
        <v>Year 7</v>
      </c>
      <c r="R409" s="312" t="str">
        <f t="shared" ref="R409:T409" si="23">R51</f>
        <v>Year 8</v>
      </c>
      <c r="S409" s="282" t="str">
        <f t="shared" si="23"/>
        <v>Year 9</v>
      </c>
      <c r="T409" s="348" t="str">
        <f t="shared" si="23"/>
        <v>Year 10</v>
      </c>
      <c r="U409" s="282"/>
      <c r="V409" s="282"/>
      <c r="W409" s="282"/>
      <c r="X409" s="282"/>
      <c r="Y409" s="282"/>
      <c r="Z409" s="348"/>
      <c r="AA409" s="3"/>
      <c r="AB409" s="3"/>
      <c r="AC409" s="3"/>
      <c r="AD409" s="3"/>
      <c r="AE409" s="3"/>
    </row>
    <row r="410" spans="2:31" x14ac:dyDescent="0.2">
      <c r="B410" s="32" t="str">
        <f>B52</f>
        <v>Financial year</v>
      </c>
      <c r="C410" s="30"/>
      <c r="D410" s="30"/>
      <c r="E410" s="32"/>
      <c r="F410" s="30"/>
      <c r="G410" s="30"/>
      <c r="H410" s="30"/>
      <c r="I410" s="33"/>
      <c r="J410" s="30" t="str">
        <f t="shared" ref="J410:Q410" si="24">J52</f>
        <v>2023-24</v>
      </c>
      <c r="K410" s="30" t="str">
        <f t="shared" si="24"/>
        <v>2024-25</v>
      </c>
      <c r="L410" s="30" t="str">
        <f t="shared" si="24"/>
        <v>2025-26</v>
      </c>
      <c r="M410" s="30" t="str">
        <f t="shared" si="24"/>
        <v>2026-27</v>
      </c>
      <c r="N410" s="30" t="str">
        <f t="shared" si="24"/>
        <v>2027-28</v>
      </c>
      <c r="O410" s="30" t="str">
        <f t="shared" si="24"/>
        <v>2028-29</v>
      </c>
      <c r="P410" s="30" t="str">
        <f t="shared" si="24"/>
        <v>2029-30</v>
      </c>
      <c r="Q410" s="30" t="str">
        <f t="shared" si="24"/>
        <v>2030-31</v>
      </c>
      <c r="R410" s="32" t="str">
        <f t="shared" ref="R410:T410" si="25">R52</f>
        <v>2031-32</v>
      </c>
      <c r="S410" s="30" t="str">
        <f t="shared" si="25"/>
        <v>2032-33</v>
      </c>
      <c r="T410" s="33" t="str">
        <f t="shared" si="25"/>
        <v>2033-34</v>
      </c>
      <c r="U410" s="30"/>
      <c r="V410" s="30"/>
      <c r="W410" s="30"/>
      <c r="X410" s="30"/>
      <c r="Y410" s="30"/>
      <c r="Z410" s="33"/>
      <c r="AA410" s="3"/>
      <c r="AB410" s="3"/>
      <c r="AC410" s="3"/>
      <c r="AD410" s="3"/>
      <c r="AE410" s="3"/>
    </row>
    <row r="411" spans="2:31" x14ac:dyDescent="0.2">
      <c r="B411" s="284"/>
      <c r="C411" s="3"/>
      <c r="D411" s="3"/>
      <c r="E411" s="54"/>
      <c r="F411" s="3"/>
      <c r="G411" s="3"/>
      <c r="H411" s="3"/>
      <c r="I411" s="31"/>
      <c r="J411" s="3"/>
      <c r="K411" s="3"/>
      <c r="L411" s="3"/>
      <c r="M411" s="3"/>
      <c r="N411" s="3"/>
      <c r="O411" s="3"/>
      <c r="P411" s="3"/>
      <c r="Q411" s="3"/>
      <c r="R411" s="54"/>
      <c r="S411" s="3"/>
      <c r="T411" s="31"/>
      <c r="U411" s="3"/>
      <c r="V411" s="3"/>
      <c r="W411" s="3"/>
      <c r="X411" s="3"/>
      <c r="Y411" s="3"/>
      <c r="Z411" s="31"/>
      <c r="AA411" s="3"/>
      <c r="AB411" s="3"/>
      <c r="AC411" s="3"/>
      <c r="AD411" s="3"/>
      <c r="AE411" s="3"/>
    </row>
    <row r="412" spans="2:31" x14ac:dyDescent="0.2">
      <c r="B412" s="97" t="str">
        <f>'WS10 - LTFP'!B142&amp;" : PROPOSED"</f>
        <v>Cash, Cash Equivalents &amp; Investment - end of year : PROPOSED</v>
      </c>
      <c r="C412" s="3"/>
      <c r="D412" s="3"/>
      <c r="E412" s="54"/>
      <c r="F412" s="3"/>
      <c r="G412" s="3"/>
      <c r="H412" s="3"/>
      <c r="I412" s="31"/>
      <c r="J412" s="3"/>
      <c r="K412" s="3"/>
      <c r="L412" s="3"/>
      <c r="M412" s="3"/>
      <c r="N412" s="3"/>
      <c r="O412" s="3"/>
      <c r="P412" s="3"/>
      <c r="Q412" s="3"/>
      <c r="R412" s="54"/>
      <c r="S412" s="3"/>
      <c r="T412" s="31"/>
      <c r="U412" s="3"/>
      <c r="V412" s="3"/>
      <c r="W412" s="3"/>
      <c r="X412" s="3"/>
      <c r="Y412" s="3"/>
      <c r="Z412" s="31"/>
      <c r="AA412" s="3"/>
      <c r="AB412" s="3"/>
      <c r="AC412" s="3"/>
      <c r="AD412" s="3"/>
      <c r="AE412" s="3"/>
    </row>
    <row r="413" spans="2:31" x14ac:dyDescent="0.2">
      <c r="B413" s="94" t="str">
        <f>'WS10 - LTFP'!B143</f>
        <v>Representing</v>
      </c>
      <c r="C413" s="3"/>
      <c r="D413" s="3"/>
      <c r="E413" s="54"/>
      <c r="F413" s="3"/>
      <c r="G413" s="3"/>
      <c r="H413" s="3"/>
      <c r="I413" s="31"/>
      <c r="J413" s="3"/>
      <c r="K413" s="3"/>
      <c r="L413" s="3"/>
      <c r="M413" s="3"/>
      <c r="N413" s="3"/>
      <c r="O413" s="3"/>
      <c r="P413" s="3"/>
      <c r="Q413" s="3"/>
      <c r="R413" s="54"/>
      <c r="S413" s="3"/>
      <c r="T413" s="31"/>
      <c r="U413" s="3"/>
      <c r="V413" s="3"/>
      <c r="W413" s="3"/>
      <c r="X413" s="3"/>
      <c r="Y413" s="3"/>
      <c r="Z413" s="31"/>
      <c r="AA413" s="3"/>
      <c r="AB413" s="3"/>
      <c r="AC413" s="3"/>
      <c r="AD413" s="3"/>
      <c r="AE413" s="3"/>
    </row>
    <row r="414" spans="2:31" x14ac:dyDescent="0.2">
      <c r="B414" s="1482" t="str">
        <f>'WS10 - LTFP'!B144</f>
        <v xml:space="preserve"> - External Restrictions</v>
      </c>
      <c r="C414" s="3"/>
      <c r="D414" s="3"/>
      <c r="E414" s="54"/>
      <c r="F414" s="3"/>
      <c r="G414" s="3"/>
      <c r="H414" s="3"/>
      <c r="I414" s="31"/>
      <c r="J414" s="3"/>
      <c r="K414" s="3"/>
      <c r="L414" s="3"/>
      <c r="M414" s="3"/>
      <c r="N414" s="3"/>
      <c r="O414" s="3"/>
      <c r="P414" s="3"/>
      <c r="Q414" s="3"/>
      <c r="R414" s="54"/>
      <c r="S414" s="3"/>
      <c r="T414" s="31"/>
      <c r="U414" s="3"/>
      <c r="V414" s="3"/>
      <c r="W414" s="3"/>
      <c r="X414" s="3"/>
      <c r="Y414" s="3"/>
      <c r="Z414" s="31"/>
      <c r="AA414" s="3"/>
      <c r="AB414" s="3"/>
      <c r="AC414" s="3"/>
      <c r="AD414" s="3"/>
      <c r="AE414" s="3"/>
    </row>
    <row r="415" spans="2:31" x14ac:dyDescent="0.2">
      <c r="B415" s="94" t="str">
        <f>'WS10 - LTFP'!B145</f>
        <v>Developer Contributions</v>
      </c>
      <c r="C415" s="3"/>
      <c r="D415" s="3"/>
      <c r="E415" s="54"/>
      <c r="F415" s="3"/>
      <c r="G415" s="3"/>
      <c r="H415" s="3"/>
      <c r="I415" s="31"/>
      <c r="J415" s="3">
        <f>'WS10 - LTFP'!J145</f>
        <v>54885216</v>
      </c>
      <c r="K415" s="3">
        <f>'WS10 - LTFP'!K145</f>
        <v>50224225</v>
      </c>
      <c r="L415" s="3">
        <f>'WS10 - LTFP'!L145</f>
        <v>49237943</v>
      </c>
      <c r="M415" s="3">
        <f>'WS10 - LTFP'!M145</f>
        <v>26198567</v>
      </c>
      <c r="N415" s="3">
        <f>'WS10 - LTFP'!N145</f>
        <v>29752132</v>
      </c>
      <c r="O415" s="3">
        <f>'WS10 - LTFP'!O145</f>
        <v>33211521</v>
      </c>
      <c r="P415" s="3">
        <f>'WS10 - LTFP'!P145</f>
        <v>37032544</v>
      </c>
      <c r="Q415" s="3">
        <f>'WS10 - LTFP'!Q145</f>
        <v>38092478</v>
      </c>
      <c r="R415" s="54">
        <f>'WS10 - LTFP'!R145</f>
        <v>38940932</v>
      </c>
      <c r="S415" s="3">
        <f>'WS10 - LTFP'!S145</f>
        <v>40694200</v>
      </c>
      <c r="T415" s="31">
        <f>'WS10 - LTFP'!T145</f>
        <v>0</v>
      </c>
      <c r="U415" s="3"/>
      <c r="V415" s="3"/>
      <c r="W415" s="3"/>
      <c r="X415" s="3"/>
      <c r="Y415" s="3"/>
      <c r="Z415" s="31"/>
      <c r="AA415" s="3"/>
      <c r="AB415" s="3"/>
      <c r="AC415" s="3"/>
      <c r="AD415" s="3"/>
      <c r="AE415" s="3"/>
    </row>
    <row r="416" spans="2:31" x14ac:dyDescent="0.2">
      <c r="B416" s="94" t="str">
        <f>'WS10 - LTFP'!B146</f>
        <v>Domestic Waste Management</v>
      </c>
      <c r="C416" s="3"/>
      <c r="D416" s="3"/>
      <c r="E416" s="54"/>
      <c r="F416" s="3"/>
      <c r="G416" s="3"/>
      <c r="H416" s="3"/>
      <c r="I416" s="31"/>
      <c r="J416" s="3">
        <f>'WS10 - LTFP'!J146</f>
        <v>13110044.869999999</v>
      </c>
      <c r="K416" s="3">
        <f>'WS10 - LTFP'!K146</f>
        <v>14188221</v>
      </c>
      <c r="L416" s="3">
        <f>'WS10 - LTFP'!L146</f>
        <v>15266396</v>
      </c>
      <c r="M416" s="3">
        <f>'WS10 - LTFP'!M146</f>
        <v>16344572.869999999</v>
      </c>
      <c r="N416" s="3">
        <f>'WS10 - LTFP'!N146</f>
        <v>8422748.8699999992</v>
      </c>
      <c r="O416" s="3">
        <f>'WS10 - LTFP'!O146</f>
        <v>500924.86999999918</v>
      </c>
      <c r="P416" s="3">
        <f>'WS10 - LTFP'!P146</f>
        <v>1579100.8699999992</v>
      </c>
      <c r="Q416" s="3">
        <f>'WS10 - LTFP'!Q146</f>
        <v>2657276.8699999992</v>
      </c>
      <c r="R416" s="54">
        <f>'WS10 - LTFP'!R146</f>
        <v>3735452.8699999992</v>
      </c>
      <c r="S416" s="3">
        <f>'WS10 - LTFP'!S146</f>
        <v>4813628.8699999992</v>
      </c>
      <c r="T416" s="31">
        <f>'WS10 - LTFP'!T146</f>
        <v>0</v>
      </c>
      <c r="U416" s="3"/>
      <c r="V416" s="3"/>
      <c r="W416" s="3"/>
      <c r="X416" s="3"/>
      <c r="Y416" s="3"/>
      <c r="Z416" s="31"/>
      <c r="AA416" s="3"/>
      <c r="AB416" s="3"/>
      <c r="AC416" s="3"/>
      <c r="AD416" s="3"/>
      <c r="AE416" s="3"/>
    </row>
    <row r="417" spans="2:31" x14ac:dyDescent="0.2">
      <c r="B417" s="94" t="str">
        <f>'WS10 - LTFP'!B147</f>
        <v>Affordable Housing</v>
      </c>
      <c r="C417" s="3"/>
      <c r="D417" s="3"/>
      <c r="E417" s="54"/>
      <c r="F417" s="3"/>
      <c r="G417" s="3"/>
      <c r="H417" s="3"/>
      <c r="I417" s="31"/>
      <c r="J417" s="3">
        <f>'WS10 - LTFP'!J147</f>
        <v>16490185.939999999</v>
      </c>
      <c r="K417" s="3">
        <f>'WS10 - LTFP'!K147</f>
        <v>15149841</v>
      </c>
      <c r="L417" s="3">
        <f>'WS10 - LTFP'!L147</f>
        <v>11330939</v>
      </c>
      <c r="M417" s="3">
        <f>'WS10 - LTFP'!M147</f>
        <v>12534123.4</v>
      </c>
      <c r="N417" s="3">
        <f>'WS10 - LTFP'!N147</f>
        <v>13760055.880000001</v>
      </c>
      <c r="O417" s="3">
        <f>'WS10 - LTFP'!O147</f>
        <v>15009419.310000001</v>
      </c>
      <c r="P417" s="3">
        <f>'WS10 - LTFP'!P147</f>
        <v>16282916.620000001</v>
      </c>
      <c r="Q417" s="3">
        <f>'WS10 - LTFP'!Q147</f>
        <v>17581271.810000002</v>
      </c>
      <c r="R417" s="54">
        <f>'WS10 - LTFP'!R147</f>
        <v>18905230.640000001</v>
      </c>
      <c r="S417" s="3">
        <f>'WS10 - LTFP'!S147</f>
        <v>20255561.190000001</v>
      </c>
      <c r="T417" s="31">
        <f>'WS10 - LTFP'!T147</f>
        <v>0</v>
      </c>
      <c r="U417" s="3"/>
      <c r="V417" s="3"/>
      <c r="W417" s="3"/>
      <c r="X417" s="3"/>
      <c r="Y417" s="3"/>
      <c r="Z417" s="31"/>
      <c r="AA417" s="3"/>
      <c r="AB417" s="3"/>
      <c r="AC417" s="3"/>
      <c r="AD417" s="3"/>
      <c r="AE417" s="3"/>
    </row>
    <row r="418" spans="2:31" x14ac:dyDescent="0.2">
      <c r="B418" s="94" t="str">
        <f>'WS10 - LTFP'!B148</f>
        <v>Other Externally Restricted Reserves</v>
      </c>
      <c r="C418" s="3"/>
      <c r="D418" s="3"/>
      <c r="E418" s="54"/>
      <c r="F418" s="3"/>
      <c r="G418" s="3"/>
      <c r="H418" s="3"/>
      <c r="I418" s="31"/>
      <c r="J418" s="3">
        <f>'WS10 - LTFP'!J148</f>
        <v>9023303.0299999993</v>
      </c>
      <c r="K418" s="3">
        <f>'WS10 - LTFP'!K148</f>
        <v>9018079.4000000004</v>
      </c>
      <c r="L418" s="3">
        <f>'WS10 - LTFP'!L148</f>
        <v>8892815.1776630003</v>
      </c>
      <c r="M418" s="3">
        <f>'WS10 - LTFP'!M148</f>
        <v>8886307.4441477694</v>
      </c>
      <c r="N418" s="3">
        <f>'WS10 - LTFP'!N148</f>
        <v>8879138.7763739247</v>
      </c>
      <c r="O418" s="3">
        <f>'WS10 - LTFP'!O148</f>
        <v>8871295.7152446043</v>
      </c>
      <c r="P418" s="3">
        <f>'WS10 - LTFP'!P148</f>
        <v>8303708.3969790386</v>
      </c>
      <c r="Q418" s="3">
        <f>'WS10 - LTFP'!Q148</f>
        <v>8294475.815780092</v>
      </c>
      <c r="R418" s="54">
        <f>'WS10 - LTFP'!R148</f>
        <v>8284527.5629571676</v>
      </c>
      <c r="S418" s="3">
        <f>'WS10 - LTFP'!S148</f>
        <v>8273484.3325495543</v>
      </c>
      <c r="T418" s="31">
        <f>'WS10 - LTFP'!T148</f>
        <v>0</v>
      </c>
      <c r="U418" s="3"/>
      <c r="V418" s="3"/>
      <c r="W418" s="3"/>
      <c r="X418" s="3"/>
      <c r="Y418" s="3"/>
      <c r="Z418" s="31"/>
      <c r="AA418" s="3"/>
      <c r="AB418" s="3"/>
      <c r="AC418" s="3"/>
      <c r="AD418" s="3"/>
      <c r="AE418" s="3"/>
    </row>
    <row r="419" spans="2:31" x14ac:dyDescent="0.2">
      <c r="B419" s="94" t="str">
        <f>'WS10 - LTFP'!B149</f>
        <v>&lt;include additional items here&gt;</v>
      </c>
      <c r="C419" s="3"/>
      <c r="D419" s="3"/>
      <c r="E419" s="54"/>
      <c r="F419" s="3"/>
      <c r="G419" s="3"/>
      <c r="H419" s="3"/>
      <c r="I419" s="31"/>
      <c r="J419" s="3">
        <f>'WS10 - LTFP'!J149</f>
        <v>0</v>
      </c>
      <c r="K419" s="3">
        <f>'WS10 - LTFP'!K149</f>
        <v>0</v>
      </c>
      <c r="L419" s="3">
        <f>'WS10 - LTFP'!L149</f>
        <v>0</v>
      </c>
      <c r="M419" s="3">
        <f>'WS10 - LTFP'!M149</f>
        <v>0</v>
      </c>
      <c r="N419" s="3">
        <f>'WS10 - LTFP'!N149</f>
        <v>0</v>
      </c>
      <c r="O419" s="3">
        <f>'WS10 - LTFP'!O149</f>
        <v>0</v>
      </c>
      <c r="P419" s="3">
        <f>'WS10 - LTFP'!P149</f>
        <v>0</v>
      </c>
      <c r="Q419" s="3">
        <f>'WS10 - LTFP'!Q149</f>
        <v>0</v>
      </c>
      <c r="R419" s="54">
        <f>'WS10 - LTFP'!R149</f>
        <v>0</v>
      </c>
      <c r="S419" s="3">
        <f>'WS10 - LTFP'!S149</f>
        <v>0</v>
      </c>
      <c r="T419" s="31">
        <f>'WS10 - LTFP'!T149</f>
        <v>0</v>
      </c>
      <c r="U419" s="3"/>
      <c r="V419" s="3"/>
      <c r="W419" s="3"/>
      <c r="X419" s="3"/>
      <c r="Y419" s="3"/>
      <c r="Z419" s="31"/>
      <c r="AA419" s="3"/>
      <c r="AB419" s="3"/>
      <c r="AC419" s="3"/>
      <c r="AD419" s="3"/>
      <c r="AE419" s="3"/>
    </row>
    <row r="420" spans="2:31" x14ac:dyDescent="0.2">
      <c r="B420" s="94" t="str">
        <f>'WS10 - LTFP'!B150</f>
        <v>Total external restriction</v>
      </c>
      <c r="C420" s="3"/>
      <c r="D420" s="3"/>
      <c r="E420" s="54"/>
      <c r="F420" s="3"/>
      <c r="G420" s="3"/>
      <c r="H420" s="3"/>
      <c r="I420" s="31"/>
      <c r="J420" s="3">
        <f>'WS10 - LTFP'!J150</f>
        <v>93508749.840000004</v>
      </c>
      <c r="K420" s="3">
        <f>'WS10 - LTFP'!K150</f>
        <v>88580366.400000006</v>
      </c>
      <c r="L420" s="3">
        <f>'WS10 - LTFP'!L150</f>
        <v>84728093.177662998</v>
      </c>
      <c r="M420" s="3">
        <f>'WS10 - LTFP'!M150</f>
        <v>63963570.714147761</v>
      </c>
      <c r="N420" s="3">
        <f>'WS10 - LTFP'!N150</f>
        <v>60814075.526373923</v>
      </c>
      <c r="O420" s="3">
        <f>'WS10 - LTFP'!O150</f>
        <v>57593160.895244606</v>
      </c>
      <c r="P420" s="3">
        <f>'WS10 - LTFP'!P150</f>
        <v>63198269.886979036</v>
      </c>
      <c r="Q420" s="3">
        <f>'WS10 - LTFP'!Q150</f>
        <v>66625502.495780095</v>
      </c>
      <c r="R420" s="54">
        <f>'WS10 - LTFP'!R150</f>
        <v>69866143.072957158</v>
      </c>
      <c r="S420" s="3">
        <f>'WS10 - LTFP'!S150</f>
        <v>74036874.392549559</v>
      </c>
      <c r="T420" s="31">
        <f>'WS10 - LTFP'!T150</f>
        <v>0</v>
      </c>
      <c r="U420" s="3"/>
      <c r="V420" s="3"/>
      <c r="W420" s="3"/>
      <c r="X420" s="3"/>
      <c r="Y420" s="3"/>
      <c r="Z420" s="31"/>
      <c r="AA420" s="3"/>
      <c r="AB420" s="3"/>
      <c r="AC420" s="3"/>
      <c r="AD420" s="3"/>
      <c r="AE420" s="3"/>
    </row>
    <row r="421" spans="2:31" x14ac:dyDescent="0.2">
      <c r="B421" s="1482" t="str">
        <f>'WS10 - LTFP'!B151</f>
        <v>- Internal Restrictions</v>
      </c>
      <c r="C421" s="3"/>
      <c r="D421" s="3"/>
      <c r="E421" s="54"/>
      <c r="F421" s="3"/>
      <c r="G421" s="3"/>
      <c r="H421" s="3"/>
      <c r="I421" s="31"/>
      <c r="J421" s="3"/>
      <c r="K421" s="3"/>
      <c r="L421" s="3"/>
      <c r="M421" s="3"/>
      <c r="N421" s="3"/>
      <c r="O421" s="3"/>
      <c r="P421" s="3"/>
      <c r="Q421" s="3"/>
      <c r="R421" s="54"/>
      <c r="S421" s="3"/>
      <c r="T421" s="31"/>
      <c r="U421" s="3"/>
      <c r="V421" s="3"/>
      <c r="W421" s="3"/>
      <c r="X421" s="3"/>
      <c r="Y421" s="3"/>
      <c r="Z421" s="31"/>
      <c r="AA421" s="3"/>
      <c r="AB421" s="3"/>
      <c r="AC421" s="3"/>
      <c r="AD421" s="3"/>
      <c r="AE421" s="3"/>
    </row>
    <row r="422" spans="2:31" x14ac:dyDescent="0.2">
      <c r="B422" s="94" t="str">
        <f>'WS10 - LTFP'!B152</f>
        <v>Internal Reserves as assigned by Council</v>
      </c>
      <c r="C422" s="3"/>
      <c r="D422" s="3"/>
      <c r="E422" s="54"/>
      <c r="F422" s="3"/>
      <c r="G422" s="3"/>
      <c r="H422" s="3"/>
      <c r="I422" s="31"/>
      <c r="J422" s="3">
        <f>'WS10 - LTFP'!J152</f>
        <v>36532208.340000004</v>
      </c>
      <c r="K422" s="3">
        <f>'WS10 - LTFP'!K152</f>
        <v>30838612.364570368</v>
      </c>
      <c r="L422" s="3">
        <f>'WS10 - LTFP'!L152</f>
        <v>39627302</v>
      </c>
      <c r="M422" s="3">
        <f>'WS10 - LTFP'!M152</f>
        <v>41136236.785051227</v>
      </c>
      <c r="N422" s="3">
        <f>'WS10 - LTFP'!N152</f>
        <v>48299719.495636046</v>
      </c>
      <c r="O422" s="3">
        <f>'WS10 - LTFP'!O152</f>
        <v>56504607.586300611</v>
      </c>
      <c r="P422" s="3">
        <f>'WS10 - LTFP'!P152</f>
        <v>65726114.294161797</v>
      </c>
      <c r="Q422" s="3">
        <f>'WS10 - LTFP'!Q152</f>
        <v>75620387.601043597</v>
      </c>
      <c r="R422" s="54">
        <f>'WS10 - LTFP'!R152</f>
        <v>87034038.886626542</v>
      </c>
      <c r="S422" s="3">
        <f>'WS10 - LTFP'!S152</f>
        <v>98903578.090720057</v>
      </c>
      <c r="T422" s="31">
        <f>'WS10 - LTFP'!T152</f>
        <v>0</v>
      </c>
      <c r="U422" s="3"/>
      <c r="V422" s="3"/>
      <c r="W422" s="3"/>
      <c r="X422" s="3"/>
      <c r="Y422" s="3"/>
      <c r="Z422" s="31"/>
      <c r="AA422" s="3"/>
      <c r="AB422" s="3"/>
      <c r="AC422" s="3"/>
      <c r="AD422" s="3"/>
      <c r="AE422" s="3"/>
    </row>
    <row r="423" spans="2:31" x14ac:dyDescent="0.2">
      <c r="B423" s="94" t="str">
        <f>'WS10 - LTFP'!B153</f>
        <v>&lt;include additional items here&gt;</v>
      </c>
      <c r="C423" s="3"/>
      <c r="D423" s="3"/>
      <c r="E423" s="54"/>
      <c r="F423" s="3"/>
      <c r="G423" s="3"/>
      <c r="H423" s="3"/>
      <c r="I423" s="31"/>
      <c r="J423" s="3">
        <f>'WS10 - LTFP'!J153</f>
        <v>0</v>
      </c>
      <c r="K423" s="3">
        <f>'WS10 - LTFP'!K153</f>
        <v>0</v>
      </c>
      <c r="L423" s="3">
        <f>'WS10 - LTFP'!L153</f>
        <v>0</v>
      </c>
      <c r="M423" s="3">
        <f>'WS10 - LTFP'!M153</f>
        <v>0</v>
      </c>
      <c r="N423" s="3">
        <f>'WS10 - LTFP'!N153</f>
        <v>0</v>
      </c>
      <c r="O423" s="3">
        <f>'WS10 - LTFP'!O153</f>
        <v>0</v>
      </c>
      <c r="P423" s="3">
        <f>'WS10 - LTFP'!P153</f>
        <v>0</v>
      </c>
      <c r="Q423" s="3">
        <f>'WS10 - LTFP'!Q153</f>
        <v>0</v>
      </c>
      <c r="R423" s="54">
        <f>'WS10 - LTFP'!R153</f>
        <v>0</v>
      </c>
      <c r="S423" s="3">
        <f>'WS10 - LTFP'!S153</f>
        <v>0</v>
      </c>
      <c r="T423" s="31">
        <f>'WS10 - LTFP'!T153</f>
        <v>0</v>
      </c>
      <c r="U423" s="3"/>
      <c r="V423" s="3"/>
      <c r="W423" s="3"/>
      <c r="X423" s="3"/>
      <c r="Y423" s="3"/>
      <c r="Z423" s="31"/>
      <c r="AA423" s="3"/>
      <c r="AB423" s="3"/>
      <c r="AC423" s="3"/>
      <c r="AD423" s="3"/>
      <c r="AE423" s="3"/>
    </row>
    <row r="424" spans="2:31" x14ac:dyDescent="0.2">
      <c r="B424" s="94" t="str">
        <f>'WS10 - LTFP'!B154</f>
        <v>&lt;include additional items here&gt;</v>
      </c>
      <c r="C424" s="3"/>
      <c r="D424" s="3"/>
      <c r="E424" s="54"/>
      <c r="F424" s="3"/>
      <c r="G424" s="3"/>
      <c r="H424" s="3"/>
      <c r="I424" s="31"/>
      <c r="J424" s="3">
        <f>'WS10 - LTFP'!J154</f>
        <v>0</v>
      </c>
      <c r="K424" s="3">
        <f>'WS10 - LTFP'!K154</f>
        <v>0</v>
      </c>
      <c r="L424" s="3">
        <f>'WS10 - LTFP'!L154</f>
        <v>0</v>
      </c>
      <c r="M424" s="3">
        <f>'WS10 - LTFP'!M154</f>
        <v>0</v>
      </c>
      <c r="N424" s="3">
        <f>'WS10 - LTFP'!N154</f>
        <v>0</v>
      </c>
      <c r="O424" s="3">
        <f>'WS10 - LTFP'!O154</f>
        <v>0</v>
      </c>
      <c r="P424" s="3">
        <f>'WS10 - LTFP'!P154</f>
        <v>0</v>
      </c>
      <c r="Q424" s="3">
        <f>'WS10 - LTFP'!Q154</f>
        <v>0</v>
      </c>
      <c r="R424" s="54">
        <f>'WS10 - LTFP'!R154</f>
        <v>0</v>
      </c>
      <c r="S424" s="3">
        <f>'WS10 - LTFP'!S154</f>
        <v>0</v>
      </c>
      <c r="T424" s="31">
        <f>'WS10 - LTFP'!T154</f>
        <v>0</v>
      </c>
      <c r="U424" s="3"/>
      <c r="V424" s="3"/>
      <c r="W424" s="3"/>
      <c r="X424" s="3"/>
      <c r="Y424" s="3"/>
      <c r="Z424" s="31"/>
      <c r="AA424" s="3"/>
      <c r="AB424" s="3"/>
      <c r="AC424" s="3"/>
      <c r="AD424" s="3"/>
      <c r="AE424" s="3"/>
    </row>
    <row r="425" spans="2:31" x14ac:dyDescent="0.2">
      <c r="B425" s="94" t="str">
        <f>'WS10 - LTFP'!B155</f>
        <v>&lt;include additional items here&gt;</v>
      </c>
      <c r="C425" s="3"/>
      <c r="D425" s="3"/>
      <c r="E425" s="54"/>
      <c r="F425" s="3"/>
      <c r="G425" s="3"/>
      <c r="H425" s="3"/>
      <c r="I425" s="31"/>
      <c r="J425" s="3">
        <f>'WS10 - LTFP'!J155</f>
        <v>0</v>
      </c>
      <c r="K425" s="3">
        <f>'WS10 - LTFP'!K155</f>
        <v>0</v>
      </c>
      <c r="L425" s="3">
        <f>'WS10 - LTFP'!L155</f>
        <v>0</v>
      </c>
      <c r="M425" s="3">
        <f>'WS10 - LTFP'!M155</f>
        <v>0</v>
      </c>
      <c r="N425" s="3">
        <f>'WS10 - LTFP'!N155</f>
        <v>0</v>
      </c>
      <c r="O425" s="3">
        <f>'WS10 - LTFP'!O155</f>
        <v>0</v>
      </c>
      <c r="P425" s="3">
        <f>'WS10 - LTFP'!P155</f>
        <v>0</v>
      </c>
      <c r="Q425" s="3">
        <f>'WS10 - LTFP'!Q155</f>
        <v>0</v>
      </c>
      <c r="R425" s="54">
        <f>'WS10 - LTFP'!R155</f>
        <v>0</v>
      </c>
      <c r="S425" s="3">
        <f>'WS10 - LTFP'!S155</f>
        <v>0</v>
      </c>
      <c r="T425" s="31">
        <f>'WS10 - LTFP'!T155</f>
        <v>0</v>
      </c>
      <c r="U425" s="3"/>
      <c r="V425" s="3"/>
      <c r="W425" s="3"/>
      <c r="X425" s="3"/>
      <c r="Y425" s="3"/>
      <c r="Z425" s="31"/>
      <c r="AA425" s="3"/>
      <c r="AB425" s="3"/>
      <c r="AC425" s="3"/>
      <c r="AD425" s="3"/>
      <c r="AE425" s="3"/>
    </row>
    <row r="426" spans="2:31" x14ac:dyDescent="0.2">
      <c r="B426" s="94" t="str">
        <f>'WS10 - LTFP'!B156</f>
        <v>&lt;include additional items here&gt;</v>
      </c>
      <c r="C426" s="3"/>
      <c r="D426" s="3"/>
      <c r="E426" s="54"/>
      <c r="F426" s="3"/>
      <c r="G426" s="3"/>
      <c r="H426" s="3"/>
      <c r="I426" s="31"/>
      <c r="J426" s="3">
        <f>'WS10 - LTFP'!J156</f>
        <v>0</v>
      </c>
      <c r="K426" s="3">
        <f>'WS10 - LTFP'!K156</f>
        <v>0</v>
      </c>
      <c r="L426" s="3">
        <f>'WS10 - LTFP'!L156</f>
        <v>0</v>
      </c>
      <c r="M426" s="3">
        <f>'WS10 - LTFP'!M156</f>
        <v>0</v>
      </c>
      <c r="N426" s="3">
        <f>'WS10 - LTFP'!N156</f>
        <v>0</v>
      </c>
      <c r="O426" s="3">
        <f>'WS10 - LTFP'!O156</f>
        <v>0</v>
      </c>
      <c r="P426" s="3">
        <f>'WS10 - LTFP'!P156</f>
        <v>0</v>
      </c>
      <c r="Q426" s="3">
        <f>'WS10 - LTFP'!Q156</f>
        <v>0</v>
      </c>
      <c r="R426" s="54">
        <f>'WS10 - LTFP'!R156</f>
        <v>0</v>
      </c>
      <c r="S426" s="3">
        <f>'WS10 - LTFP'!S156</f>
        <v>0</v>
      </c>
      <c r="T426" s="31">
        <f>'WS10 - LTFP'!T156</f>
        <v>0</v>
      </c>
      <c r="U426" s="3"/>
      <c r="V426" s="3"/>
      <c r="W426" s="3"/>
      <c r="X426" s="3"/>
      <c r="Y426" s="3"/>
      <c r="Z426" s="31"/>
      <c r="AA426" s="3"/>
      <c r="AB426" s="3"/>
      <c r="AC426" s="3"/>
      <c r="AD426" s="3"/>
      <c r="AE426" s="3"/>
    </row>
    <row r="427" spans="2:31" x14ac:dyDescent="0.2">
      <c r="B427" s="94" t="str">
        <f>'WS10 - LTFP'!B157</f>
        <v>&lt;include additional items here&gt;</v>
      </c>
      <c r="C427" s="3"/>
      <c r="D427" s="3"/>
      <c r="E427" s="54"/>
      <c r="F427" s="3"/>
      <c r="G427" s="3"/>
      <c r="H427" s="3"/>
      <c r="I427" s="31"/>
      <c r="J427" s="3">
        <f>'WS10 - LTFP'!J157</f>
        <v>0</v>
      </c>
      <c r="K427" s="3">
        <f>'WS10 - LTFP'!K157</f>
        <v>0</v>
      </c>
      <c r="L427" s="3">
        <f>'WS10 - LTFP'!L157</f>
        <v>0</v>
      </c>
      <c r="M427" s="3">
        <f>'WS10 - LTFP'!M157</f>
        <v>0</v>
      </c>
      <c r="N427" s="3">
        <f>'WS10 - LTFP'!N157</f>
        <v>0</v>
      </c>
      <c r="O427" s="3">
        <f>'WS10 - LTFP'!O157</f>
        <v>0</v>
      </c>
      <c r="P427" s="3">
        <f>'WS10 - LTFP'!P157</f>
        <v>0</v>
      </c>
      <c r="Q427" s="3">
        <f>'WS10 - LTFP'!Q157</f>
        <v>0</v>
      </c>
      <c r="R427" s="54">
        <f>'WS10 - LTFP'!R157</f>
        <v>0</v>
      </c>
      <c r="S427" s="3">
        <f>'WS10 - LTFP'!S157</f>
        <v>0</v>
      </c>
      <c r="T427" s="31">
        <f>'WS10 - LTFP'!T157</f>
        <v>0</v>
      </c>
      <c r="U427" s="3"/>
      <c r="V427" s="3"/>
      <c r="W427" s="3"/>
      <c r="X427" s="3"/>
      <c r="Y427" s="3"/>
      <c r="Z427" s="31"/>
      <c r="AA427" s="3"/>
      <c r="AB427" s="3"/>
      <c r="AC427" s="3"/>
      <c r="AD427" s="3"/>
      <c r="AE427" s="3"/>
    </row>
    <row r="428" spans="2:31" x14ac:dyDescent="0.2">
      <c r="B428" s="94" t="str">
        <f>'WS10 - LTFP'!B158</f>
        <v>&lt;include additional items here&gt;</v>
      </c>
      <c r="C428" s="3"/>
      <c r="D428" s="3"/>
      <c r="E428" s="54"/>
      <c r="F428" s="3"/>
      <c r="G428" s="3"/>
      <c r="H428" s="3"/>
      <c r="I428" s="31"/>
      <c r="J428" s="3">
        <f>'WS10 - LTFP'!J158</f>
        <v>0</v>
      </c>
      <c r="K428" s="3">
        <f>'WS10 - LTFP'!K158</f>
        <v>0</v>
      </c>
      <c r="L428" s="3">
        <f>'WS10 - LTFP'!L158</f>
        <v>0</v>
      </c>
      <c r="M428" s="3">
        <f>'WS10 - LTFP'!M158</f>
        <v>0</v>
      </c>
      <c r="N428" s="3">
        <f>'WS10 - LTFP'!N158</f>
        <v>0</v>
      </c>
      <c r="O428" s="3">
        <f>'WS10 - LTFP'!O158</f>
        <v>0</v>
      </c>
      <c r="P428" s="3">
        <f>'WS10 - LTFP'!P158</f>
        <v>0</v>
      </c>
      <c r="Q428" s="3">
        <f>'WS10 - LTFP'!Q158</f>
        <v>0</v>
      </c>
      <c r="R428" s="54">
        <f>'WS10 - LTFP'!R158</f>
        <v>0</v>
      </c>
      <c r="S428" s="3">
        <f>'WS10 - LTFP'!S158</f>
        <v>0</v>
      </c>
      <c r="T428" s="31">
        <f>'WS10 - LTFP'!T158</f>
        <v>0</v>
      </c>
      <c r="U428" s="3"/>
      <c r="V428" s="3"/>
      <c r="W428" s="3"/>
      <c r="X428" s="3"/>
      <c r="Y428" s="3"/>
      <c r="Z428" s="31"/>
      <c r="AA428" s="3"/>
      <c r="AB428" s="3"/>
      <c r="AC428" s="3"/>
      <c r="AD428" s="3"/>
      <c r="AE428" s="3"/>
    </row>
    <row r="429" spans="2:31" x14ac:dyDescent="0.2">
      <c r="B429" s="1482" t="str">
        <f>'WS10 - LTFP'!B159</f>
        <v>Total internal restrictions</v>
      </c>
      <c r="C429" s="3"/>
      <c r="D429" s="3"/>
      <c r="E429" s="54"/>
      <c r="F429" s="3"/>
      <c r="G429" s="3"/>
      <c r="H429" s="3"/>
      <c r="I429" s="31"/>
      <c r="J429" s="3"/>
      <c r="K429" s="3"/>
      <c r="L429" s="3"/>
      <c r="M429" s="3"/>
      <c r="N429" s="3"/>
      <c r="O429" s="3"/>
      <c r="P429" s="3"/>
      <c r="Q429" s="3"/>
      <c r="R429" s="54"/>
      <c r="S429" s="3"/>
      <c r="T429" s="31"/>
      <c r="U429" s="3"/>
      <c r="V429" s="3"/>
      <c r="W429" s="3"/>
      <c r="X429" s="3"/>
      <c r="Y429" s="3"/>
      <c r="Z429" s="31"/>
      <c r="AA429" s="3"/>
      <c r="AB429" s="3"/>
      <c r="AC429" s="3"/>
      <c r="AD429" s="3"/>
      <c r="AE429" s="3"/>
    </row>
    <row r="430" spans="2:31" x14ac:dyDescent="0.2">
      <c r="B430" s="94" t="str">
        <f>'WS10 - LTFP'!B160</f>
        <v>- Unrestricted</v>
      </c>
      <c r="C430" s="3"/>
      <c r="D430" s="3"/>
      <c r="E430" s="54"/>
      <c r="F430" s="3"/>
      <c r="G430" s="3"/>
      <c r="H430" s="3"/>
      <c r="I430" s="31"/>
      <c r="J430" s="85">
        <f>'WS10 - LTFP'!J160</f>
        <v>22998222.998054281</v>
      </c>
      <c r="K430" s="85">
        <f>'WS10 - LTFP'!K160</f>
        <v>28999733.93</v>
      </c>
      <c r="L430" s="85">
        <f>'WS10 - LTFP'!L160</f>
        <v>30199733.822336972</v>
      </c>
      <c r="M430" s="85">
        <f>'WS10 - LTFP'!M160</f>
        <v>31399733.934242304</v>
      </c>
      <c r="N430" s="85">
        <f>'WS10 - LTFP'!N160</f>
        <v>32599733.934242304</v>
      </c>
      <c r="O430" s="85">
        <f>'WS10 - LTFP'!O160</f>
        <v>33799733.934242308</v>
      </c>
      <c r="P430" s="85">
        <f>'WS10 - LTFP'!P160</f>
        <v>34999733.934242308</v>
      </c>
      <c r="Q430" s="85">
        <f>'WS10 - LTFP'!Q160</f>
        <v>36199733.934242308</v>
      </c>
      <c r="R430" s="94">
        <f>'WS10 - LTFP'!R160</f>
        <v>37399733.934242308</v>
      </c>
      <c r="S430" s="85">
        <f>'WS10 - LTFP'!S160</f>
        <v>38599733.934242308</v>
      </c>
      <c r="T430" s="201">
        <f>'WS10 - LTFP'!T160</f>
        <v>0</v>
      </c>
      <c r="U430" s="3"/>
      <c r="V430" s="3"/>
      <c r="W430" s="3"/>
      <c r="X430" s="3"/>
      <c r="Y430" s="3"/>
      <c r="Z430" s="31"/>
      <c r="AA430" s="3"/>
      <c r="AB430" s="3"/>
      <c r="AC430" s="3"/>
      <c r="AD430" s="3"/>
      <c r="AE430" s="3"/>
    </row>
    <row r="431" spans="2:31" x14ac:dyDescent="0.2">
      <c r="B431" s="94" t="str">
        <f>'WS10 - LTFP'!B161</f>
        <v>Total</v>
      </c>
      <c r="C431" s="3"/>
      <c r="D431" s="3"/>
      <c r="E431" s="54"/>
      <c r="F431" s="3"/>
      <c r="G431" s="3"/>
      <c r="H431" s="3"/>
      <c r="I431" s="31"/>
      <c r="J431" s="85">
        <f>'WS10 - LTFP'!J161</f>
        <v>153039181.17805427</v>
      </c>
      <c r="K431" s="85">
        <f>'WS10 - LTFP'!K161</f>
        <v>148418712.69457036</v>
      </c>
      <c r="L431" s="85">
        <f>'WS10 - LTFP'!L161</f>
        <v>154555128.99999997</v>
      </c>
      <c r="M431" s="85">
        <f>'WS10 - LTFP'!M161</f>
        <v>136499541.43344128</v>
      </c>
      <c r="N431" s="85">
        <f>'WS10 - LTFP'!N161</f>
        <v>141713528.95625228</v>
      </c>
      <c r="O431" s="85">
        <f>'WS10 - LTFP'!O161</f>
        <v>147897502.41578752</v>
      </c>
      <c r="P431" s="85">
        <f>'WS10 - LTFP'!P161</f>
        <v>163924118.11538315</v>
      </c>
      <c r="Q431" s="85">
        <f>'WS10 - LTFP'!Q161</f>
        <v>178445624.031066</v>
      </c>
      <c r="R431" s="94">
        <f>'WS10 - LTFP'!R161</f>
        <v>194299915.89382601</v>
      </c>
      <c r="S431" s="85">
        <f>'WS10 - LTFP'!S161</f>
        <v>211540186.41751194</v>
      </c>
      <c r="T431" s="201">
        <f>'WS10 - LTFP'!T161</f>
        <v>0</v>
      </c>
      <c r="U431" s="3"/>
      <c r="V431" s="3"/>
      <c r="W431" s="3"/>
      <c r="X431" s="3"/>
      <c r="Y431" s="3"/>
      <c r="Z431" s="31"/>
      <c r="AA431" s="3"/>
      <c r="AB431" s="3"/>
      <c r="AC431" s="3"/>
      <c r="AD431" s="3"/>
      <c r="AE431" s="3"/>
    </row>
    <row r="432" spans="2:31" x14ac:dyDescent="0.2">
      <c r="B432" s="94"/>
      <c r="C432" s="3"/>
      <c r="D432" s="3"/>
      <c r="E432" s="54"/>
      <c r="F432" s="3"/>
      <c r="G432" s="3"/>
      <c r="H432" s="3"/>
      <c r="I432" s="31"/>
      <c r="J432" s="3"/>
      <c r="K432" s="3"/>
      <c r="L432" s="3"/>
      <c r="M432" s="3"/>
      <c r="N432" s="3"/>
      <c r="O432" s="3"/>
      <c r="P432" s="3"/>
      <c r="Q432" s="3"/>
      <c r="R432" s="54"/>
      <c r="S432" s="3"/>
      <c r="T432" s="31"/>
      <c r="U432" s="3"/>
      <c r="V432" s="3"/>
      <c r="W432" s="3"/>
      <c r="X432" s="3"/>
      <c r="Y432" s="3"/>
      <c r="Z432" s="31"/>
      <c r="AA432" s="3"/>
      <c r="AB432" s="3"/>
      <c r="AC432" s="3"/>
      <c r="AD432" s="3"/>
      <c r="AE432" s="3"/>
    </row>
    <row r="433" spans="2:31" x14ac:dyDescent="0.2">
      <c r="B433" s="1483" t="str">
        <f>'WS10 - LTFP'!B288&amp;": BASE"</f>
        <v>Cash, Cash Equivalents &amp; Investment - end of year: BASE</v>
      </c>
      <c r="C433" s="3"/>
      <c r="D433" s="3"/>
      <c r="E433" s="54"/>
      <c r="F433" s="3"/>
      <c r="G433" s="3"/>
      <c r="H433" s="3"/>
      <c r="I433" s="31"/>
      <c r="J433" s="3"/>
      <c r="K433" s="3"/>
      <c r="L433" s="3"/>
      <c r="M433" s="3"/>
      <c r="N433" s="3"/>
      <c r="O433" s="3"/>
      <c r="P433" s="3"/>
      <c r="Q433" s="3"/>
      <c r="R433" s="54"/>
      <c r="S433" s="3"/>
      <c r="T433" s="31"/>
      <c r="U433" s="3"/>
      <c r="V433" s="3"/>
      <c r="W433" s="3"/>
      <c r="X433" s="3"/>
      <c r="Y433" s="3"/>
      <c r="Z433" s="31"/>
      <c r="AA433" s="3"/>
      <c r="AB433" s="3"/>
      <c r="AC433" s="3"/>
      <c r="AD433" s="3"/>
      <c r="AE433" s="3"/>
    </row>
    <row r="434" spans="2:31" x14ac:dyDescent="0.2">
      <c r="B434" s="94" t="str">
        <f>'WS10 - LTFP'!B289</f>
        <v>Representing</v>
      </c>
      <c r="C434" s="3"/>
      <c r="D434" s="3"/>
      <c r="E434" s="54"/>
      <c r="F434" s="3"/>
      <c r="G434" s="3"/>
      <c r="H434" s="3"/>
      <c r="I434" s="31"/>
      <c r="J434" s="3"/>
      <c r="K434" s="3"/>
      <c r="L434" s="3"/>
      <c r="M434" s="3"/>
      <c r="N434" s="3"/>
      <c r="O434" s="3"/>
      <c r="P434" s="3"/>
      <c r="Q434" s="3"/>
      <c r="R434" s="54"/>
      <c r="S434" s="3"/>
      <c r="T434" s="31"/>
      <c r="U434" s="3"/>
      <c r="V434" s="3"/>
      <c r="W434" s="3"/>
      <c r="X434" s="3"/>
      <c r="Y434" s="3"/>
      <c r="Z434" s="31"/>
      <c r="AA434" s="3"/>
      <c r="AB434" s="3"/>
      <c r="AC434" s="3"/>
      <c r="AD434" s="3"/>
      <c r="AE434" s="3"/>
    </row>
    <row r="435" spans="2:31" x14ac:dyDescent="0.2">
      <c r="B435" s="94" t="str">
        <f>'WS10 - LTFP'!B290</f>
        <v xml:space="preserve"> - External Restrictions</v>
      </c>
      <c r="C435" s="3"/>
      <c r="D435" s="3"/>
      <c r="E435" s="54"/>
      <c r="F435" s="3"/>
      <c r="G435" s="3"/>
      <c r="H435" s="3"/>
      <c r="I435" s="31"/>
      <c r="J435" s="3"/>
      <c r="K435" s="3"/>
      <c r="L435" s="3"/>
      <c r="M435" s="3"/>
      <c r="N435" s="3"/>
      <c r="O435" s="3"/>
      <c r="P435" s="3"/>
      <c r="Q435" s="3"/>
      <c r="R435" s="54"/>
      <c r="S435" s="3"/>
      <c r="T435" s="31"/>
      <c r="U435" s="3"/>
      <c r="V435" s="3"/>
      <c r="W435" s="3"/>
      <c r="X435" s="3"/>
      <c r="Y435" s="3"/>
      <c r="Z435" s="31"/>
      <c r="AA435" s="3"/>
      <c r="AB435" s="3"/>
      <c r="AC435" s="3"/>
      <c r="AD435" s="3"/>
      <c r="AE435" s="3"/>
    </row>
    <row r="436" spans="2:31" x14ac:dyDescent="0.2">
      <c r="B436" s="94" t="str">
        <f>'WS10 - LTFP'!B291</f>
        <v>Developer Contributions</v>
      </c>
      <c r="C436" s="3"/>
      <c r="D436" s="3"/>
      <c r="E436" s="54"/>
      <c r="F436" s="3"/>
      <c r="G436" s="3"/>
      <c r="H436" s="3"/>
      <c r="I436" s="31"/>
      <c r="J436" s="3">
        <f>'WS10 - LTFP'!J291</f>
        <v>54885216</v>
      </c>
      <c r="K436" s="3">
        <f>'WS10 - LTFP'!K291</f>
        <v>50224225</v>
      </c>
      <c r="L436" s="3">
        <f>'WS10 - LTFP'!L291</f>
        <v>49237942</v>
      </c>
      <c r="M436" s="3">
        <f>'WS10 - LTFP'!M291</f>
        <v>26198567</v>
      </c>
      <c r="N436" s="3">
        <f>'WS10 - LTFP'!N291</f>
        <v>29752132</v>
      </c>
      <c r="O436" s="3">
        <f>'WS10 - LTFP'!O291</f>
        <v>33211521</v>
      </c>
      <c r="P436" s="3">
        <f>'WS10 - LTFP'!P291</f>
        <v>37032544</v>
      </c>
      <c r="Q436" s="3">
        <f>'WS10 - LTFP'!Q291</f>
        <v>38092478</v>
      </c>
      <c r="R436" s="54">
        <f>'WS10 - LTFP'!R291</f>
        <v>38940932</v>
      </c>
      <c r="S436" s="3">
        <f>'WS10 - LTFP'!S291</f>
        <v>40694200</v>
      </c>
      <c r="T436" s="31">
        <f>'WS10 - LTFP'!T291</f>
        <v>0</v>
      </c>
      <c r="U436" s="3"/>
      <c r="V436" s="3"/>
      <c r="W436" s="3"/>
      <c r="X436" s="3"/>
      <c r="Y436" s="3"/>
      <c r="Z436" s="31"/>
      <c r="AA436" s="3"/>
      <c r="AB436" s="3"/>
      <c r="AC436" s="3"/>
      <c r="AD436" s="3"/>
      <c r="AE436" s="3"/>
    </row>
    <row r="437" spans="2:31" x14ac:dyDescent="0.2">
      <c r="B437" s="94" t="str">
        <f>'WS10 - LTFP'!B292</f>
        <v>Domestic Waste Management</v>
      </c>
      <c r="C437" s="3"/>
      <c r="D437" s="3"/>
      <c r="E437" s="54"/>
      <c r="F437" s="3"/>
      <c r="G437" s="3"/>
      <c r="H437" s="3"/>
      <c r="I437" s="31"/>
      <c r="J437" s="3">
        <f>'WS10 - LTFP'!J292</f>
        <v>13110045</v>
      </c>
      <c r="K437" s="3">
        <f>'WS10 - LTFP'!K292</f>
        <v>14188221</v>
      </c>
      <c r="L437" s="3">
        <f>'WS10 - LTFP'!L292</f>
        <v>15266397</v>
      </c>
      <c r="M437" s="3">
        <f>'WS10 - LTFP'!M292</f>
        <v>16344573</v>
      </c>
      <c r="N437" s="3">
        <f>'WS10 - LTFP'!N292</f>
        <v>8422749</v>
      </c>
      <c r="O437" s="3">
        <f>'WS10 - LTFP'!O292</f>
        <v>500925</v>
      </c>
      <c r="P437" s="3">
        <f>'WS10 - LTFP'!P292</f>
        <v>1579101</v>
      </c>
      <c r="Q437" s="3">
        <f>'WS10 - LTFP'!Q292</f>
        <v>2657277</v>
      </c>
      <c r="R437" s="54">
        <f>'WS10 - LTFP'!R292</f>
        <v>3735453</v>
      </c>
      <c r="S437" s="3">
        <f>'WS10 - LTFP'!S292</f>
        <v>4813629</v>
      </c>
      <c r="T437" s="31">
        <f>'WS10 - LTFP'!T292</f>
        <v>0</v>
      </c>
      <c r="U437" s="3"/>
      <c r="V437" s="3"/>
      <c r="W437" s="3"/>
      <c r="X437" s="3"/>
      <c r="Y437" s="3"/>
      <c r="Z437" s="31"/>
      <c r="AA437" s="3"/>
      <c r="AB437" s="3"/>
      <c r="AC437" s="3"/>
      <c r="AD437" s="3"/>
      <c r="AE437" s="3"/>
    </row>
    <row r="438" spans="2:31" x14ac:dyDescent="0.2">
      <c r="B438" s="94" t="str">
        <f>'WS10 - LTFP'!B293</f>
        <v>Affordable Housing</v>
      </c>
      <c r="C438" s="3"/>
      <c r="D438" s="3"/>
      <c r="E438" s="54"/>
      <c r="F438" s="3"/>
      <c r="G438" s="3"/>
      <c r="H438" s="3"/>
      <c r="I438" s="31"/>
      <c r="J438" s="3">
        <f>'WS10 - LTFP'!J293</f>
        <v>16490186</v>
      </c>
      <c r="K438" s="3">
        <f>'WS10 - LTFP'!K293</f>
        <v>15149841</v>
      </c>
      <c r="L438" s="3">
        <f>'WS10 - LTFP'!L293</f>
        <v>11330939</v>
      </c>
      <c r="M438" s="3">
        <f>'WS10 - LTFP'!M293</f>
        <v>12534123</v>
      </c>
      <c r="N438" s="3">
        <f>'WS10 - LTFP'!N293</f>
        <v>13760056</v>
      </c>
      <c r="O438" s="3">
        <f>'WS10 - LTFP'!O293</f>
        <v>15009419</v>
      </c>
      <c r="P438" s="3">
        <f>'WS10 - LTFP'!P293</f>
        <v>16282917</v>
      </c>
      <c r="Q438" s="3">
        <f>'WS10 - LTFP'!Q293</f>
        <v>17581272</v>
      </c>
      <c r="R438" s="54">
        <f>'WS10 - LTFP'!R293</f>
        <v>18905231</v>
      </c>
      <c r="S438" s="3">
        <f>'WS10 - LTFP'!S293</f>
        <v>20255561</v>
      </c>
      <c r="T438" s="31">
        <f>'WS10 - LTFP'!T293</f>
        <v>0</v>
      </c>
      <c r="U438" s="3"/>
      <c r="V438" s="3"/>
      <c r="W438" s="3"/>
      <c r="X438" s="3"/>
      <c r="Y438" s="3"/>
      <c r="Z438" s="31"/>
      <c r="AA438" s="3"/>
      <c r="AB438" s="3"/>
      <c r="AC438" s="3"/>
      <c r="AD438" s="3"/>
      <c r="AE438" s="3"/>
    </row>
    <row r="439" spans="2:31" x14ac:dyDescent="0.2">
      <c r="B439" s="94" t="str">
        <f>'WS10 - LTFP'!B294</f>
        <v>Other Externally Restricted Reserves</v>
      </c>
      <c r="C439" s="3"/>
      <c r="D439" s="3"/>
      <c r="E439" s="54"/>
      <c r="F439" s="3"/>
      <c r="G439" s="3"/>
      <c r="H439" s="3"/>
      <c r="I439" s="31"/>
      <c r="J439" s="3">
        <f>'WS10 - LTFP'!J294</f>
        <v>9023303</v>
      </c>
      <c r="K439" s="3">
        <f>'WS10 - LTFP'!K294</f>
        <v>9018079</v>
      </c>
      <c r="L439" s="3">
        <f>'WS10 - LTFP'!L294</f>
        <v>8892815</v>
      </c>
      <c r="M439" s="3">
        <f>'WS10 - LTFP'!M294</f>
        <v>8886307</v>
      </c>
      <c r="N439" s="3">
        <f>'WS10 - LTFP'!N294</f>
        <v>8879139</v>
      </c>
      <c r="O439" s="3">
        <f>'WS10 - LTFP'!O294</f>
        <v>8871296</v>
      </c>
      <c r="P439" s="3">
        <f>'WS10 - LTFP'!P294</f>
        <v>8303708</v>
      </c>
      <c r="Q439" s="3">
        <f>'WS10 - LTFP'!Q294</f>
        <v>8294476</v>
      </c>
      <c r="R439" s="54">
        <f>'WS10 - LTFP'!R294</f>
        <v>8284528</v>
      </c>
      <c r="S439" s="3">
        <f>'WS10 - LTFP'!S294</f>
        <v>8273484</v>
      </c>
      <c r="T439" s="31">
        <f>'WS10 - LTFP'!T294</f>
        <v>0</v>
      </c>
      <c r="U439" s="3"/>
      <c r="V439" s="3"/>
      <c r="W439" s="3"/>
      <c r="X439" s="3"/>
      <c r="Y439" s="3"/>
      <c r="Z439" s="31"/>
      <c r="AA439" s="3"/>
      <c r="AB439" s="3"/>
      <c r="AC439" s="3"/>
      <c r="AD439" s="3"/>
      <c r="AE439" s="3"/>
    </row>
    <row r="440" spans="2:31" x14ac:dyDescent="0.2">
      <c r="B440" s="94" t="str">
        <f>'WS10 - LTFP'!B295</f>
        <v>&lt;include additional items here&gt;</v>
      </c>
      <c r="C440" s="3"/>
      <c r="D440" s="3"/>
      <c r="E440" s="54"/>
      <c r="F440" s="3"/>
      <c r="G440" s="3"/>
      <c r="H440" s="3"/>
      <c r="I440" s="31"/>
      <c r="J440" s="3">
        <f>'WS10 - LTFP'!J295</f>
        <v>0</v>
      </c>
      <c r="K440" s="3">
        <f>'WS10 - LTFP'!K295</f>
        <v>0</v>
      </c>
      <c r="L440" s="3">
        <f>'WS10 - LTFP'!L295</f>
        <v>0</v>
      </c>
      <c r="M440" s="3">
        <f>'WS10 - LTFP'!M295</f>
        <v>0</v>
      </c>
      <c r="N440" s="3">
        <f>'WS10 - LTFP'!N295</f>
        <v>0</v>
      </c>
      <c r="O440" s="3">
        <f>'WS10 - LTFP'!O295</f>
        <v>0</v>
      </c>
      <c r="P440" s="3">
        <f>'WS10 - LTFP'!P295</f>
        <v>0</v>
      </c>
      <c r="Q440" s="3">
        <f>'WS10 - LTFP'!Q295</f>
        <v>0</v>
      </c>
      <c r="R440" s="54">
        <f>'WS10 - LTFP'!R295</f>
        <v>0</v>
      </c>
      <c r="S440" s="3">
        <f>'WS10 - LTFP'!S295</f>
        <v>0</v>
      </c>
      <c r="T440" s="31">
        <f>'WS10 - LTFP'!T295</f>
        <v>0</v>
      </c>
      <c r="U440" s="3"/>
      <c r="V440" s="3"/>
      <c r="W440" s="3"/>
      <c r="X440" s="3"/>
      <c r="Y440" s="3"/>
      <c r="Z440" s="31"/>
      <c r="AA440" s="3"/>
      <c r="AB440" s="3"/>
      <c r="AC440" s="3"/>
      <c r="AD440" s="3"/>
      <c r="AE440" s="3"/>
    </row>
    <row r="441" spans="2:31" x14ac:dyDescent="0.2">
      <c r="B441" s="94" t="str">
        <f>'WS10 - LTFP'!B296</f>
        <v>Total external restriction</v>
      </c>
      <c r="C441" s="3"/>
      <c r="D441" s="3"/>
      <c r="E441" s="54"/>
      <c r="F441" s="3"/>
      <c r="G441" s="3"/>
      <c r="H441" s="3"/>
      <c r="I441" s="31"/>
      <c r="J441" s="3">
        <f>'WS10 - LTFP'!J296</f>
        <v>93508750</v>
      </c>
      <c r="K441" s="3">
        <f>'WS10 - LTFP'!K296</f>
        <v>88580366</v>
      </c>
      <c r="L441" s="3">
        <f>'WS10 - LTFP'!L296</f>
        <v>84728093</v>
      </c>
      <c r="M441" s="3">
        <f>'WS10 - LTFP'!M296</f>
        <v>63963570</v>
      </c>
      <c r="N441" s="3">
        <f>'WS10 - LTFP'!N296</f>
        <v>60814076</v>
      </c>
      <c r="O441" s="3">
        <f>'WS10 - LTFP'!O296</f>
        <v>57593161</v>
      </c>
      <c r="P441" s="3">
        <f>'WS10 - LTFP'!P296</f>
        <v>63198270</v>
      </c>
      <c r="Q441" s="3">
        <f>'WS10 - LTFP'!Q296</f>
        <v>66625503</v>
      </c>
      <c r="R441" s="54">
        <f>'WS10 - LTFP'!R296</f>
        <v>69866144</v>
      </c>
      <c r="S441" s="3">
        <f>'WS10 - LTFP'!S296</f>
        <v>74036874</v>
      </c>
      <c r="T441" s="31">
        <f>'WS10 - LTFP'!T296</f>
        <v>0</v>
      </c>
      <c r="U441" s="3"/>
      <c r="V441" s="3"/>
      <c r="W441" s="3"/>
      <c r="X441" s="3"/>
      <c r="Y441" s="3"/>
      <c r="Z441" s="31"/>
      <c r="AA441" s="3"/>
      <c r="AB441" s="3"/>
      <c r="AC441" s="3"/>
      <c r="AD441" s="3"/>
      <c r="AE441" s="3"/>
    </row>
    <row r="442" spans="2:31" x14ac:dyDescent="0.2">
      <c r="B442" s="94" t="str">
        <f>'WS10 - LTFP'!B297</f>
        <v>- Internal Restrictions</v>
      </c>
      <c r="C442" s="3"/>
      <c r="D442" s="3"/>
      <c r="E442" s="54"/>
      <c r="F442" s="3"/>
      <c r="G442" s="3"/>
      <c r="H442" s="3"/>
      <c r="I442" s="31"/>
      <c r="J442" s="3"/>
      <c r="K442" s="3"/>
      <c r="L442" s="3"/>
      <c r="M442" s="3"/>
      <c r="N442" s="3"/>
      <c r="O442" s="3"/>
      <c r="P442" s="3"/>
      <c r="Q442" s="3"/>
      <c r="R442" s="54"/>
      <c r="S442" s="3"/>
      <c r="T442" s="31"/>
      <c r="U442" s="3"/>
      <c r="V442" s="3"/>
      <c r="W442" s="3"/>
      <c r="X442" s="3"/>
      <c r="Y442" s="3"/>
      <c r="Z442" s="31"/>
      <c r="AA442" s="3"/>
      <c r="AB442" s="3"/>
      <c r="AC442" s="3"/>
      <c r="AD442" s="3"/>
      <c r="AE442" s="3"/>
    </row>
    <row r="443" spans="2:31" x14ac:dyDescent="0.2">
      <c r="B443" s="94" t="str">
        <f>'WS10 - LTFP'!B298</f>
        <v>Internal Reserves as assigned by Council</v>
      </c>
      <c r="C443" s="3"/>
      <c r="D443" s="3"/>
      <c r="E443" s="54"/>
      <c r="F443" s="3"/>
      <c r="G443" s="3"/>
      <c r="H443" s="3"/>
      <c r="I443" s="31"/>
      <c r="J443" s="3">
        <f>'WS10 - LTFP'!J298</f>
        <v>36532208</v>
      </c>
      <c r="K443" s="3">
        <f>'WS10 - LTFP'!K298</f>
        <v>30838612</v>
      </c>
      <c r="L443" s="3">
        <f>'WS10 - LTFP'!L298</f>
        <v>36649059</v>
      </c>
      <c r="M443" s="3">
        <f>'WS10 - LTFP'!M298</f>
        <v>35735782</v>
      </c>
      <c r="N443" s="3">
        <f>'WS10 - LTFP'!N298</f>
        <v>39865293</v>
      </c>
      <c r="O443" s="3">
        <f>'WS10 - LTFP'!O298</f>
        <v>44617761</v>
      </c>
      <c r="P443" s="3">
        <f>'WS10 - LTFP'!P298</f>
        <v>50047775</v>
      </c>
      <c r="Q443" s="3">
        <f>'WS10 - LTFP'!Q298</f>
        <v>55491031</v>
      </c>
      <c r="R443" s="54">
        <f>'WS10 - LTFP'!R298</f>
        <v>61963123</v>
      </c>
      <c r="S443" s="3">
        <f>'WS10 - LTFP'!S298</f>
        <v>68272893</v>
      </c>
      <c r="T443" s="31">
        <f>'WS10 - LTFP'!T298</f>
        <v>0</v>
      </c>
      <c r="U443" s="3"/>
      <c r="V443" s="3"/>
      <c r="W443" s="3"/>
      <c r="X443" s="3"/>
      <c r="Y443" s="3"/>
      <c r="Z443" s="31"/>
      <c r="AA443" s="3"/>
      <c r="AB443" s="3"/>
      <c r="AC443" s="3"/>
      <c r="AD443" s="3"/>
      <c r="AE443" s="3"/>
    </row>
    <row r="444" spans="2:31" x14ac:dyDescent="0.2">
      <c r="B444" s="94" t="str">
        <f>'WS10 - LTFP'!B299</f>
        <v>&lt;include additional items here&gt;</v>
      </c>
      <c r="C444" s="3"/>
      <c r="D444" s="3"/>
      <c r="E444" s="54"/>
      <c r="F444" s="3"/>
      <c r="G444" s="3"/>
      <c r="H444" s="3"/>
      <c r="I444" s="31"/>
      <c r="J444" s="3">
        <f>'WS10 - LTFP'!J299</f>
        <v>0</v>
      </c>
      <c r="K444" s="3">
        <f>'WS10 - LTFP'!K299</f>
        <v>0</v>
      </c>
      <c r="L444" s="3">
        <f>'WS10 - LTFP'!L299</f>
        <v>0</v>
      </c>
      <c r="M444" s="3">
        <f>'WS10 - LTFP'!M299</f>
        <v>0</v>
      </c>
      <c r="N444" s="3">
        <f>'WS10 - LTFP'!N299</f>
        <v>0</v>
      </c>
      <c r="O444" s="3">
        <f>'WS10 - LTFP'!O299</f>
        <v>0</v>
      </c>
      <c r="P444" s="3">
        <f>'WS10 - LTFP'!P299</f>
        <v>0</v>
      </c>
      <c r="Q444" s="3">
        <f>'WS10 - LTFP'!Q299</f>
        <v>0</v>
      </c>
      <c r="R444" s="54">
        <f>'WS10 - LTFP'!R299</f>
        <v>0</v>
      </c>
      <c r="S444" s="3">
        <f>'WS10 - LTFP'!S299</f>
        <v>0</v>
      </c>
      <c r="T444" s="31">
        <f>'WS10 - LTFP'!T299</f>
        <v>0</v>
      </c>
      <c r="U444" s="3"/>
      <c r="V444" s="3"/>
      <c r="W444" s="3"/>
      <c r="X444" s="3"/>
      <c r="Y444" s="3"/>
      <c r="Z444" s="31"/>
      <c r="AA444" s="3"/>
      <c r="AB444" s="3"/>
      <c r="AC444" s="3"/>
      <c r="AD444" s="3"/>
      <c r="AE444" s="3"/>
    </row>
    <row r="445" spans="2:31" x14ac:dyDescent="0.2">
      <c r="B445" s="94" t="str">
        <f>'WS10 - LTFP'!B300</f>
        <v>&lt;include additional items here&gt;</v>
      </c>
      <c r="C445" s="3"/>
      <c r="D445" s="3"/>
      <c r="E445" s="54"/>
      <c r="F445" s="3"/>
      <c r="G445" s="3"/>
      <c r="H445" s="3"/>
      <c r="I445" s="31"/>
      <c r="J445" s="3">
        <f>'WS10 - LTFP'!J300</f>
        <v>0</v>
      </c>
      <c r="K445" s="3">
        <f>'WS10 - LTFP'!K300</f>
        <v>0</v>
      </c>
      <c r="L445" s="3">
        <f>'WS10 - LTFP'!L300</f>
        <v>0</v>
      </c>
      <c r="M445" s="3">
        <f>'WS10 - LTFP'!M300</f>
        <v>0</v>
      </c>
      <c r="N445" s="3">
        <f>'WS10 - LTFP'!N300</f>
        <v>0</v>
      </c>
      <c r="O445" s="3">
        <f>'WS10 - LTFP'!O300</f>
        <v>0</v>
      </c>
      <c r="P445" s="3">
        <f>'WS10 - LTFP'!P300</f>
        <v>0</v>
      </c>
      <c r="Q445" s="3">
        <f>'WS10 - LTFP'!Q300</f>
        <v>0</v>
      </c>
      <c r="R445" s="54">
        <f>'WS10 - LTFP'!R300</f>
        <v>0</v>
      </c>
      <c r="S445" s="3">
        <f>'WS10 - LTFP'!S300</f>
        <v>0</v>
      </c>
      <c r="T445" s="31">
        <f>'WS10 - LTFP'!T300</f>
        <v>0</v>
      </c>
      <c r="U445" s="3"/>
      <c r="V445" s="3"/>
      <c r="W445" s="3"/>
      <c r="X445" s="3"/>
      <c r="Y445" s="3"/>
      <c r="Z445" s="31"/>
      <c r="AA445" s="3"/>
      <c r="AB445" s="3"/>
      <c r="AC445" s="3"/>
      <c r="AD445" s="3"/>
      <c r="AE445" s="3"/>
    </row>
    <row r="446" spans="2:31" x14ac:dyDescent="0.2">
      <c r="B446" s="94" t="str">
        <f>'WS10 - LTFP'!B301</f>
        <v>&lt;include additional items here&gt;</v>
      </c>
      <c r="C446" s="3"/>
      <c r="D446" s="3"/>
      <c r="E446" s="54"/>
      <c r="F446" s="3"/>
      <c r="G446" s="3"/>
      <c r="H446" s="3"/>
      <c r="I446" s="31"/>
      <c r="J446" s="3">
        <f>'WS10 - LTFP'!J301</f>
        <v>0</v>
      </c>
      <c r="K446" s="3">
        <f>'WS10 - LTFP'!K301</f>
        <v>0</v>
      </c>
      <c r="L446" s="3">
        <f>'WS10 - LTFP'!L301</f>
        <v>0</v>
      </c>
      <c r="M446" s="3">
        <f>'WS10 - LTFP'!M301</f>
        <v>0</v>
      </c>
      <c r="N446" s="3">
        <f>'WS10 - LTFP'!N301</f>
        <v>0</v>
      </c>
      <c r="O446" s="3">
        <f>'WS10 - LTFP'!O301</f>
        <v>0</v>
      </c>
      <c r="P446" s="3">
        <f>'WS10 - LTFP'!P301</f>
        <v>0</v>
      </c>
      <c r="Q446" s="3">
        <f>'WS10 - LTFP'!Q301</f>
        <v>0</v>
      </c>
      <c r="R446" s="54">
        <f>'WS10 - LTFP'!R301</f>
        <v>0</v>
      </c>
      <c r="S446" s="3">
        <f>'WS10 - LTFP'!S301</f>
        <v>0</v>
      </c>
      <c r="T446" s="31">
        <f>'WS10 - LTFP'!T301</f>
        <v>0</v>
      </c>
      <c r="U446" s="3"/>
      <c r="V446" s="3"/>
      <c r="W446" s="3"/>
      <c r="X446" s="3"/>
      <c r="Y446" s="3"/>
      <c r="Z446" s="31"/>
      <c r="AA446" s="3"/>
      <c r="AB446" s="3"/>
      <c r="AC446" s="3"/>
      <c r="AD446" s="3"/>
      <c r="AE446" s="3"/>
    </row>
    <row r="447" spans="2:31" x14ac:dyDescent="0.2">
      <c r="B447" s="94" t="str">
        <f>'WS10 - LTFP'!B302</f>
        <v>&lt;include additional items here&gt;</v>
      </c>
      <c r="C447" s="3"/>
      <c r="D447" s="3"/>
      <c r="E447" s="54"/>
      <c r="F447" s="3"/>
      <c r="G447" s="3"/>
      <c r="H447" s="3"/>
      <c r="I447" s="31"/>
      <c r="J447" s="3">
        <f>'WS10 - LTFP'!J302</f>
        <v>0</v>
      </c>
      <c r="K447" s="3">
        <f>'WS10 - LTFP'!K302</f>
        <v>0</v>
      </c>
      <c r="L447" s="3">
        <f>'WS10 - LTFP'!L302</f>
        <v>0</v>
      </c>
      <c r="M447" s="3">
        <f>'WS10 - LTFP'!M302</f>
        <v>0</v>
      </c>
      <c r="N447" s="3">
        <f>'WS10 - LTFP'!N302</f>
        <v>0</v>
      </c>
      <c r="O447" s="3">
        <f>'WS10 - LTFP'!O302</f>
        <v>0</v>
      </c>
      <c r="P447" s="3">
        <f>'WS10 - LTFP'!P302</f>
        <v>0</v>
      </c>
      <c r="Q447" s="3">
        <f>'WS10 - LTFP'!Q302</f>
        <v>0</v>
      </c>
      <c r="R447" s="54">
        <f>'WS10 - LTFP'!R302</f>
        <v>0</v>
      </c>
      <c r="S447" s="3">
        <f>'WS10 - LTFP'!S302</f>
        <v>0</v>
      </c>
      <c r="T447" s="31">
        <f>'WS10 - LTFP'!T302</f>
        <v>0</v>
      </c>
      <c r="U447" s="3"/>
      <c r="V447" s="3"/>
      <c r="W447" s="3"/>
      <c r="X447" s="3"/>
      <c r="Y447" s="3"/>
      <c r="Z447" s="31"/>
      <c r="AA447" s="3"/>
      <c r="AB447" s="3"/>
      <c r="AC447" s="3"/>
      <c r="AD447" s="3"/>
      <c r="AE447" s="3"/>
    </row>
    <row r="448" spans="2:31" x14ac:dyDescent="0.2">
      <c r="B448" s="94" t="str">
        <f>'WS10 - LTFP'!B303</f>
        <v>&lt;include additional items here&gt;</v>
      </c>
      <c r="C448" s="3"/>
      <c r="D448" s="3"/>
      <c r="E448" s="54"/>
      <c r="F448" s="3"/>
      <c r="G448" s="3"/>
      <c r="H448" s="3"/>
      <c r="I448" s="31"/>
      <c r="J448" s="3">
        <f>'WS10 - LTFP'!J303</f>
        <v>0</v>
      </c>
      <c r="K448" s="3">
        <f>'WS10 - LTFP'!K303</f>
        <v>0</v>
      </c>
      <c r="L448" s="3">
        <f>'WS10 - LTFP'!L303</f>
        <v>0</v>
      </c>
      <c r="M448" s="3">
        <f>'WS10 - LTFP'!M303</f>
        <v>0</v>
      </c>
      <c r="N448" s="3">
        <f>'WS10 - LTFP'!N303</f>
        <v>0</v>
      </c>
      <c r="O448" s="3">
        <f>'WS10 - LTFP'!O303</f>
        <v>0</v>
      </c>
      <c r="P448" s="3">
        <f>'WS10 - LTFP'!P303</f>
        <v>0</v>
      </c>
      <c r="Q448" s="3">
        <f>'WS10 - LTFP'!Q303</f>
        <v>0</v>
      </c>
      <c r="R448" s="54">
        <f>'WS10 - LTFP'!R303</f>
        <v>0</v>
      </c>
      <c r="S448" s="3">
        <f>'WS10 - LTFP'!S303</f>
        <v>0</v>
      </c>
      <c r="T448" s="31">
        <f>'WS10 - LTFP'!T303</f>
        <v>0</v>
      </c>
      <c r="U448" s="3"/>
      <c r="V448" s="3"/>
      <c r="W448" s="3"/>
      <c r="X448" s="3"/>
      <c r="Y448" s="3"/>
      <c r="Z448" s="31"/>
      <c r="AA448" s="3"/>
      <c r="AB448" s="3"/>
      <c r="AC448" s="3"/>
      <c r="AD448" s="3"/>
      <c r="AE448" s="3"/>
    </row>
    <row r="449" spans="2:31" x14ac:dyDescent="0.2">
      <c r="B449" s="94" t="str">
        <f>'WS10 - LTFP'!B304</f>
        <v>&lt;include additional items here&gt;</v>
      </c>
      <c r="C449" s="3"/>
      <c r="D449" s="3"/>
      <c r="E449" s="54"/>
      <c r="F449" s="3"/>
      <c r="G449" s="3"/>
      <c r="H449" s="3"/>
      <c r="I449" s="31"/>
      <c r="J449" s="3">
        <f>'WS10 - LTFP'!J304</f>
        <v>0</v>
      </c>
      <c r="K449" s="3">
        <f>'WS10 - LTFP'!K304</f>
        <v>0</v>
      </c>
      <c r="L449" s="3">
        <f>'WS10 - LTFP'!L304</f>
        <v>0</v>
      </c>
      <c r="M449" s="3">
        <f>'WS10 - LTFP'!M304</f>
        <v>0</v>
      </c>
      <c r="N449" s="3">
        <f>'WS10 - LTFP'!N304</f>
        <v>0</v>
      </c>
      <c r="O449" s="3">
        <f>'WS10 - LTFP'!O304</f>
        <v>0</v>
      </c>
      <c r="P449" s="3">
        <f>'WS10 - LTFP'!P304</f>
        <v>0</v>
      </c>
      <c r="Q449" s="3">
        <f>'WS10 - LTFP'!Q304</f>
        <v>0</v>
      </c>
      <c r="R449" s="54">
        <f>'WS10 - LTFP'!R304</f>
        <v>0</v>
      </c>
      <c r="S449" s="3">
        <f>'WS10 - LTFP'!S304</f>
        <v>0</v>
      </c>
      <c r="T449" s="31">
        <f>'WS10 - LTFP'!T304</f>
        <v>0</v>
      </c>
      <c r="U449" s="3"/>
      <c r="V449" s="3"/>
      <c r="W449" s="3"/>
      <c r="X449" s="3"/>
      <c r="Y449" s="3"/>
      <c r="Z449" s="31"/>
      <c r="AA449" s="3"/>
      <c r="AB449" s="3"/>
      <c r="AC449" s="3"/>
      <c r="AD449" s="3"/>
      <c r="AE449" s="3"/>
    </row>
    <row r="450" spans="2:31" x14ac:dyDescent="0.2">
      <c r="B450" s="94" t="str">
        <f>'WS10 - LTFP'!B305</f>
        <v>Total internal restriction</v>
      </c>
      <c r="C450" s="3"/>
      <c r="D450" s="3"/>
      <c r="E450" s="54"/>
      <c r="F450" s="3"/>
      <c r="G450" s="3"/>
      <c r="H450" s="3"/>
      <c r="I450" s="31"/>
      <c r="J450" s="3">
        <f>'WS10 - LTFP'!J305</f>
        <v>36532208</v>
      </c>
      <c r="K450" s="3">
        <f>'WS10 - LTFP'!K305</f>
        <v>30838612</v>
      </c>
      <c r="L450" s="3">
        <f>'WS10 - LTFP'!L305</f>
        <v>36649059</v>
      </c>
      <c r="M450" s="3">
        <f>'WS10 - LTFP'!M305</f>
        <v>35735782</v>
      </c>
      <c r="N450" s="3">
        <f>'WS10 - LTFP'!N305</f>
        <v>39865293</v>
      </c>
      <c r="O450" s="3">
        <f>'WS10 - LTFP'!O305</f>
        <v>44617761</v>
      </c>
      <c r="P450" s="3">
        <f>'WS10 - LTFP'!P305</f>
        <v>50047775</v>
      </c>
      <c r="Q450" s="3">
        <f>'WS10 - LTFP'!Q305</f>
        <v>55491031</v>
      </c>
      <c r="R450" s="54">
        <f>'WS10 - LTFP'!R305</f>
        <v>61963123</v>
      </c>
      <c r="S450" s="3">
        <f>'WS10 - LTFP'!S305</f>
        <v>68272893</v>
      </c>
      <c r="T450" s="31">
        <f>'WS10 - LTFP'!T305</f>
        <v>0</v>
      </c>
      <c r="U450" s="3"/>
      <c r="V450" s="3"/>
      <c r="W450" s="3"/>
      <c r="X450" s="3"/>
      <c r="Y450" s="3"/>
      <c r="Z450" s="31"/>
      <c r="AA450" s="3"/>
      <c r="AB450" s="3"/>
      <c r="AC450" s="3"/>
      <c r="AD450" s="3"/>
      <c r="AE450" s="3"/>
    </row>
    <row r="451" spans="2:31" x14ac:dyDescent="0.2">
      <c r="B451" s="94" t="str">
        <f>'WS10 - LTFP'!B306</f>
        <v>- Unrestricted</v>
      </c>
      <c r="C451" s="3"/>
      <c r="D451" s="3"/>
      <c r="E451" s="54"/>
      <c r="F451" s="3"/>
      <c r="G451" s="3"/>
      <c r="H451" s="3"/>
      <c r="I451" s="31"/>
      <c r="J451" s="3">
        <f>'WS10 - LTFP'!J306</f>
        <v>22998223</v>
      </c>
      <c r="K451" s="3">
        <f>'WS10 - LTFP'!K306</f>
        <v>24119807</v>
      </c>
      <c r="L451" s="3">
        <f>'WS10 - LTFP'!L306</f>
        <v>24219807</v>
      </c>
      <c r="M451" s="3">
        <f>'WS10 - LTFP'!M306</f>
        <v>24369807</v>
      </c>
      <c r="N451" s="3">
        <f>'WS10 - LTFP'!N306</f>
        <v>24469804</v>
      </c>
      <c r="O451" s="3">
        <f>'WS10 - LTFP'!O306</f>
        <v>24619806</v>
      </c>
      <c r="P451" s="3">
        <f>'WS10 - LTFP'!P306</f>
        <v>24719805</v>
      </c>
      <c r="Q451" s="3">
        <f>'WS10 - LTFP'!Q306</f>
        <v>24869804</v>
      </c>
      <c r="R451" s="54">
        <f>'WS10 - LTFP'!R306</f>
        <v>24969804</v>
      </c>
      <c r="S451" s="3">
        <f>'WS10 - LTFP'!S306</f>
        <v>25119803</v>
      </c>
      <c r="T451" s="31">
        <f>'WS10 - LTFP'!T306</f>
        <v>0</v>
      </c>
      <c r="U451" s="3"/>
      <c r="V451" s="3"/>
      <c r="W451" s="3"/>
      <c r="X451" s="3"/>
      <c r="Y451" s="3"/>
      <c r="Z451" s="31"/>
      <c r="AA451" s="3"/>
      <c r="AB451" s="3"/>
      <c r="AC451" s="3"/>
      <c r="AD451" s="3"/>
      <c r="AE451" s="3"/>
    </row>
    <row r="452" spans="2:31" x14ac:dyDescent="0.2">
      <c r="B452" s="94" t="str">
        <f>'WS10 - LTFP'!B307</f>
        <v>Total</v>
      </c>
      <c r="C452" s="3"/>
      <c r="D452" s="3"/>
      <c r="E452" s="54"/>
      <c r="F452" s="3"/>
      <c r="G452" s="3"/>
      <c r="H452" s="3"/>
      <c r="I452" s="31"/>
      <c r="J452" s="3">
        <f>'WS10 - LTFP'!J307</f>
        <v>153039181</v>
      </c>
      <c r="K452" s="3">
        <f>'WS10 - LTFP'!K307</f>
        <v>143538785</v>
      </c>
      <c r="L452" s="3">
        <f>'WS10 - LTFP'!L307</f>
        <v>145596959</v>
      </c>
      <c r="M452" s="3">
        <f>'WS10 - LTFP'!M307</f>
        <v>124069159</v>
      </c>
      <c r="N452" s="3">
        <f>'WS10 - LTFP'!N307</f>
        <v>125149173</v>
      </c>
      <c r="O452" s="3">
        <f>'WS10 - LTFP'!O307</f>
        <v>126830728</v>
      </c>
      <c r="P452" s="3">
        <f>'WS10 - LTFP'!P307</f>
        <v>137965850</v>
      </c>
      <c r="Q452" s="3">
        <f>'WS10 - LTFP'!Q307</f>
        <v>146986338</v>
      </c>
      <c r="R452" s="54">
        <f>'WS10 - LTFP'!R307</f>
        <v>156799071</v>
      </c>
      <c r="S452" s="3">
        <f>'WS10 - LTFP'!S307</f>
        <v>167429570</v>
      </c>
      <c r="T452" s="31">
        <f>'WS10 - LTFP'!T307</f>
        <v>0</v>
      </c>
      <c r="U452" s="3"/>
      <c r="V452" s="3"/>
      <c r="W452" s="3"/>
      <c r="X452" s="3"/>
      <c r="Y452" s="3"/>
      <c r="Z452" s="31"/>
      <c r="AA452" s="3"/>
      <c r="AB452" s="3"/>
      <c r="AC452" s="3"/>
      <c r="AD452" s="3"/>
      <c r="AE452" s="3"/>
    </row>
    <row r="453" spans="2:31" x14ac:dyDescent="0.2">
      <c r="B453" s="552"/>
      <c r="C453" s="30"/>
      <c r="D453" s="30"/>
      <c r="E453" s="32"/>
      <c r="F453" s="30"/>
      <c r="G453" s="30"/>
      <c r="H453" s="30"/>
      <c r="I453" s="33"/>
      <c r="J453" s="30"/>
      <c r="K453" s="30"/>
      <c r="L453" s="30"/>
      <c r="M453" s="30"/>
      <c r="N453" s="30"/>
      <c r="O453" s="30"/>
      <c r="P453" s="30"/>
      <c r="Q453" s="30"/>
      <c r="R453" s="32"/>
      <c r="S453" s="30"/>
      <c r="T453" s="33"/>
      <c r="U453" s="30"/>
      <c r="V453" s="30"/>
      <c r="W453" s="30"/>
      <c r="X453" s="30"/>
      <c r="Y453" s="30"/>
      <c r="Z453" s="33"/>
      <c r="AA453" s="3"/>
      <c r="AB453" s="3"/>
      <c r="AC453" s="3"/>
      <c r="AD453" s="3"/>
      <c r="AE453" s="3"/>
    </row>
    <row r="455" spans="2:31" x14ac:dyDescent="0.2">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2:31" x14ac:dyDescent="0.2">
      <c r="B456" s="207" t="str">
        <f>'WS11 - Ratios'!B4</f>
        <v>WORKSHEET 11 : FINANCIAL RATIOS</v>
      </c>
      <c r="C456" s="3"/>
      <c r="D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2:31" x14ac:dyDescent="0.2">
      <c r="B457" s="208"/>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2:31" x14ac:dyDescent="0.2">
      <c r="B458" s="357"/>
      <c r="C458" s="282"/>
      <c r="D458" s="282"/>
      <c r="E458" s="312"/>
      <c r="F458" s="282"/>
      <c r="G458" s="359" t="str">
        <f>'WS11 - Ratios'!E43</f>
        <v>Historical ratios</v>
      </c>
      <c r="H458" s="533"/>
      <c r="I458" s="348"/>
      <c r="J458" s="312"/>
      <c r="K458" s="282"/>
      <c r="L458" s="282"/>
      <c r="M458" s="282"/>
      <c r="N458" s="359" t="str">
        <f>'WS11 - Ratios'!J43</f>
        <v>Forecast ratios</v>
      </c>
      <c r="O458" s="282"/>
      <c r="P458" s="282"/>
      <c r="Q458" s="348"/>
      <c r="R458" s="282"/>
      <c r="S458" s="282"/>
      <c r="T458" s="348"/>
      <c r="U458" s="3"/>
      <c r="Z458" s="3"/>
      <c r="AA458" s="3"/>
      <c r="AB458" s="3"/>
      <c r="AC458" s="3"/>
      <c r="AD458" s="3"/>
      <c r="AE458" s="3"/>
    </row>
    <row r="459" spans="2:31" x14ac:dyDescent="0.2">
      <c r="B459" s="218" t="str">
        <f>B$51</f>
        <v>Year number</v>
      </c>
      <c r="C459" s="3"/>
      <c r="D459" s="3"/>
      <c r="E459" s="349" t="str">
        <f>'WS0 - Input data'!E55</f>
        <v>Hist yr -5</v>
      </c>
      <c r="F459" s="315" t="str">
        <f>'WS0 - Input data'!F55</f>
        <v>Hist yr -4</v>
      </c>
      <c r="G459" s="315" t="str">
        <f t="shared" ref="G459:T459" si="26">G$51</f>
        <v>Hist yr -3</v>
      </c>
      <c r="H459" s="315" t="str">
        <f t="shared" si="26"/>
        <v>Hist yr -2</v>
      </c>
      <c r="I459" s="353" t="str">
        <f t="shared" si="26"/>
        <v>Hist yr -1</v>
      </c>
      <c r="J459" s="349" t="str">
        <f t="shared" si="26"/>
        <v>Year 0</v>
      </c>
      <c r="K459" s="315" t="str">
        <f t="shared" si="26"/>
        <v>Year 1</v>
      </c>
      <c r="L459" s="315" t="str">
        <f t="shared" si="26"/>
        <v>Year 2</v>
      </c>
      <c r="M459" s="315" t="str">
        <f t="shared" si="26"/>
        <v>Year 3</v>
      </c>
      <c r="N459" s="315" t="str">
        <f t="shared" si="26"/>
        <v>Year 4</v>
      </c>
      <c r="O459" s="315" t="str">
        <f t="shared" si="26"/>
        <v>Year 5</v>
      </c>
      <c r="P459" s="315" t="str">
        <f t="shared" si="26"/>
        <v>Year 6</v>
      </c>
      <c r="Q459" s="353" t="str">
        <f t="shared" si="26"/>
        <v>Year 7</v>
      </c>
      <c r="R459" s="315" t="str">
        <f t="shared" si="26"/>
        <v>Year 8</v>
      </c>
      <c r="S459" s="315" t="str">
        <f t="shared" si="26"/>
        <v>Year 9</v>
      </c>
      <c r="T459" s="353" t="str">
        <f t="shared" si="26"/>
        <v>Year 10</v>
      </c>
      <c r="U459" s="3"/>
      <c r="Z459" s="3"/>
      <c r="AA459" s="3"/>
      <c r="AB459" s="3"/>
      <c r="AC459" s="3"/>
      <c r="AD459" s="3"/>
      <c r="AE459" s="3"/>
    </row>
    <row r="460" spans="2:31" x14ac:dyDescent="0.2">
      <c r="B460" s="209" t="str">
        <f>B$52</f>
        <v>Financial year</v>
      </c>
      <c r="C460" s="30"/>
      <c r="D460" s="30"/>
      <c r="E460" s="213" t="str">
        <f>'WS0 - Input data'!E58</f>
        <v>2018-19</v>
      </c>
      <c r="F460" s="214" t="str">
        <f>'WS0 - Input data'!F58</f>
        <v>2019-20</v>
      </c>
      <c r="G460" s="214" t="str">
        <f t="shared" ref="G460:T460" si="27">G$52</f>
        <v>2020-21</v>
      </c>
      <c r="H460" s="214" t="str">
        <f t="shared" si="27"/>
        <v>2021-22</v>
      </c>
      <c r="I460" s="226" t="str">
        <f t="shared" si="27"/>
        <v>2022-23</v>
      </c>
      <c r="J460" s="213" t="str">
        <f t="shared" si="27"/>
        <v>2023-24</v>
      </c>
      <c r="K460" s="214" t="str">
        <f t="shared" si="27"/>
        <v>2024-25</v>
      </c>
      <c r="L460" s="214" t="str">
        <f t="shared" si="27"/>
        <v>2025-26</v>
      </c>
      <c r="M460" s="214" t="str">
        <f t="shared" si="27"/>
        <v>2026-27</v>
      </c>
      <c r="N460" s="214" t="str">
        <f t="shared" si="27"/>
        <v>2027-28</v>
      </c>
      <c r="O460" s="214" t="str">
        <f t="shared" si="27"/>
        <v>2028-29</v>
      </c>
      <c r="P460" s="214" t="str">
        <f t="shared" si="27"/>
        <v>2029-30</v>
      </c>
      <c r="Q460" s="226" t="str">
        <f t="shared" si="27"/>
        <v>2030-31</v>
      </c>
      <c r="R460" s="214" t="str">
        <f t="shared" si="27"/>
        <v>2031-32</v>
      </c>
      <c r="S460" s="214" t="str">
        <f t="shared" si="27"/>
        <v>2032-33</v>
      </c>
      <c r="T460" s="226" t="str">
        <f t="shared" si="27"/>
        <v>2033-34</v>
      </c>
      <c r="U460" s="3"/>
      <c r="Z460" s="3"/>
      <c r="AA460" s="3"/>
      <c r="AB460" s="3"/>
      <c r="AC460" s="3"/>
      <c r="AD460" s="3"/>
      <c r="AE460" s="3"/>
    </row>
    <row r="461" spans="2:31" x14ac:dyDescent="0.2">
      <c r="B461" s="54"/>
      <c r="C461" s="3"/>
      <c r="D461" s="3"/>
      <c r="E461" s="54"/>
      <c r="F461" s="3"/>
      <c r="G461" s="3"/>
      <c r="H461" s="3"/>
      <c r="I461" s="31"/>
      <c r="J461" s="54"/>
      <c r="K461" s="3"/>
      <c r="L461" s="3"/>
      <c r="M461" s="3"/>
      <c r="N461" s="3"/>
      <c r="O461" s="3"/>
      <c r="P461" s="3"/>
      <c r="Q461" s="31"/>
      <c r="R461" s="3"/>
      <c r="S461" s="3"/>
      <c r="T461" s="31"/>
      <c r="U461" s="3"/>
      <c r="Z461" s="3"/>
      <c r="AA461" s="3"/>
      <c r="AB461" s="3"/>
      <c r="AC461" s="3"/>
      <c r="AD461" s="3"/>
      <c r="AE461" s="3"/>
    </row>
    <row r="462" spans="2:31" x14ac:dyDescent="0.2">
      <c r="B462" s="247" t="str">
        <f>'WS11 - Ratios'!B42</f>
        <v>Table 11.1: Sustainability</v>
      </c>
      <c r="C462" s="18"/>
      <c r="D462" s="18"/>
      <c r="E462" s="197"/>
      <c r="F462" s="18"/>
      <c r="G462" s="18"/>
      <c r="H462" s="18"/>
      <c r="I462" s="198"/>
      <c r="J462" s="197"/>
      <c r="K462" s="18"/>
      <c r="L462" s="18"/>
      <c r="M462" s="18"/>
      <c r="N462" s="18"/>
      <c r="O462" s="18"/>
      <c r="P462" s="18"/>
      <c r="Q462" s="198"/>
      <c r="R462" s="18"/>
      <c r="S462" s="18"/>
      <c r="T462" s="198"/>
      <c r="U462" s="54"/>
      <c r="Z462" s="3"/>
      <c r="AA462" s="3"/>
      <c r="AB462" s="3"/>
      <c r="AC462" s="3"/>
      <c r="AD462" s="3"/>
      <c r="AE462" s="3"/>
    </row>
    <row r="463" spans="2:31" x14ac:dyDescent="0.2">
      <c r="B463" s="54"/>
      <c r="C463" s="3"/>
      <c r="D463" s="3"/>
      <c r="E463" s="54"/>
      <c r="F463" s="3"/>
      <c r="G463" s="3"/>
      <c r="H463" s="3"/>
      <c r="I463" s="31"/>
      <c r="J463" s="54"/>
      <c r="K463" s="3"/>
      <c r="L463" s="3"/>
      <c r="M463" s="3"/>
      <c r="N463" s="3"/>
      <c r="O463" s="3"/>
      <c r="P463" s="3"/>
      <c r="Q463" s="31"/>
      <c r="R463" s="3"/>
      <c r="S463" s="3"/>
      <c r="T463" s="31"/>
      <c r="U463" s="3"/>
      <c r="Z463" s="3"/>
      <c r="AA463" s="3"/>
      <c r="AB463" s="3"/>
      <c r="AC463" s="3"/>
      <c r="AD463" s="3"/>
      <c r="AE463" s="3"/>
    </row>
    <row r="464" spans="2:31" x14ac:dyDescent="0.2">
      <c r="B464" s="219" t="str">
        <f>'WS11 - Ratios'!B47</f>
        <v>Operating Performance Ratio</v>
      </c>
      <c r="C464" s="3"/>
      <c r="D464" s="3"/>
      <c r="E464" s="54"/>
      <c r="F464" s="3"/>
      <c r="G464" s="3"/>
      <c r="H464" s="3"/>
      <c r="I464" s="31"/>
      <c r="J464" s="54"/>
      <c r="K464" s="3"/>
      <c r="L464" s="3"/>
      <c r="M464" s="3"/>
      <c r="N464" s="3"/>
      <c r="O464" s="3"/>
      <c r="P464" s="3"/>
      <c r="Q464" s="31"/>
      <c r="R464" s="3"/>
      <c r="S464" s="3"/>
      <c r="T464" s="31"/>
      <c r="U464" s="3"/>
      <c r="Z464" s="3"/>
      <c r="AA464" s="3"/>
      <c r="AB464" s="3"/>
      <c r="AC464" s="3"/>
      <c r="AD464" s="3"/>
      <c r="AE464" s="3"/>
    </row>
    <row r="465" spans="2:21" x14ac:dyDescent="0.2">
      <c r="B465" s="218" t="str">
        <f>'WS11 - Ratios'!B48</f>
        <v>Scenario 1: Proposed (with SV)</v>
      </c>
      <c r="C465" s="3"/>
      <c r="D465" s="532" t="str">
        <f>'WS11 - Ratios'!D48</f>
        <v>%</v>
      </c>
      <c r="E465" s="268">
        <f>'WS11 - Ratios'!E48</f>
        <v>6.2229292204480022E-2</v>
      </c>
      <c r="F465" s="256">
        <f>'WS11 - Ratios'!F48</f>
        <v>1.477893581036208E-2</v>
      </c>
      <c r="G465" s="252">
        <f>'WS11 - Ratios'!G48</f>
        <v>-1.2601893482472494E-2</v>
      </c>
      <c r="H465" s="252">
        <f>'WS11 - Ratios'!H48</f>
        <v>-2.4206508638007232E-2</v>
      </c>
      <c r="I465" s="253">
        <f>'WS11 - Ratios'!I48</f>
        <v>-4.075045390357071E-2</v>
      </c>
      <c r="J465" s="254">
        <f>'WS11 - Ratios'!J48</f>
        <v>-3.3292425114115551E-2</v>
      </c>
      <c r="K465" s="252">
        <f>'WS11 - Ratios'!K48</f>
        <v>1.7182441143140943E-2</v>
      </c>
      <c r="L465" s="252">
        <f>'WS11 - Ratios'!L48</f>
        <v>2.0427598414143534E-2</v>
      </c>
      <c r="M465" s="252">
        <f>'WS11 - Ratios'!M48</f>
        <v>2.281101778168295E-2</v>
      </c>
      <c r="N465" s="252">
        <f>'WS11 - Ratios'!N48</f>
        <v>1.6754024987790533E-2</v>
      </c>
      <c r="O465" s="252">
        <f>'WS11 - Ratios'!O48</f>
        <v>1.5995737315003752E-2</v>
      </c>
      <c r="P465" s="252">
        <f>'WS11 - Ratios'!P48</f>
        <v>2.176991780417022E-2</v>
      </c>
      <c r="Q465" s="253">
        <f>'WS11 - Ratios'!Q48</f>
        <v>2.7836847805712554E-2</v>
      </c>
      <c r="R465" s="252">
        <f>'WS11 - Ratios'!R48</f>
        <v>3.1851816073451854E-2</v>
      </c>
      <c r="S465" s="252">
        <f>'WS11 - Ratios'!S48</f>
        <v>3.2551623579306084E-2</v>
      </c>
      <c r="T465" s="253">
        <f>'WS11 - Ratios'!T48</f>
        <v>3.6937638221116467E-2</v>
      </c>
      <c r="U465" s="3"/>
    </row>
    <row r="466" spans="2:21" x14ac:dyDescent="0.2">
      <c r="B466" s="218" t="str">
        <f>'WS11 - Ratios'!B49</f>
        <v>Scenario 2: Base case (no SV)</v>
      </c>
      <c r="C466" s="3"/>
      <c r="D466" s="532" t="str">
        <f>'WS11 - Ratios'!D49</f>
        <v>%</v>
      </c>
      <c r="E466" s="268">
        <f>'WS11 - Ratios'!E49</f>
        <v>6.2229292204480022E-2</v>
      </c>
      <c r="F466" s="256">
        <f>'WS11 - Ratios'!F49</f>
        <v>1.477893581036208E-2</v>
      </c>
      <c r="G466" s="252">
        <f>'WS11 - Ratios'!G49</f>
        <v>-1.2601893482472494E-2</v>
      </c>
      <c r="H466" s="252">
        <f>'WS11 - Ratios'!H49</f>
        <v>-2.4206508638007232E-2</v>
      </c>
      <c r="I466" s="253">
        <f>'WS11 - Ratios'!I49</f>
        <v>-4.075045390357071E-2</v>
      </c>
      <c r="J466" s="254">
        <f>'WS11 - Ratios'!J49</f>
        <v>-3.3292425114115551E-2</v>
      </c>
      <c r="K466" s="252">
        <f>'WS11 - Ratios'!K49</f>
        <v>-1.8949553865118849E-2</v>
      </c>
      <c r="L466" s="252">
        <f>'WS11 - Ratios'!L49</f>
        <v>-7.3471942644047798E-3</v>
      </c>
      <c r="M466" s="252">
        <f>'WS11 - Ratios'!M49</f>
        <v>-1.3661053072265828E-3</v>
      </c>
      <c r="N466" s="252">
        <f>'WS11 - Ratios'!N49</f>
        <v>-1.1612905155211704E-2</v>
      </c>
      <c r="O466" s="252">
        <f>'WS11 - Ratios'!O49</f>
        <v>-1.3830299535613629E-2</v>
      </c>
      <c r="P466" s="252">
        <f>'WS11 - Ratios'!P49</f>
        <v>-9.4422997404609715E-3</v>
      </c>
      <c r="Q466" s="253">
        <f>'WS11 - Ratios'!Q49</f>
        <v>-5.954988011476892E-3</v>
      </c>
      <c r="R466" s="252">
        <f>'WS11 - Ratios'!R49</f>
        <v>-3.9923801568573034E-3</v>
      </c>
      <c r="S466" s="252">
        <f>'WS11 - Ratios'!S49</f>
        <v>-5.5304720663860796E-3</v>
      </c>
      <c r="T466" s="253">
        <f>'WS11 - Ratios'!T49</f>
        <v>-4.2955703366225183E-3</v>
      </c>
      <c r="U466" s="3"/>
    </row>
    <row r="467" spans="2:21" x14ac:dyDescent="0.2">
      <c r="B467" s="218" t="str">
        <f>'WS11 - Ratios'!B50</f>
        <v>Scenario 3: Hybrid case#</v>
      </c>
      <c r="C467" s="3"/>
      <c r="D467" s="532" t="str">
        <f>'WS11 - Ratios'!D50</f>
        <v>%</v>
      </c>
      <c r="E467" s="268">
        <f>'WS11 - Ratios'!E50</f>
        <v>6.2229292204480022E-2</v>
      </c>
      <c r="F467" s="256">
        <f>'WS11 - Ratios'!F50</f>
        <v>1.477893581036208E-2</v>
      </c>
      <c r="G467" s="252">
        <f>'WS11 - Ratios'!G50</f>
        <v>-1.2601893482472494E-2</v>
      </c>
      <c r="H467" s="252">
        <f>'WS11 - Ratios'!H50</f>
        <v>-2.4206508638007232E-2</v>
      </c>
      <c r="I467" s="253">
        <f>'WS11 - Ratios'!I50</f>
        <v>-4.075045390357071E-2</v>
      </c>
      <c r="J467" s="254">
        <f>'WS11 - Ratios'!J50</f>
        <v>-3.3292425114115551E-2</v>
      </c>
      <c r="K467" s="252">
        <f>'WS11 - Ratios'!K50</f>
        <v>-2.6386281310109842E-2</v>
      </c>
      <c r="L467" s="252">
        <f>'WS11 - Ratios'!L50</f>
        <v>-2.5033994529742028E-2</v>
      </c>
      <c r="M467" s="252">
        <f>'WS11 - Ratios'!M50</f>
        <v>-2.2916456531946891E-2</v>
      </c>
      <c r="N467" s="252">
        <f>'WS11 - Ratios'!N50</f>
        <v>-3.3351392409148535E-2</v>
      </c>
      <c r="O467" s="252">
        <f>'WS11 - Ratios'!O50</f>
        <v>-3.5400394614132975E-2</v>
      </c>
      <c r="P467" s="252">
        <f>'WS11 - Ratios'!P50</f>
        <v>-3.1041637617807941E-2</v>
      </c>
      <c r="Q467" s="253">
        <f>'WS11 - Ratios'!Q50</f>
        <v>-2.7561016748601425E-2</v>
      </c>
      <c r="R467" s="252">
        <f>'WS11 - Ratios'!R50</f>
        <v>-2.5603216850034603E-2</v>
      </c>
      <c r="S467" s="252">
        <f>'WS11 - Ratios'!S50</f>
        <v>-2.714486135196947E-2</v>
      </c>
      <c r="T467" s="253">
        <f>'WS11 - Ratios'!T50</f>
        <v>-2.5615491169193066E-2</v>
      </c>
      <c r="U467" s="3"/>
    </row>
    <row r="468" spans="2:21" x14ac:dyDescent="0.2">
      <c r="B468" s="54"/>
      <c r="C468" s="3"/>
      <c r="D468" s="3"/>
      <c r="E468" s="270"/>
      <c r="F468" s="271"/>
      <c r="G468" s="160"/>
      <c r="H468" s="160"/>
      <c r="I468" s="163"/>
      <c r="J468" s="164"/>
      <c r="K468" s="160"/>
      <c r="L468" s="160"/>
      <c r="M468" s="160"/>
      <c r="N468" s="160"/>
      <c r="O468" s="160"/>
      <c r="P468" s="160"/>
      <c r="Q468" s="163"/>
      <c r="R468" s="160"/>
      <c r="S468" s="160"/>
      <c r="T468" s="163"/>
      <c r="U468" s="3"/>
    </row>
    <row r="469" spans="2:21" x14ac:dyDescent="0.2">
      <c r="B469" s="219" t="str">
        <f>'WS11 - Ratios'!B52</f>
        <v>Own Source Revenue Ratio</v>
      </c>
      <c r="C469" s="3"/>
      <c r="D469" s="3"/>
      <c r="E469" s="270"/>
      <c r="F469" s="271"/>
      <c r="G469" s="160"/>
      <c r="H469" s="160"/>
      <c r="I469" s="163"/>
      <c r="J469" s="164"/>
      <c r="K469" s="160"/>
      <c r="L469" s="160"/>
      <c r="M469" s="160"/>
      <c r="N469" s="160"/>
      <c r="O469" s="160"/>
      <c r="P469" s="160"/>
      <c r="Q469" s="163"/>
      <c r="R469" s="160"/>
      <c r="S469" s="160"/>
      <c r="T469" s="163"/>
      <c r="U469" s="3"/>
    </row>
    <row r="470" spans="2:21" x14ac:dyDescent="0.2">
      <c r="B470" s="239" t="str">
        <f>'WS11 - Ratios'!B53</f>
        <v>Scenario 1: Proposed (with SV)</v>
      </c>
      <c r="C470" s="3"/>
      <c r="D470" s="207" t="str">
        <f>'WS11 - Ratios'!D53</f>
        <v>%</v>
      </c>
      <c r="E470" s="268">
        <f>'WS11 - Ratios'!E53</f>
        <v>0.79491912160099987</v>
      </c>
      <c r="F470" s="256">
        <f>'WS11 - Ratios'!F53</f>
        <v>0.76447949070389931</v>
      </c>
      <c r="G470" s="252">
        <f>'WS11 - Ratios'!G53</f>
        <v>0.86447260491822486</v>
      </c>
      <c r="H470" s="252">
        <f>'WS11 - Ratios'!H53</f>
        <v>0.84286141128429859</v>
      </c>
      <c r="I470" s="253">
        <f>'WS11 - Ratios'!I53</f>
        <v>0.79943434697770277</v>
      </c>
      <c r="J470" s="254">
        <f>'WS11 - Ratios'!J53</f>
        <v>0.85128749607311194</v>
      </c>
      <c r="K470" s="252">
        <f>'WS11 - Ratios'!K53</f>
        <v>0.90646028005137746</v>
      </c>
      <c r="L470" s="252">
        <f>'WS11 - Ratios'!L53</f>
        <v>0.89292607076465336</v>
      </c>
      <c r="M470" s="252">
        <f>'WS11 - Ratios'!M53</f>
        <v>0.89398537870096306</v>
      </c>
      <c r="N470" s="252">
        <f>'WS11 - Ratios'!N53</f>
        <v>0.8946887378973053</v>
      </c>
      <c r="O470" s="252">
        <f>'WS11 - Ratios'!O53</f>
        <v>0.89669797708785415</v>
      </c>
      <c r="P470" s="252">
        <f>'WS11 - Ratios'!P53</f>
        <v>0.89757672277792011</v>
      </c>
      <c r="Q470" s="253">
        <f>'WS11 - Ratios'!Q53</f>
        <v>0.91179052137853223</v>
      </c>
      <c r="R470" s="252">
        <f>'WS11 - Ratios'!R53</f>
        <v>0.91266416569170883</v>
      </c>
      <c r="S470" s="252">
        <f>'WS11 - Ratios'!S53</f>
        <v>0.91365330901413977</v>
      </c>
      <c r="T470" s="253">
        <f>'WS11 - Ratios'!T53</f>
        <v>0.91432100926011595</v>
      </c>
      <c r="U470" s="3"/>
    </row>
    <row r="471" spans="2:21" x14ac:dyDescent="0.2">
      <c r="B471" s="239" t="str">
        <f>'WS11 - Ratios'!B54</f>
        <v>Scenario 2: Base case (no SV)</v>
      </c>
      <c r="C471" s="3"/>
      <c r="D471" s="207" t="str">
        <f>'WS11 - Ratios'!D54</f>
        <v>%</v>
      </c>
      <c r="E471" s="268">
        <f>'WS11 - Ratios'!E54</f>
        <v>0.79491912160099987</v>
      </c>
      <c r="F471" s="256">
        <f>'WS11 - Ratios'!F54</f>
        <v>0.76447949070389931</v>
      </c>
      <c r="G471" s="252">
        <f>'WS11 - Ratios'!G54</f>
        <v>0.86447260491822486</v>
      </c>
      <c r="H471" s="252">
        <f>'WS11 - Ratios'!H54</f>
        <v>0.84286141128429859</v>
      </c>
      <c r="I471" s="253">
        <f>'WS11 - Ratios'!I54</f>
        <v>0.79943434697770277</v>
      </c>
      <c r="J471" s="254">
        <f>'WS11 - Ratios'!J54</f>
        <v>0.85128749607311194</v>
      </c>
      <c r="K471" s="252">
        <f>'WS11 - Ratios'!K54</f>
        <v>0.90255863301804218</v>
      </c>
      <c r="L471" s="252">
        <f>'WS11 - Ratios'!L54</f>
        <v>0.88832383937992765</v>
      </c>
      <c r="M471" s="252">
        <f>'WS11 - Ratios'!M54</f>
        <v>0.88938531379433639</v>
      </c>
      <c r="N471" s="252">
        <f>'WS11 - Ratios'!N54</f>
        <v>0.8897091744558282</v>
      </c>
      <c r="O471" s="252">
        <f>'WS11 - Ratios'!O54</f>
        <v>0.89168230369667545</v>
      </c>
      <c r="P471" s="252">
        <f>'WS11 - Ratios'!P54</f>
        <v>0.89243232045439358</v>
      </c>
      <c r="Q471" s="253">
        <f>'WS11 - Ratios'!Q54</f>
        <v>0.90703777443264288</v>
      </c>
      <c r="R471" s="252">
        <f>'WS11 - Ratios'!R54</f>
        <v>0.90775988045063027</v>
      </c>
      <c r="S471" s="252">
        <f>'WS11 - Ratios'!S54</f>
        <v>0.90860799435093487</v>
      </c>
      <c r="T471" s="253">
        <f>'WS11 - Ratios'!T54</f>
        <v>0.90904862539270581</v>
      </c>
      <c r="U471" s="3"/>
    </row>
    <row r="472" spans="2:21" x14ac:dyDescent="0.2">
      <c r="B472" s="54"/>
      <c r="C472" s="3"/>
      <c r="D472" s="3"/>
      <c r="E472" s="270"/>
      <c r="F472" s="271"/>
      <c r="G472" s="160"/>
      <c r="H472" s="160"/>
      <c r="I472" s="163"/>
      <c r="J472" s="164"/>
      <c r="K472" s="160"/>
      <c r="L472" s="160"/>
      <c r="M472" s="160"/>
      <c r="N472" s="160"/>
      <c r="O472" s="160"/>
      <c r="P472" s="160"/>
      <c r="Q472" s="163"/>
      <c r="R472" s="160"/>
      <c r="S472" s="160"/>
      <c r="T472" s="163"/>
      <c r="U472" s="3"/>
    </row>
    <row r="473" spans="2:21" x14ac:dyDescent="0.2">
      <c r="B473" s="249" t="str">
        <f>'WS11 - Ratios'!B56</f>
        <v>Infrastructure Renewals Ratio</v>
      </c>
      <c r="C473" s="3"/>
      <c r="D473" s="3"/>
      <c r="E473" s="270"/>
      <c r="F473" s="271"/>
      <c r="G473" s="160"/>
      <c r="H473" s="160"/>
      <c r="I473" s="163"/>
      <c r="J473" s="164"/>
      <c r="K473" s="160"/>
      <c r="L473" s="160"/>
      <c r="M473" s="160"/>
      <c r="N473" s="160"/>
      <c r="O473" s="160"/>
      <c r="P473" s="160"/>
      <c r="Q473" s="163"/>
      <c r="R473" s="160"/>
      <c r="S473" s="160"/>
      <c r="T473" s="163"/>
      <c r="U473" s="85"/>
    </row>
    <row r="474" spans="2:21" x14ac:dyDescent="0.2">
      <c r="B474" s="239" t="str">
        <f>'WS11 - Ratios'!B57</f>
        <v>Scenario 1: Proposed (with SV)</v>
      </c>
      <c r="C474" s="3"/>
      <c r="D474" s="532" t="str">
        <f>'WS11 - Ratios'!D57</f>
        <v>%</v>
      </c>
      <c r="E474" s="268">
        <f>'WS11 - Ratios'!E57</f>
        <v>1.0221</v>
      </c>
      <c r="F474" s="256">
        <f>'WS11 - Ratios'!F57</f>
        <v>0.8589</v>
      </c>
      <c r="G474" s="252">
        <f>'WS11 - Ratios'!G57</f>
        <v>1.0434000000000001</v>
      </c>
      <c r="H474" s="252">
        <f>'WS11 - Ratios'!H57</f>
        <v>0.83889999999999998</v>
      </c>
      <c r="I474" s="253">
        <f>'WS11 - Ratios'!I57</f>
        <v>0.65390000000000004</v>
      </c>
      <c r="J474" s="254">
        <f>'WS11 - Ratios'!J57</f>
        <v>2.162996498323392</v>
      </c>
      <c r="K474" s="252">
        <f>'WS11 - Ratios'!K57</f>
        <v>1.2895682996991356</v>
      </c>
      <c r="L474" s="252">
        <f>'WS11 - Ratios'!L57</f>
        <v>1.008342874425322</v>
      </c>
      <c r="M474" s="252">
        <f>'WS11 - Ratios'!M57</f>
        <v>1.001138833599365</v>
      </c>
      <c r="N474" s="252">
        <f>'WS11 - Ratios'!N57</f>
        <v>1.0020446774778908</v>
      </c>
      <c r="O474" s="252">
        <f>'WS11 - Ratios'!O57</f>
        <v>1.0021243899030536</v>
      </c>
      <c r="P474" s="252">
        <f>'WS11 - Ratios'!P57</f>
        <v>1.01163413349009</v>
      </c>
      <c r="Q474" s="253">
        <f>'WS11 - Ratios'!Q57</f>
        <v>1.0072174519141166</v>
      </c>
      <c r="R474" s="252">
        <f>'WS11 - Ratios'!R57</f>
        <v>1.007735029086275</v>
      </c>
      <c r="S474" s="252">
        <f>'WS11 - Ratios'!S57</f>
        <v>1.0008353484123833</v>
      </c>
      <c r="T474" s="253">
        <f>'WS11 - Ratios'!T57</f>
        <v>0</v>
      </c>
      <c r="U474" s="3"/>
    </row>
    <row r="475" spans="2:21" x14ac:dyDescent="0.2">
      <c r="B475" s="239" t="str">
        <f>'WS11 - Ratios'!B58</f>
        <v>Scenario 2: Base case (no SV)</v>
      </c>
      <c r="C475" s="3"/>
      <c r="D475" s="532" t="str">
        <f>'WS11 - Ratios'!D58</f>
        <v>%</v>
      </c>
      <c r="E475" s="268">
        <f>'WS11 - Ratios'!E58</f>
        <v>1.0221</v>
      </c>
      <c r="F475" s="256">
        <f>'WS11 - Ratios'!F58</f>
        <v>0.8589</v>
      </c>
      <c r="G475" s="252">
        <f>'WS11 - Ratios'!G58</f>
        <v>1.0434000000000001</v>
      </c>
      <c r="H475" s="252">
        <f>'WS11 - Ratios'!H58</f>
        <v>0.83889999999999998</v>
      </c>
      <c r="I475" s="253">
        <f>'WS11 - Ratios'!I58</f>
        <v>0.65390000000000004</v>
      </c>
      <c r="J475" s="254">
        <f>'WS11 - Ratios'!J58</f>
        <v>2.162996498323392</v>
      </c>
      <c r="K475" s="252">
        <f>'WS11 - Ratios'!K58</f>
        <v>1.2895682996991356</v>
      </c>
      <c r="L475" s="252">
        <f>'WS11 - Ratios'!L58</f>
        <v>1.008342874425322</v>
      </c>
      <c r="M475" s="252">
        <f>'WS11 - Ratios'!M58</f>
        <v>1.001138833599365</v>
      </c>
      <c r="N475" s="252">
        <f>'WS11 - Ratios'!N58</f>
        <v>1.0020446774778908</v>
      </c>
      <c r="O475" s="252">
        <f>'WS11 - Ratios'!O58</f>
        <v>1.0021243899030536</v>
      </c>
      <c r="P475" s="252">
        <f>'WS11 - Ratios'!P58</f>
        <v>1.01163413349009</v>
      </c>
      <c r="Q475" s="253">
        <f>'WS11 - Ratios'!Q58</f>
        <v>1.0072174519141166</v>
      </c>
      <c r="R475" s="252">
        <f>'WS11 - Ratios'!R58</f>
        <v>1.007735029086275</v>
      </c>
      <c r="S475" s="252">
        <f>'WS11 - Ratios'!S58</f>
        <v>1.0008353484123833</v>
      </c>
      <c r="T475" s="253">
        <f>'WS11 - Ratios'!T58</f>
        <v>0</v>
      </c>
      <c r="U475" s="3"/>
    </row>
    <row r="476" spans="2:21" x14ac:dyDescent="0.2">
      <c r="B476" s="94"/>
      <c r="C476" s="3"/>
      <c r="D476" s="3"/>
      <c r="E476" s="270"/>
      <c r="F476" s="271"/>
      <c r="G476" s="160"/>
      <c r="H476" s="160"/>
      <c r="I476" s="163"/>
      <c r="J476" s="164"/>
      <c r="K476" s="160"/>
      <c r="L476" s="160"/>
      <c r="M476" s="160"/>
      <c r="N476" s="160"/>
      <c r="O476" s="160"/>
      <c r="P476" s="160"/>
      <c r="Q476" s="163"/>
      <c r="R476" s="160"/>
      <c r="S476" s="160"/>
      <c r="T476" s="163"/>
      <c r="U476" s="3"/>
    </row>
    <row r="477" spans="2:21" x14ac:dyDescent="0.2">
      <c r="B477" s="94"/>
      <c r="C477" s="3"/>
      <c r="D477" s="3"/>
      <c r="E477" s="270"/>
      <c r="F477" s="271"/>
      <c r="G477" s="160"/>
      <c r="H477" s="160"/>
      <c r="I477" s="163"/>
      <c r="J477" s="164"/>
      <c r="K477" s="160"/>
      <c r="L477" s="160"/>
      <c r="M477" s="160"/>
      <c r="N477" s="160"/>
      <c r="O477" s="160"/>
      <c r="P477" s="160"/>
      <c r="Q477" s="163"/>
      <c r="R477" s="160"/>
      <c r="S477" s="160"/>
      <c r="T477" s="163"/>
      <c r="U477" s="3"/>
    </row>
    <row r="478" spans="2:21" x14ac:dyDescent="0.2">
      <c r="B478" s="247" t="str">
        <f>'WS11 - Ratios'!B62</f>
        <v>Table 11.2: Effective infrastructure and service management</v>
      </c>
      <c r="C478" s="18"/>
      <c r="D478" s="18"/>
      <c r="E478" s="517"/>
      <c r="F478" s="516"/>
      <c r="G478" s="18"/>
      <c r="H478" s="18"/>
      <c r="I478" s="198"/>
      <c r="J478" s="197"/>
      <c r="K478" s="18"/>
      <c r="L478" s="18"/>
      <c r="M478" s="18"/>
      <c r="N478" s="18"/>
      <c r="O478" s="18"/>
      <c r="P478" s="18"/>
      <c r="Q478" s="198"/>
      <c r="R478" s="18"/>
      <c r="S478" s="18"/>
      <c r="T478" s="198"/>
      <c r="U478" s="54"/>
    </row>
    <row r="479" spans="2:21" x14ac:dyDescent="0.2">
      <c r="B479" s="94"/>
      <c r="C479" s="3"/>
      <c r="D479" s="3"/>
      <c r="E479" s="270"/>
      <c r="F479" s="271"/>
      <c r="G479" s="160"/>
      <c r="H479" s="160"/>
      <c r="I479" s="163"/>
      <c r="J479" s="164"/>
      <c r="K479" s="160"/>
      <c r="L479" s="160"/>
      <c r="M479" s="160"/>
      <c r="N479" s="160"/>
      <c r="O479" s="160"/>
      <c r="P479" s="160"/>
      <c r="Q479" s="163"/>
      <c r="R479" s="160"/>
      <c r="S479" s="160"/>
      <c r="T479" s="163"/>
      <c r="U479" s="85"/>
    </row>
    <row r="480" spans="2:21" x14ac:dyDescent="0.2">
      <c r="B480" s="249" t="str">
        <f>'WS11 - Ratios'!B64</f>
        <v>Infrastructure Backlog Ratio</v>
      </c>
      <c r="C480" s="3"/>
      <c r="D480" s="3"/>
      <c r="E480" s="270"/>
      <c r="F480" s="271"/>
      <c r="G480" s="160"/>
      <c r="H480" s="160"/>
      <c r="I480" s="163"/>
      <c r="J480" s="164"/>
      <c r="K480" s="160"/>
      <c r="L480" s="160"/>
      <c r="M480" s="160"/>
      <c r="N480" s="160"/>
      <c r="O480" s="160"/>
      <c r="P480" s="160"/>
      <c r="Q480" s="163"/>
      <c r="R480" s="160"/>
      <c r="S480" s="160"/>
      <c r="T480" s="163"/>
      <c r="U480" s="3"/>
    </row>
    <row r="481" spans="2:31" x14ac:dyDescent="0.2">
      <c r="B481" s="239" t="str">
        <f>'WS11 - Ratios'!B65</f>
        <v>Scenario 1: Proposed (with SV)</v>
      </c>
      <c r="C481" s="3"/>
      <c r="D481" s="532" t="str">
        <f>'WS11 - Ratios'!D65</f>
        <v>%</v>
      </c>
      <c r="E481" s="268">
        <f>'WS11 - Ratios'!E65</f>
        <v>1.2800000000000001E-2</v>
      </c>
      <c r="F481" s="256">
        <f>'WS11 - Ratios'!F65</f>
        <v>1.29E-2</v>
      </c>
      <c r="G481" s="252">
        <f>'WS11 - Ratios'!G65</f>
        <v>1.3100000000000001E-2</v>
      </c>
      <c r="H481" s="252">
        <f>'WS11 - Ratios'!H65</f>
        <v>5.7999999999999996E-3</v>
      </c>
      <c r="I481" s="253">
        <f>'WS11 - Ratios'!I65</f>
        <v>1.1900000000000001E-2</v>
      </c>
      <c r="J481" s="254">
        <f>'WS11 - Ratios'!J65</f>
        <v>1.36708635369732E-2</v>
      </c>
      <c r="K481" s="252">
        <f>'WS11 - Ratios'!K65</f>
        <v>1.3222827952165554E-2</v>
      </c>
      <c r="L481" s="252">
        <f>'WS11 - Ratios'!L65</f>
        <v>1.2790433720364314E-2</v>
      </c>
      <c r="M481" s="252">
        <f>'WS11 - Ratios'!M65</f>
        <v>1.2320169572473836E-2</v>
      </c>
      <c r="N481" s="252">
        <f>'WS11 - Ratios'!N65</f>
        <v>1.2253462068557531E-2</v>
      </c>
      <c r="O481" s="252">
        <f>'WS11 - Ratios'!O65</f>
        <v>1.2184012216162322E-2</v>
      </c>
      <c r="P481" s="252">
        <f>'WS11 - Ratios'!P65</f>
        <v>1.1922577393420735E-2</v>
      </c>
      <c r="Q481" s="253">
        <f>'WS11 - Ratios'!Q65</f>
        <v>1.1747583216833946E-2</v>
      </c>
      <c r="R481" s="252">
        <f>'WS11 - Ratios'!R65</f>
        <v>1.1559179832920345E-2</v>
      </c>
      <c r="S481" s="252">
        <f>'WS11 - Ratios'!S65</f>
        <v>1.15146714233636E-2</v>
      </c>
      <c r="T481" s="253">
        <f>'WS11 - Ratios'!T65</f>
        <v>0</v>
      </c>
      <c r="U481" s="3"/>
    </row>
    <row r="482" spans="2:31" x14ac:dyDescent="0.2">
      <c r="B482" s="239" t="str">
        <f>'WS11 - Ratios'!B66</f>
        <v>Scenario 2: Base case (no SV)</v>
      </c>
      <c r="C482" s="3"/>
      <c r="D482" s="532" t="str">
        <f>'WS11 - Ratios'!D66</f>
        <v>%</v>
      </c>
      <c r="E482" s="268">
        <f>'WS11 - Ratios'!E66</f>
        <v>1.2800000000000001E-2</v>
      </c>
      <c r="F482" s="256">
        <f>'WS11 - Ratios'!F66</f>
        <v>1.29E-2</v>
      </c>
      <c r="G482" s="252">
        <f>'WS11 - Ratios'!G66</f>
        <v>1.3100000000000001E-2</v>
      </c>
      <c r="H482" s="252">
        <f>'WS11 - Ratios'!H66</f>
        <v>5.7999999999999996E-3</v>
      </c>
      <c r="I482" s="253">
        <f>'WS11 - Ratios'!I66</f>
        <v>1.1900000000000001E-2</v>
      </c>
      <c r="J482" s="254">
        <f>'WS11 - Ratios'!J66</f>
        <v>1.36708635369732E-2</v>
      </c>
      <c r="K482" s="252">
        <f>'WS11 - Ratios'!K66</f>
        <v>1.3222827952165554E-2</v>
      </c>
      <c r="L482" s="252">
        <f>'WS11 - Ratios'!L66</f>
        <v>1.2790433720364314E-2</v>
      </c>
      <c r="M482" s="252">
        <f>'WS11 - Ratios'!M66</f>
        <v>1.2320169572473836E-2</v>
      </c>
      <c r="N482" s="252">
        <f>'WS11 - Ratios'!N66</f>
        <v>1.2253462068557531E-2</v>
      </c>
      <c r="O482" s="252">
        <f>'WS11 - Ratios'!O66</f>
        <v>1.2184012216162322E-2</v>
      </c>
      <c r="P482" s="252">
        <f>'WS11 - Ratios'!P66</f>
        <v>1.1922577393420735E-2</v>
      </c>
      <c r="Q482" s="253">
        <f>'WS11 - Ratios'!Q66</f>
        <v>1.1747583216833946E-2</v>
      </c>
      <c r="R482" s="252">
        <f>'WS11 - Ratios'!R66</f>
        <v>1.1559179832920345E-2</v>
      </c>
      <c r="S482" s="252">
        <f>'WS11 - Ratios'!S66</f>
        <v>1.15146714233636E-2</v>
      </c>
      <c r="T482" s="253">
        <f>'WS11 - Ratios'!T66</f>
        <v>0</v>
      </c>
      <c r="U482" s="3"/>
    </row>
    <row r="483" spans="2:31" x14ac:dyDescent="0.2">
      <c r="B483" s="54"/>
      <c r="C483" s="3"/>
      <c r="D483" s="3"/>
      <c r="E483" s="270"/>
      <c r="F483" s="271"/>
      <c r="G483" s="160"/>
      <c r="H483" s="160"/>
      <c r="I483" s="163"/>
      <c r="J483" s="164"/>
      <c r="K483" s="160"/>
      <c r="L483" s="160"/>
      <c r="M483" s="160"/>
      <c r="N483" s="160"/>
      <c r="O483" s="160"/>
      <c r="P483" s="160"/>
      <c r="Q483" s="163"/>
      <c r="R483" s="160"/>
      <c r="S483" s="160"/>
      <c r="T483" s="163"/>
      <c r="U483" s="3"/>
    </row>
    <row r="484" spans="2:31" x14ac:dyDescent="0.2">
      <c r="B484" s="249" t="str">
        <f>'WS11 - Ratios'!B68</f>
        <v>Asset Maintenance Ratio</v>
      </c>
      <c r="C484" s="3"/>
      <c r="D484" s="3"/>
      <c r="E484" s="270"/>
      <c r="F484" s="271"/>
      <c r="G484" s="160"/>
      <c r="H484" s="160"/>
      <c r="I484" s="163"/>
      <c r="J484" s="164"/>
      <c r="K484" s="160"/>
      <c r="L484" s="160"/>
      <c r="M484" s="160"/>
      <c r="N484" s="160"/>
      <c r="O484" s="160"/>
      <c r="P484" s="160"/>
      <c r="Q484" s="163"/>
      <c r="R484" s="160"/>
      <c r="S484" s="160"/>
      <c r="T484" s="163"/>
      <c r="U484" s="3"/>
    </row>
    <row r="485" spans="2:31" x14ac:dyDescent="0.2">
      <c r="B485" s="239" t="str">
        <f>'WS11 - Ratios'!B69</f>
        <v>Scenario 1: Proposed (with SV)</v>
      </c>
      <c r="C485" s="3"/>
      <c r="D485" s="532" t="str">
        <f>'WS11 - Ratios'!D69</f>
        <v>%</v>
      </c>
      <c r="E485" s="268">
        <f>'WS11 - Ratios'!E69</f>
        <v>1.0001</v>
      </c>
      <c r="F485" s="256">
        <f>'WS11 - Ratios'!F69</f>
        <v>1.0001</v>
      </c>
      <c r="G485" s="252">
        <f>'WS11 - Ratios'!G69</f>
        <v>1.0302</v>
      </c>
      <c r="H485" s="252">
        <f>'WS11 - Ratios'!H69</f>
        <v>1.03</v>
      </c>
      <c r="I485" s="253">
        <f>'WS11 - Ratios'!I69</f>
        <v>1.0339</v>
      </c>
      <c r="J485" s="254">
        <f>'WS11 - Ratios'!J69</f>
        <v>1.0299386893860976</v>
      </c>
      <c r="K485" s="252">
        <f>'WS11 - Ratios'!K69</f>
        <v>1.1712164201964055</v>
      </c>
      <c r="L485" s="252">
        <f>'WS11 - Ratios'!L69</f>
        <v>1.1674818780126808</v>
      </c>
      <c r="M485" s="252">
        <f>'WS11 - Ratios'!M69</f>
        <v>1.1638561089022683</v>
      </c>
      <c r="N485" s="252">
        <f>'WS11 - Ratios'!N69</f>
        <v>1.1603359447174022</v>
      </c>
      <c r="O485" s="252">
        <f>'WS11 - Ratios'!O69</f>
        <v>1.1569183095864637</v>
      </c>
      <c r="P485" s="252">
        <f>'WS11 - Ratios'!P69</f>
        <v>1.1536002172263295</v>
      </c>
      <c r="Q485" s="253">
        <f>'WS11 - Ratios'!Q69</f>
        <v>1.1503787683329953</v>
      </c>
      <c r="R485" s="252">
        <f>'WS11 - Ratios'!R69</f>
        <v>1.1472511480482048</v>
      </c>
      <c r="S485" s="252">
        <f>'WS11 - Ratios'!S69</f>
        <v>1.1442146234998645</v>
      </c>
      <c r="T485" s="253">
        <f>'WS11 - Ratios'!T69</f>
        <v>0</v>
      </c>
      <c r="U485" s="3"/>
    </row>
    <row r="486" spans="2:31" x14ac:dyDescent="0.2">
      <c r="B486" s="239" t="str">
        <f>'WS11 - Ratios'!B70</f>
        <v>Scenario 2: Base case (no SV)</v>
      </c>
      <c r="C486" s="3"/>
      <c r="D486" s="532" t="str">
        <f>'WS11 - Ratios'!D70</f>
        <v>%</v>
      </c>
      <c r="E486" s="268">
        <f>'WS11 - Ratios'!E70</f>
        <v>1.0001</v>
      </c>
      <c r="F486" s="256">
        <f>'WS11 - Ratios'!F70</f>
        <v>1.0001</v>
      </c>
      <c r="G486" s="252">
        <f>'WS11 - Ratios'!G70</f>
        <v>1.0302</v>
      </c>
      <c r="H486" s="252">
        <f>'WS11 - Ratios'!H70</f>
        <v>1.03</v>
      </c>
      <c r="I486" s="253">
        <f>'WS11 - Ratios'!I70</f>
        <v>1.0339</v>
      </c>
      <c r="J486" s="254">
        <f>'WS11 - Ratios'!J70</f>
        <v>1.0299386893860976</v>
      </c>
      <c r="K486" s="252">
        <f>'WS11 - Ratios'!K70</f>
        <v>1.0337852678353341</v>
      </c>
      <c r="L486" s="252">
        <f>'WS11 - Ratios'!L70</f>
        <v>1.0300507256516092</v>
      </c>
      <c r="M486" s="252">
        <f>'WS11 - Ratios'!M70</f>
        <v>1.0264249565411969</v>
      </c>
      <c r="N486" s="252">
        <f>'WS11 - Ratios'!N70</f>
        <v>1.0229047923563306</v>
      </c>
      <c r="O486" s="252">
        <f>'WS11 - Ratios'!O70</f>
        <v>1.0194871572253923</v>
      </c>
      <c r="P486" s="252">
        <f>'WS11 - Ratios'!P70</f>
        <v>1.0161690648652579</v>
      </c>
      <c r="Q486" s="253">
        <f>'WS11 - Ratios'!Q70</f>
        <v>1.0129476159719237</v>
      </c>
      <c r="R486" s="252">
        <f>'WS11 - Ratios'!R70</f>
        <v>1.0098199956871332</v>
      </c>
      <c r="S486" s="252">
        <f>'WS11 - Ratios'!S70</f>
        <v>1.0067834711387929</v>
      </c>
      <c r="T486" s="253">
        <f>'WS11 - Ratios'!T70</f>
        <v>0</v>
      </c>
      <c r="U486" s="3"/>
    </row>
    <row r="487" spans="2:31" x14ac:dyDescent="0.2">
      <c r="B487" s="54"/>
      <c r="C487" s="3"/>
      <c r="D487" s="3"/>
      <c r="E487" s="270"/>
      <c r="F487" s="271"/>
      <c r="G487" s="160"/>
      <c r="H487" s="160"/>
      <c r="I487" s="163"/>
      <c r="J487" s="164"/>
      <c r="K487" s="160"/>
      <c r="L487" s="160"/>
      <c r="M487" s="160"/>
      <c r="N487" s="160"/>
      <c r="O487" s="160"/>
      <c r="P487" s="160"/>
      <c r="Q487" s="163"/>
      <c r="R487" s="160"/>
      <c r="S487" s="160"/>
      <c r="T487" s="163"/>
      <c r="U487" s="3"/>
    </row>
    <row r="488" spans="2:31" x14ac:dyDescent="0.2">
      <c r="B488" s="249" t="str">
        <f>'WS11 - Ratios'!B72</f>
        <v>Debt Service Ratio</v>
      </c>
      <c r="C488" s="3"/>
      <c r="D488" s="3"/>
      <c r="E488" s="270"/>
      <c r="F488" s="271"/>
      <c r="G488" s="160"/>
      <c r="H488" s="160"/>
      <c r="I488" s="163"/>
      <c r="J488" s="164"/>
      <c r="K488" s="160"/>
      <c r="L488" s="160"/>
      <c r="M488" s="160"/>
      <c r="N488" s="160"/>
      <c r="O488" s="160"/>
      <c r="P488" s="160"/>
      <c r="Q488" s="163"/>
      <c r="R488" s="160"/>
      <c r="S488" s="160"/>
      <c r="T488" s="163"/>
      <c r="U488" s="3"/>
    </row>
    <row r="489" spans="2:31" x14ac:dyDescent="0.2">
      <c r="B489" s="239" t="str">
        <f>'WS11 - Ratios'!B73</f>
        <v>Scenario 1: Proposed (with SV)</v>
      </c>
      <c r="C489" s="3"/>
      <c r="D489" s="532" t="str">
        <f>'WS11 - Ratios'!D73</f>
        <v>%</v>
      </c>
      <c r="E489" s="268">
        <f>'WS11 - Ratios'!E73</f>
        <v>2.681722519022179E-2</v>
      </c>
      <c r="F489" s="256">
        <f>'WS11 - Ratios'!F73</f>
        <v>2.8803475304561336E-2</v>
      </c>
      <c r="G489" s="252">
        <f>'WS11 - Ratios'!G73</f>
        <v>2.5854916270397103E-2</v>
      </c>
      <c r="H489" s="252">
        <f>'WS11 - Ratios'!H73</f>
        <v>2.6059693342844813E-2</v>
      </c>
      <c r="I489" s="253">
        <f>'WS11 - Ratios'!I73</f>
        <v>2.5654545154965316E-2</v>
      </c>
      <c r="J489" s="254">
        <f>'WS11 - Ratios'!J73</f>
        <v>0</v>
      </c>
      <c r="K489" s="252">
        <f>'WS11 - Ratios'!K73</f>
        <v>0</v>
      </c>
      <c r="L489" s="252">
        <f>'WS11 - Ratios'!L73</f>
        <v>0</v>
      </c>
      <c r="M489" s="252">
        <f>'WS11 - Ratios'!M73</f>
        <v>0</v>
      </c>
      <c r="N489" s="252">
        <f>'WS11 - Ratios'!N73</f>
        <v>0</v>
      </c>
      <c r="O489" s="252">
        <f>'WS11 - Ratios'!O73</f>
        <v>0</v>
      </c>
      <c r="P489" s="252">
        <f>'WS11 - Ratios'!P73</f>
        <v>0</v>
      </c>
      <c r="Q489" s="253">
        <f>'WS11 - Ratios'!Q73</f>
        <v>0</v>
      </c>
      <c r="R489" s="252">
        <f>'WS11 - Ratios'!R73</f>
        <v>0</v>
      </c>
      <c r="S489" s="252">
        <f>'WS11 - Ratios'!S73</f>
        <v>0</v>
      </c>
      <c r="T489" s="253">
        <f>'WS11 - Ratios'!T73</f>
        <v>0</v>
      </c>
      <c r="U489" s="3"/>
    </row>
    <row r="490" spans="2:31" x14ac:dyDescent="0.2">
      <c r="B490" s="239" t="str">
        <f>'WS11 - Ratios'!B74</f>
        <v>Scenario 2: Base case (no SV)</v>
      </c>
      <c r="C490" s="3"/>
      <c r="D490" s="532" t="str">
        <f>'WS11 - Ratios'!D74</f>
        <v>%</v>
      </c>
      <c r="E490" s="268">
        <f>'WS11 - Ratios'!E74</f>
        <v>2.681722519022179E-2</v>
      </c>
      <c r="F490" s="256">
        <f>'WS11 - Ratios'!F74</f>
        <v>2.8803475304561336E-2</v>
      </c>
      <c r="G490" s="252">
        <f>'WS11 - Ratios'!G74</f>
        <v>2.5854916270397103E-2</v>
      </c>
      <c r="H490" s="252">
        <f>'WS11 - Ratios'!H74</f>
        <v>2.6059693342844813E-2</v>
      </c>
      <c r="I490" s="253">
        <f>'WS11 - Ratios'!I74</f>
        <v>2.5654545154965316E-2</v>
      </c>
      <c r="J490" s="254">
        <f>'WS11 - Ratios'!J74</f>
        <v>0</v>
      </c>
      <c r="K490" s="252">
        <f>'WS11 - Ratios'!K74</f>
        <v>0</v>
      </c>
      <c r="L490" s="252">
        <f>'WS11 - Ratios'!L74</f>
        <v>0</v>
      </c>
      <c r="M490" s="252">
        <f>'WS11 - Ratios'!M74</f>
        <v>0</v>
      </c>
      <c r="N490" s="252">
        <f>'WS11 - Ratios'!N74</f>
        <v>0</v>
      </c>
      <c r="O490" s="252">
        <f>'WS11 - Ratios'!O74</f>
        <v>0</v>
      </c>
      <c r="P490" s="252">
        <f>'WS11 - Ratios'!P74</f>
        <v>0</v>
      </c>
      <c r="Q490" s="253">
        <f>'WS11 - Ratios'!Q74</f>
        <v>0</v>
      </c>
      <c r="R490" s="252">
        <f>'WS11 - Ratios'!R74</f>
        <v>0</v>
      </c>
      <c r="S490" s="252">
        <f>'WS11 - Ratios'!S74</f>
        <v>0</v>
      </c>
      <c r="T490" s="253">
        <f>'WS11 - Ratios'!T74</f>
        <v>0</v>
      </c>
      <c r="U490" s="3"/>
    </row>
    <row r="491" spans="2:31" x14ac:dyDescent="0.2">
      <c r="B491" s="32"/>
      <c r="C491" s="30"/>
      <c r="D491" s="30"/>
      <c r="E491" s="32"/>
      <c r="F491" s="30"/>
      <c r="G491" s="30"/>
      <c r="H491" s="30"/>
      <c r="I491" s="33"/>
      <c r="J491" s="32"/>
      <c r="K491" s="30"/>
      <c r="L491" s="30"/>
      <c r="M491" s="30"/>
      <c r="N491" s="30"/>
      <c r="O491" s="30"/>
      <c r="P491" s="30"/>
      <c r="Q491" s="33"/>
      <c r="R491" s="30"/>
      <c r="S491" s="30"/>
      <c r="T491" s="33"/>
      <c r="U491" s="3"/>
    </row>
    <row r="492" spans="2:31" x14ac:dyDescent="0.2">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2:31" x14ac:dyDescent="0.2">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2:31" x14ac:dyDescent="0.2">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2:31" x14ac:dyDescent="0.2">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2:31" x14ac:dyDescent="0.2">
      <c r="B496" s="207" t="str">
        <f>'WS6 - PGI summary'!$B$4</f>
        <v>WORKSHEET 6: PERMISSIBLE GENERAL INCOME SUMMARY FOR 2024-25</v>
      </c>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2:36" x14ac:dyDescent="0.2">
      <c r="B497" s="208"/>
      <c r="C497" s="3"/>
      <c r="D497" s="3"/>
      <c r="E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2:36" x14ac:dyDescent="0.2">
      <c r="B498" s="334" t="str">
        <f>B$51</f>
        <v>Year number</v>
      </c>
      <c r="C498" s="282"/>
      <c r="D498" s="282"/>
      <c r="E498" s="312"/>
      <c r="F498" s="282"/>
      <c r="G498" s="350" t="str">
        <f t="shared" ref="G498:T498" si="28">G$51</f>
        <v>Hist yr -3</v>
      </c>
      <c r="H498" s="350" t="str">
        <f t="shared" si="28"/>
        <v>Hist yr -2</v>
      </c>
      <c r="I498" s="350" t="str">
        <f t="shared" si="28"/>
        <v>Hist yr -1</v>
      </c>
      <c r="J498" s="331" t="str">
        <f t="shared" si="28"/>
        <v>Year 0</v>
      </c>
      <c r="K498" s="315" t="str">
        <f t="shared" si="28"/>
        <v>Year 1</v>
      </c>
      <c r="L498" s="315" t="str">
        <f t="shared" si="28"/>
        <v>Year 2</v>
      </c>
      <c r="M498" s="315" t="str">
        <f t="shared" si="28"/>
        <v>Year 3</v>
      </c>
      <c r="N498" s="315" t="str">
        <f t="shared" si="28"/>
        <v>Year 4</v>
      </c>
      <c r="O498" s="315" t="str">
        <f t="shared" si="28"/>
        <v>Year 5</v>
      </c>
      <c r="P498" s="315" t="str">
        <f t="shared" si="28"/>
        <v>Year 6</v>
      </c>
      <c r="Q498" s="353" t="str">
        <f t="shared" si="28"/>
        <v>Year 7</v>
      </c>
      <c r="R498" s="350" t="str">
        <f t="shared" si="28"/>
        <v>Year 8</v>
      </c>
      <c r="S498" s="350" t="str">
        <f t="shared" si="28"/>
        <v>Year 9</v>
      </c>
      <c r="T498" s="351" t="str">
        <f t="shared" si="28"/>
        <v>Year 10</v>
      </c>
      <c r="U498" s="225" t="str">
        <f>'WS6 - PGI summary'!R115</f>
        <v>Total</v>
      </c>
      <c r="V498" s="352" t="str">
        <f>'WS6 - PGI summary'!S115</f>
        <v>increase</v>
      </c>
      <c r="W498" s="3"/>
      <c r="X498" s="3"/>
      <c r="Y498" s="3"/>
      <c r="Z498" s="3"/>
      <c r="AA498" s="3"/>
      <c r="AB498" s="3"/>
      <c r="AC498" s="3"/>
      <c r="AD498" s="3"/>
      <c r="AE498" s="3"/>
    </row>
    <row r="499" spans="2:36" x14ac:dyDescent="0.2">
      <c r="B499" s="209" t="str">
        <f>B$52</f>
        <v>Financial year</v>
      </c>
      <c r="C499" s="30"/>
      <c r="D499" s="30"/>
      <c r="E499" s="32"/>
      <c r="F499" s="30"/>
      <c r="G499" s="211" t="str">
        <f t="shared" ref="G499:T499" si="29">G$52</f>
        <v>2020-21</v>
      </c>
      <c r="H499" s="211" t="str">
        <f t="shared" si="29"/>
        <v>2021-22</v>
      </c>
      <c r="I499" s="211" t="str">
        <f t="shared" si="29"/>
        <v>2022-23</v>
      </c>
      <c r="J499" s="210" t="str">
        <f t="shared" si="29"/>
        <v>2023-24</v>
      </c>
      <c r="K499" s="214" t="str">
        <f t="shared" si="29"/>
        <v>2024-25</v>
      </c>
      <c r="L499" s="214" t="str">
        <f t="shared" si="29"/>
        <v>2025-26</v>
      </c>
      <c r="M499" s="214" t="str">
        <f t="shared" si="29"/>
        <v>2026-27</v>
      </c>
      <c r="N499" s="214" t="str">
        <f t="shared" si="29"/>
        <v>2027-28</v>
      </c>
      <c r="O499" s="214" t="str">
        <f t="shared" si="29"/>
        <v>2028-29</v>
      </c>
      <c r="P499" s="214" t="str">
        <f t="shared" si="29"/>
        <v>2029-30</v>
      </c>
      <c r="Q499" s="226" t="str">
        <f t="shared" si="29"/>
        <v>2030-31</v>
      </c>
      <c r="R499" s="211" t="str">
        <f t="shared" si="29"/>
        <v>2031-32</v>
      </c>
      <c r="S499" s="211" t="str">
        <f t="shared" si="29"/>
        <v>2032-33</v>
      </c>
      <c r="T499" s="212" t="str">
        <f t="shared" si="29"/>
        <v>2033-34</v>
      </c>
      <c r="U499" s="227" t="str">
        <f>'WS6 - PGI summary'!R116</f>
        <v>$ nominal</v>
      </c>
      <c r="V499" s="216" t="str">
        <f>'WS6 - PGI summary'!S116</f>
        <v>%</v>
      </c>
      <c r="W499" s="3"/>
      <c r="X499" s="3"/>
      <c r="Y499" s="3"/>
      <c r="Z499" s="3"/>
      <c r="AA499" s="3"/>
      <c r="AB499" s="3"/>
      <c r="AC499" s="3"/>
      <c r="AD499" s="3"/>
      <c r="AE499" s="3"/>
    </row>
    <row r="500" spans="2:36" x14ac:dyDescent="0.2">
      <c r="B500" s="54"/>
      <c r="C500" s="3"/>
      <c r="D500" s="3"/>
      <c r="E500" s="54"/>
      <c r="F500" s="3"/>
      <c r="G500" s="3"/>
      <c r="H500" s="3"/>
      <c r="I500" s="3"/>
      <c r="J500" s="54"/>
      <c r="K500" s="3"/>
      <c r="L500" s="3"/>
      <c r="M500" s="3"/>
      <c r="N500" s="3"/>
      <c r="O500" s="3"/>
      <c r="P500" s="3"/>
      <c r="Q500" s="31"/>
      <c r="R500" s="3"/>
      <c r="S500" s="3"/>
      <c r="T500" s="3"/>
      <c r="U500" s="135"/>
      <c r="V500" s="348"/>
      <c r="W500" s="3"/>
      <c r="X500" s="3"/>
      <c r="Y500" s="3"/>
      <c r="Z500" s="3"/>
      <c r="AA500" s="3"/>
      <c r="AB500" s="3"/>
      <c r="AC500" s="3"/>
      <c r="AD500" s="3"/>
      <c r="AE500" s="3"/>
    </row>
    <row r="501" spans="2:36" x14ac:dyDescent="0.2">
      <c r="B501" s="217" t="str">
        <f>'WS6 - PGI summary'!B118</f>
        <v>Annual % increase in PGI</v>
      </c>
      <c r="C501" s="3"/>
      <c r="D501" s="3"/>
      <c r="E501" s="54"/>
      <c r="F501" s="3"/>
      <c r="G501" s="3"/>
      <c r="H501" s="3"/>
      <c r="I501" s="3"/>
      <c r="J501" s="54"/>
      <c r="K501" s="3"/>
      <c r="L501" s="3"/>
      <c r="M501" s="3"/>
      <c r="N501" s="3"/>
      <c r="O501" s="3"/>
      <c r="P501" s="3"/>
      <c r="Q501" s="31"/>
      <c r="R501" s="3"/>
      <c r="S501" s="3"/>
      <c r="T501" s="3"/>
      <c r="U501" s="127"/>
      <c r="V501" s="31"/>
      <c r="W501" s="3"/>
      <c r="X501" s="3"/>
      <c r="Y501" s="3"/>
      <c r="Z501" s="3"/>
      <c r="AA501" s="3"/>
      <c r="AB501" s="3"/>
      <c r="AC501" s="3"/>
      <c r="AD501" s="3"/>
      <c r="AE501" s="3"/>
    </row>
    <row r="502" spans="2:36" x14ac:dyDescent="0.2">
      <c r="B502" s="218" t="str">
        <f>'WS6 - PGI summary'!B119</f>
        <v>PGI with proposed SV</v>
      </c>
      <c r="C502" s="3"/>
      <c r="D502" s="207" t="str">
        <f>'WS6 - PGI summary'!D119</f>
        <v>%</v>
      </c>
      <c r="E502" s="218"/>
      <c r="F502" s="207"/>
      <c r="G502" s="3"/>
      <c r="H502" s="3"/>
      <c r="I502" s="3"/>
      <c r="J502" s="54"/>
      <c r="K502" s="553">
        <f>'WS6 - PGI summary'!K119</f>
        <v>0.15003282307697954</v>
      </c>
      <c r="L502" s="553">
        <f>'WS6 - PGI summary'!L119</f>
        <v>2.9999999999999992E-2</v>
      </c>
      <c r="M502" s="553">
        <f>'WS6 - PGI summary'!M119</f>
        <v>3.0000000000000054E-2</v>
      </c>
      <c r="N502" s="553">
        <f>'WS6 - PGI summary'!N119</f>
        <v>3.0000000000000047E-2</v>
      </c>
      <c r="O502" s="553">
        <f>'WS6 - PGI summary'!O119</f>
        <v>3.0000000000000013E-2</v>
      </c>
      <c r="P502" s="553">
        <f>'WS6 - PGI summary'!P119</f>
        <v>2.9999999999999916E-2</v>
      </c>
      <c r="Q502" s="554">
        <f>'WS6 - PGI summary'!Q119</f>
        <v>2.9999999999999964E-2</v>
      </c>
      <c r="R502" s="271"/>
      <c r="S502" s="555"/>
      <c r="T502" s="555"/>
      <c r="U502" s="136"/>
      <c r="V502" s="269">
        <f>'WS6 - PGI summary'!S119</f>
        <v>0.15003282307697954</v>
      </c>
      <c r="W502" s="3"/>
      <c r="X502" s="3"/>
      <c r="Y502" s="3"/>
      <c r="Z502" s="3"/>
      <c r="AA502" s="3"/>
      <c r="AB502" s="3"/>
      <c r="AC502" s="3"/>
      <c r="AD502" s="3"/>
      <c r="AE502" s="3"/>
      <c r="AF502" s="3"/>
      <c r="AG502" s="3"/>
      <c r="AH502" s="3"/>
      <c r="AI502" s="3"/>
      <c r="AJ502" s="3"/>
    </row>
    <row r="503" spans="2:36" x14ac:dyDescent="0.2">
      <c r="B503" s="218" t="str">
        <f>'WS6 - PGI summary'!B120</f>
        <v>PGI if only the rate peg applied</v>
      </c>
      <c r="C503" s="3"/>
      <c r="D503" s="207" t="str">
        <f>'WS6 - PGI summary'!D120</f>
        <v>%</v>
      </c>
      <c r="E503" s="218"/>
      <c r="F503" s="207"/>
      <c r="G503" s="3"/>
      <c r="H503" s="3"/>
      <c r="I503" s="3"/>
      <c r="J503" s="54"/>
      <c r="K503" s="553">
        <f>'WS6 - PGI summary'!K120</f>
        <v>5.0032823076979455E-2</v>
      </c>
      <c r="L503" s="553">
        <f>'WS6 - PGI summary'!L120</f>
        <v>3.0000000000000044E-2</v>
      </c>
      <c r="M503" s="553">
        <f>'WS6 - PGI summary'!M120</f>
        <v>2.9999999999999954E-2</v>
      </c>
      <c r="N503" s="553">
        <f>'WS6 - PGI summary'!N120</f>
        <v>3.0000000000000058E-2</v>
      </c>
      <c r="O503" s="553">
        <f>'WS6 - PGI summary'!O120</f>
        <v>3.0000000000000002E-2</v>
      </c>
      <c r="P503" s="553">
        <f>'WS6 - PGI summary'!P120</f>
        <v>2.9999999999999971E-2</v>
      </c>
      <c r="Q503" s="554">
        <f>'WS6 - PGI summary'!Q120</f>
        <v>2.9999999999999891E-2</v>
      </c>
      <c r="R503" s="271"/>
      <c r="S503" s="555"/>
      <c r="T503" s="555"/>
      <c r="U503" s="136"/>
      <c r="V503" s="269">
        <f>'WS6 - PGI summary'!S120</f>
        <v>5.0032823076979455E-2</v>
      </c>
      <c r="W503" s="3"/>
      <c r="X503" s="3"/>
      <c r="Y503" s="3"/>
      <c r="Z503" s="3"/>
      <c r="AA503" s="3"/>
      <c r="AB503" s="3"/>
      <c r="AC503" s="3"/>
      <c r="AD503" s="3"/>
      <c r="AE503" s="3"/>
      <c r="AF503" s="3"/>
      <c r="AG503" s="3"/>
      <c r="AH503" s="3"/>
      <c r="AI503" s="3"/>
      <c r="AJ503" s="3"/>
    </row>
    <row r="504" spans="2:36" x14ac:dyDescent="0.2">
      <c r="B504" s="218"/>
      <c r="C504" s="3"/>
      <c r="D504" s="207"/>
      <c r="E504" s="218"/>
      <c r="F504" s="207"/>
      <c r="G504" s="3"/>
      <c r="H504" s="3"/>
      <c r="I504" s="3"/>
      <c r="J504" s="54"/>
      <c r="K504" s="553">
        <f>'WS6 - PGI summary'!K121</f>
        <v>0</v>
      </c>
      <c r="L504" s="553">
        <f>'WS6 - PGI summary'!L121</f>
        <v>0</v>
      </c>
      <c r="M504" s="553">
        <f>'WS6 - PGI summary'!M121</f>
        <v>0</v>
      </c>
      <c r="N504" s="553">
        <f>'WS6 - PGI summary'!N121</f>
        <v>0</v>
      </c>
      <c r="O504" s="553">
        <f>'WS6 - PGI summary'!O121</f>
        <v>0</v>
      </c>
      <c r="P504" s="553">
        <f>'WS6 - PGI summary'!P121</f>
        <v>0</v>
      </c>
      <c r="Q504" s="554">
        <f>'WS6 - PGI summary'!Q121</f>
        <v>0</v>
      </c>
      <c r="R504" s="271"/>
      <c r="S504" s="555"/>
      <c r="T504" s="555"/>
      <c r="U504" s="556"/>
      <c r="V504" s="269">
        <f>'WS6 - PGI summary'!S121</f>
        <v>0</v>
      </c>
      <c r="W504" s="3"/>
      <c r="X504" s="3"/>
      <c r="Y504" s="3"/>
      <c r="Z504" s="3"/>
      <c r="AA504" s="3"/>
      <c r="AB504" s="3"/>
      <c r="AC504" s="3"/>
      <c r="AD504" s="3"/>
      <c r="AE504" s="3"/>
      <c r="AF504" s="3"/>
      <c r="AG504" s="3"/>
      <c r="AH504" s="3"/>
      <c r="AI504" s="3"/>
      <c r="AJ504" s="3"/>
    </row>
    <row r="505" spans="2:36" x14ac:dyDescent="0.2">
      <c r="B505" s="97"/>
      <c r="C505" s="3"/>
      <c r="D505" s="3"/>
      <c r="E505" s="54"/>
      <c r="F505" s="3"/>
      <c r="G505" s="3"/>
      <c r="H505" s="3"/>
      <c r="I505" s="3"/>
      <c r="J505" s="54"/>
      <c r="K505" s="151"/>
      <c r="L505" s="16"/>
      <c r="M505" s="151"/>
      <c r="N505" s="151"/>
      <c r="O505" s="16"/>
      <c r="P505" s="16"/>
      <c r="Q505" s="120"/>
      <c r="R505" s="3"/>
      <c r="S505" s="16"/>
      <c r="T505" s="16"/>
      <c r="U505" s="127"/>
      <c r="V505" s="31"/>
      <c r="W505" s="3"/>
      <c r="X505" s="3"/>
      <c r="Y505" s="3"/>
      <c r="Z505" s="3"/>
      <c r="AA505" s="3"/>
      <c r="AB505" s="3"/>
      <c r="AC505" s="3"/>
      <c r="AD505" s="3"/>
      <c r="AE505" s="3"/>
      <c r="AF505" s="3"/>
      <c r="AG505" s="3"/>
      <c r="AH505" s="3"/>
      <c r="AI505" s="3"/>
      <c r="AJ505" s="3"/>
    </row>
    <row r="506" spans="2:36" x14ac:dyDescent="0.2">
      <c r="B506" s="217" t="str">
        <f>'WS6 - PGI summary'!B123</f>
        <v>Annual $ increase in PGI</v>
      </c>
      <c r="C506" s="3"/>
      <c r="D506" s="3"/>
      <c r="E506" s="54"/>
      <c r="F506" s="3"/>
      <c r="G506" s="3"/>
      <c r="H506" s="3"/>
      <c r="I506" s="3"/>
      <c r="J506" s="54"/>
      <c r="K506" s="151"/>
      <c r="L506" s="16"/>
      <c r="M506" s="151"/>
      <c r="N506" s="151"/>
      <c r="O506" s="16"/>
      <c r="P506" s="16"/>
      <c r="Q506" s="120"/>
      <c r="R506" s="3"/>
      <c r="S506" s="16"/>
      <c r="T506" s="16"/>
      <c r="U506" s="127"/>
      <c r="V506" s="31"/>
      <c r="W506" s="3"/>
      <c r="X506" s="3"/>
      <c r="Y506" s="3"/>
      <c r="Z506" s="3"/>
      <c r="AA506" s="3"/>
      <c r="AB506" s="3"/>
      <c r="AC506" s="3"/>
      <c r="AD506" s="3"/>
      <c r="AE506" s="3"/>
      <c r="AF506" s="3"/>
      <c r="AG506" s="3"/>
      <c r="AH506" s="3"/>
      <c r="AI506" s="3"/>
      <c r="AJ506" s="3"/>
    </row>
    <row r="507" spans="2:36" x14ac:dyDescent="0.2">
      <c r="B507" s="218" t="str">
        <f>'WS6 - PGI summary'!B124</f>
        <v>PGI with proposed SV</v>
      </c>
      <c r="C507" s="3"/>
      <c r="D507" s="207" t="str">
        <f>'WS6 - PGI summary'!D124</f>
        <v>$ nominal</v>
      </c>
      <c r="E507" s="218"/>
      <c r="F507" s="207"/>
      <c r="G507" s="3"/>
      <c r="H507" s="3"/>
      <c r="I507" s="3"/>
      <c r="J507" s="54"/>
      <c r="K507" s="112">
        <f>'WS6 - PGI summary'!K124</f>
        <v>8154584.5484463274</v>
      </c>
      <c r="L507" s="112">
        <f>'WS6 - PGI summary'!L124</f>
        <v>1875197.6461426541</v>
      </c>
      <c r="M507" s="112">
        <f>'WS6 - PGI summary'!M124</f>
        <v>1931453.5755269378</v>
      </c>
      <c r="N507" s="112">
        <f>'WS6 - PGI summary'!N124</f>
        <v>1989397.1827927455</v>
      </c>
      <c r="O507" s="112">
        <f>'WS6 - PGI summary'!O124</f>
        <v>2049079.0982765257</v>
      </c>
      <c r="P507" s="112">
        <f>'WS6 - PGI summary'!P124</f>
        <v>2110551.4712248147</v>
      </c>
      <c r="Q507" s="230">
        <f>'WS6 - PGI summary'!Q124</f>
        <v>2173868.0153615624</v>
      </c>
      <c r="R507" s="3"/>
      <c r="S507" s="151"/>
      <c r="T507" s="151"/>
      <c r="U507" s="231">
        <f>'WS6 - PGI summary'!R124</f>
        <v>8154584.5484463274</v>
      </c>
      <c r="V507" s="560">
        <f>'WS6 - PGI summary'!S124</f>
        <v>0.15003282307697954</v>
      </c>
      <c r="W507" s="3"/>
      <c r="X507" s="3"/>
      <c r="Y507" s="3"/>
      <c r="Z507" s="3"/>
      <c r="AA507" s="3"/>
      <c r="AB507" s="3"/>
      <c r="AC507" s="3"/>
      <c r="AD507" s="3"/>
      <c r="AE507" s="3"/>
      <c r="AF507" s="3"/>
      <c r="AG507" s="3"/>
      <c r="AH507" s="3"/>
      <c r="AI507" s="3"/>
      <c r="AJ507" s="3"/>
    </row>
    <row r="508" spans="2:36" x14ac:dyDescent="0.2">
      <c r="B508" s="218" t="str">
        <f>'WS6 - PGI summary'!B125</f>
        <v>PGI if only the rate peg applied</v>
      </c>
      <c r="C508" s="3"/>
      <c r="D508" s="207" t="str">
        <f>'WS6 - PGI summary'!D125</f>
        <v>$ nominal</v>
      </c>
      <c r="E508" s="218"/>
      <c r="F508" s="207"/>
      <c r="G508" s="3"/>
      <c r="H508" s="3"/>
      <c r="I508" s="3"/>
      <c r="J508" s="54"/>
      <c r="K508" s="232">
        <f>'WS6 - PGI summary'!K125</f>
        <v>2719384.18281544</v>
      </c>
      <c r="L508" s="232">
        <f>'WS6 - PGI summary'!L125</f>
        <v>1712141.6351737306</v>
      </c>
      <c r="M508" s="232">
        <f>'WS6 - PGI summary'!M125</f>
        <v>1763505.8842289373</v>
      </c>
      <c r="N508" s="232">
        <f>'WS6 - PGI summary'!N125</f>
        <v>1816411.0607558116</v>
      </c>
      <c r="O508" s="232">
        <f>'WS6 - PGI summary'!O125</f>
        <v>1870903.3925784826</v>
      </c>
      <c r="P508" s="232">
        <f>'WS6 - PGI summary'!P125</f>
        <v>1927030.494355835</v>
      </c>
      <c r="Q508" s="233">
        <f>'WS6 - PGI summary'!Q125</f>
        <v>1984841.4091865048</v>
      </c>
      <c r="R508" s="3"/>
      <c r="S508" s="152"/>
      <c r="T508" s="152"/>
      <c r="U508" s="234">
        <f>'WS6 - PGI summary'!R125</f>
        <v>2719384.18281544</v>
      </c>
      <c r="V508" s="557">
        <f>'WS6 - PGI summary'!S125</f>
        <v>5.0032823076979455E-2</v>
      </c>
      <c r="W508" s="3"/>
      <c r="X508" s="3"/>
      <c r="Y508" s="3"/>
      <c r="Z508" s="3"/>
      <c r="AA508" s="3"/>
      <c r="AB508" s="3"/>
      <c r="AC508" s="3"/>
      <c r="AD508" s="3"/>
      <c r="AE508" s="3"/>
      <c r="AF508" s="3"/>
      <c r="AG508" s="3"/>
      <c r="AH508" s="3"/>
      <c r="AI508" s="3"/>
      <c r="AJ508" s="3"/>
    </row>
    <row r="509" spans="2:36" x14ac:dyDescent="0.2">
      <c r="B509" s="218"/>
      <c r="C509" s="3"/>
      <c r="D509" s="207"/>
      <c r="E509" s="218"/>
      <c r="F509" s="207"/>
      <c r="G509" s="3"/>
      <c r="H509" s="3"/>
      <c r="I509" s="3"/>
      <c r="J509" s="54"/>
      <c r="K509" s="232">
        <f>'WS6 - PGI summary'!K126</f>
        <v>0</v>
      </c>
      <c r="L509" s="232">
        <f>'WS6 - PGI summary'!L126</f>
        <v>0</v>
      </c>
      <c r="M509" s="232">
        <f>'WS6 - PGI summary'!M126</f>
        <v>0</v>
      </c>
      <c r="N509" s="232">
        <f>'WS6 - PGI summary'!N126</f>
        <v>0</v>
      </c>
      <c r="O509" s="232">
        <f>'WS6 - PGI summary'!O126</f>
        <v>0</v>
      </c>
      <c r="P509" s="232">
        <f>'WS6 - PGI summary'!P126</f>
        <v>0</v>
      </c>
      <c r="Q509" s="233">
        <f>'WS6 - PGI summary'!Q126</f>
        <v>0</v>
      </c>
      <c r="R509" s="3"/>
      <c r="S509" s="152"/>
      <c r="T509" s="152"/>
      <c r="U509" s="234">
        <f>'WS6 - PGI summary'!R126</f>
        <v>0</v>
      </c>
      <c r="V509" s="557">
        <f>'WS6 - PGI summary'!S126</f>
        <v>0</v>
      </c>
      <c r="W509" s="3"/>
      <c r="X509" s="3"/>
      <c r="Y509" s="3"/>
      <c r="Z509" s="3"/>
      <c r="AA509" s="3"/>
      <c r="AB509" s="3"/>
      <c r="AC509" s="3"/>
      <c r="AD509" s="3"/>
      <c r="AE509" s="3"/>
      <c r="AF509" s="3"/>
      <c r="AG509" s="3"/>
      <c r="AH509" s="3"/>
      <c r="AI509" s="3"/>
      <c r="AJ509" s="3"/>
    </row>
    <row r="510" spans="2:36" x14ac:dyDescent="0.2">
      <c r="B510" s="54"/>
      <c r="C510" s="3"/>
      <c r="D510" s="3"/>
      <c r="E510" s="54"/>
      <c r="F510" s="3"/>
      <c r="G510" s="3"/>
      <c r="H510" s="3"/>
      <c r="I510" s="3"/>
      <c r="J510" s="54"/>
      <c r="K510" s="152"/>
      <c r="L510" s="152"/>
      <c r="M510" s="152"/>
      <c r="N510" s="152"/>
      <c r="O510" s="152"/>
      <c r="P510" s="152"/>
      <c r="Q510" s="193"/>
      <c r="R510" s="3"/>
      <c r="S510" s="152"/>
      <c r="T510" s="152"/>
      <c r="U510" s="133"/>
      <c r="V510" s="558"/>
      <c r="W510" s="3"/>
      <c r="X510" s="3"/>
      <c r="Y510" s="3"/>
      <c r="Z510" s="3"/>
      <c r="AA510" s="3"/>
      <c r="AB510" s="3"/>
      <c r="AC510" s="3"/>
      <c r="AD510" s="3"/>
      <c r="AE510" s="3"/>
      <c r="AF510" s="3"/>
      <c r="AG510" s="3"/>
      <c r="AH510" s="3"/>
      <c r="AI510" s="3"/>
      <c r="AJ510" s="3"/>
    </row>
    <row r="511" spans="2:36" x14ac:dyDescent="0.2">
      <c r="B511" s="217" t="str">
        <f>'WS6 - PGI summary'!B128</f>
        <v>Annual $ increase in PGI with proposed SV more than:</v>
      </c>
      <c r="C511" s="3"/>
      <c r="D511" s="3"/>
      <c r="E511" s="54"/>
      <c r="F511" s="3"/>
      <c r="G511" s="3"/>
      <c r="H511" s="3"/>
      <c r="I511" s="3"/>
      <c r="J511" s="54"/>
      <c r="K511" s="232"/>
      <c r="L511" s="232"/>
      <c r="M511" s="232"/>
      <c r="N511" s="232"/>
      <c r="O511" s="232"/>
      <c r="P511" s="232"/>
      <c r="Q511" s="233"/>
      <c r="R511" s="3"/>
      <c r="S511" s="152"/>
      <c r="T511" s="152"/>
      <c r="U511" s="234"/>
      <c r="V511" s="559"/>
      <c r="W511" s="3"/>
      <c r="X511" s="3"/>
      <c r="Y511" s="3"/>
      <c r="Z511" s="3"/>
      <c r="AA511" s="3"/>
      <c r="AB511" s="3"/>
      <c r="AC511" s="3"/>
      <c r="AD511" s="3"/>
      <c r="AE511" s="3"/>
      <c r="AF511" s="3"/>
      <c r="AG511" s="3"/>
      <c r="AH511" s="3"/>
      <c r="AI511" s="3"/>
      <c r="AJ511" s="3"/>
    </row>
    <row r="512" spans="2:36" x14ac:dyDescent="0.2">
      <c r="B512" s="218" t="str">
        <f>'WS6 - PGI summary'!B129</f>
        <v>PGI if only the rate peg applied</v>
      </c>
      <c r="C512" s="3"/>
      <c r="D512" s="207" t="str">
        <f>'WS6 - PGI summary'!D129</f>
        <v>$ nominal</v>
      </c>
      <c r="E512" s="218"/>
      <c r="F512" s="207"/>
      <c r="G512" s="3"/>
      <c r="H512" s="3"/>
      <c r="I512" s="3"/>
      <c r="J512" s="54"/>
      <c r="K512" s="112">
        <f>'WS6 - PGI summary'!K129</f>
        <v>5435200.3656308874</v>
      </c>
      <c r="L512" s="112">
        <f>'WS6 - PGI summary'!L129</f>
        <v>163056.01096892357</v>
      </c>
      <c r="M512" s="112">
        <f>'WS6 - PGI summary'!M129</f>
        <v>167947.69129800051</v>
      </c>
      <c r="N512" s="112">
        <f>'WS6 - PGI summary'!N129</f>
        <v>172986.1220369339</v>
      </c>
      <c r="O512" s="112">
        <f>'WS6 - PGI summary'!O129</f>
        <v>178175.70569804311</v>
      </c>
      <c r="P512" s="112">
        <f>'WS6 - PGI summary'!P129</f>
        <v>183520.97686897963</v>
      </c>
      <c r="Q512" s="230">
        <f>'WS6 - PGI summary'!Q129</f>
        <v>189026.60617505759</v>
      </c>
      <c r="R512" s="3"/>
      <c r="S512" s="151"/>
      <c r="T512" s="151"/>
      <c r="U512" s="234">
        <f>'WS6 - PGI summary'!R129</f>
        <v>5435200.3656308874</v>
      </c>
      <c r="V512" s="269">
        <f>'WS6 - PGI summary'!S129</f>
        <v>0.10000000000000009</v>
      </c>
      <c r="W512" s="3"/>
      <c r="X512" s="3"/>
      <c r="Y512" s="3"/>
      <c r="Z512" s="3"/>
      <c r="AA512" s="3"/>
      <c r="AB512" s="3"/>
      <c r="AC512" s="3"/>
      <c r="AD512" s="3"/>
      <c r="AE512" s="3"/>
      <c r="AF512" s="3"/>
      <c r="AG512" s="3"/>
      <c r="AH512" s="3"/>
      <c r="AI512" s="3"/>
      <c r="AJ512" s="3"/>
    </row>
    <row r="513" spans="2:36" x14ac:dyDescent="0.2">
      <c r="B513" s="218"/>
      <c r="C513" s="3"/>
      <c r="D513" s="207"/>
      <c r="E513" s="218"/>
      <c r="F513" s="207"/>
      <c r="G513" s="3"/>
      <c r="H513" s="3"/>
      <c r="I513" s="3"/>
      <c r="J513" s="54"/>
      <c r="K513" s="112">
        <f>'WS6 - PGI summary'!K130</f>
        <v>0</v>
      </c>
      <c r="L513" s="112">
        <f>'WS6 - PGI summary'!L130</f>
        <v>0</v>
      </c>
      <c r="M513" s="112">
        <f>'WS6 - PGI summary'!M130</f>
        <v>0</v>
      </c>
      <c r="N513" s="112">
        <f>'WS6 - PGI summary'!N130</f>
        <v>0</v>
      </c>
      <c r="O513" s="112">
        <f>'WS6 - PGI summary'!O130</f>
        <v>0</v>
      </c>
      <c r="P513" s="112">
        <f>'WS6 - PGI summary'!P130</f>
        <v>0</v>
      </c>
      <c r="Q513" s="230">
        <f>'WS6 - PGI summary'!Q130</f>
        <v>0</v>
      </c>
      <c r="R513" s="3"/>
      <c r="S513" s="151"/>
      <c r="T513" s="151"/>
      <c r="U513" s="234">
        <f>'WS6 - PGI summary'!R130</f>
        <v>0</v>
      </c>
      <c r="V513" s="269">
        <f>'WS6 - PGI summary'!S130</f>
        <v>0</v>
      </c>
      <c r="W513" s="3"/>
      <c r="X513" s="3"/>
      <c r="Y513" s="3"/>
      <c r="Z513" s="3"/>
      <c r="AA513" s="3"/>
      <c r="AB513" s="3"/>
      <c r="AC513" s="3"/>
      <c r="AD513" s="3"/>
      <c r="AE513" s="3"/>
      <c r="AF513" s="3"/>
      <c r="AG513" s="3"/>
      <c r="AH513" s="3"/>
      <c r="AI513" s="3"/>
      <c r="AJ513" s="3"/>
    </row>
    <row r="514" spans="2:36" x14ac:dyDescent="0.2">
      <c r="B514" s="54"/>
      <c r="C514" s="3"/>
      <c r="D514" s="3"/>
      <c r="E514" s="54"/>
      <c r="F514" s="3"/>
      <c r="G514" s="3"/>
      <c r="H514" s="3"/>
      <c r="I514" s="3"/>
      <c r="J514" s="54"/>
      <c r="K514" s="150"/>
      <c r="L514" s="150"/>
      <c r="M514" s="150"/>
      <c r="N514" s="150"/>
      <c r="O514" s="150"/>
      <c r="P514" s="150"/>
      <c r="Q514" s="192"/>
      <c r="R514" s="3"/>
      <c r="S514" s="150"/>
      <c r="T514" s="150"/>
      <c r="U514" s="133"/>
      <c r="V514" s="272"/>
      <c r="W514" s="3"/>
      <c r="X514" s="3"/>
      <c r="Y514" s="3"/>
      <c r="Z514" s="3"/>
      <c r="AA514" s="3"/>
      <c r="AB514" s="3"/>
      <c r="AC514" s="3"/>
      <c r="AD514" s="3"/>
      <c r="AE514" s="3"/>
      <c r="AF514" s="3"/>
      <c r="AG514" s="3"/>
      <c r="AH514" s="3"/>
      <c r="AI514" s="3"/>
      <c r="AJ514" s="3"/>
    </row>
    <row r="515" spans="2:36" x14ac:dyDescent="0.2">
      <c r="B515" s="217" t="str">
        <f>'WS6 - PGI summary'!B132</f>
        <v>Cumulative PGI</v>
      </c>
      <c r="C515" s="3"/>
      <c r="D515" s="3"/>
      <c r="E515" s="54"/>
      <c r="F515" s="3"/>
      <c r="G515" s="3"/>
      <c r="H515" s="3"/>
      <c r="I515" s="3"/>
      <c r="J515" s="54"/>
      <c r="K515" s="228"/>
      <c r="L515" s="228"/>
      <c r="M515" s="228"/>
      <c r="N515" s="228"/>
      <c r="O515" s="228"/>
      <c r="P515" s="228"/>
      <c r="Q515" s="229"/>
      <c r="R515" s="3"/>
      <c r="S515" s="150"/>
      <c r="T515" s="150"/>
      <c r="U515" s="234"/>
      <c r="V515" s="269"/>
      <c r="W515" s="3"/>
      <c r="X515" s="3"/>
      <c r="Y515" s="3"/>
      <c r="Z515" s="3"/>
      <c r="AA515" s="3"/>
      <c r="AB515" s="3"/>
      <c r="AC515" s="3"/>
      <c r="AD515" s="3"/>
      <c r="AE515" s="3"/>
      <c r="AF515" s="3"/>
      <c r="AG515" s="3"/>
      <c r="AH515" s="3"/>
      <c r="AI515" s="3"/>
      <c r="AJ515" s="3"/>
    </row>
    <row r="516" spans="2:36" x14ac:dyDescent="0.2">
      <c r="B516" s="218" t="str">
        <f>'WS6 - PGI summary'!B133</f>
        <v>PGI with proposed SV</v>
      </c>
      <c r="C516" s="3"/>
      <c r="D516" s="207" t="str">
        <f>'WS6 - PGI summary'!D133</f>
        <v>$ nominal</v>
      </c>
      <c r="E516" s="218"/>
      <c r="F516" s="207"/>
      <c r="G516" s="3"/>
      <c r="H516" s="3"/>
      <c r="I516" s="3"/>
      <c r="J516" s="54"/>
      <c r="K516" s="112">
        <f>'WS6 - PGI summary'!K133</f>
        <v>62506588.204755157</v>
      </c>
      <c r="L516" s="112">
        <f>'WS6 - PGI summary'!L133</f>
        <v>126888374.05565298</v>
      </c>
      <c r="M516" s="112">
        <f>'WS6 - PGI summary'!M133</f>
        <v>193201613.48207772</v>
      </c>
      <c r="N516" s="112">
        <f>'WS6 - PGI summary'!N133</f>
        <v>261504250.09129521</v>
      </c>
      <c r="O516" s="112">
        <f>'WS6 - PGI summary'!O133</f>
        <v>331855965.79878926</v>
      </c>
      <c r="P516" s="112">
        <f>'WS6 - PGI summary'!P133</f>
        <v>404318232.97750807</v>
      </c>
      <c r="Q516" s="230">
        <f>'WS6 - PGI summary'!Q133</f>
        <v>478954368.17158848</v>
      </c>
      <c r="R516" s="3"/>
      <c r="S516" s="151"/>
      <c r="T516" s="151"/>
      <c r="U516" s="234">
        <f>'WS6 - PGI summary'!R133</f>
        <v>62506588.204755157</v>
      </c>
      <c r="V516" s="269">
        <f>'WS6 - PGI summary'!S133</f>
        <v>0</v>
      </c>
      <c r="W516" s="3"/>
      <c r="X516" s="3"/>
      <c r="Y516" s="3"/>
      <c r="Z516" s="3"/>
      <c r="AA516" s="3"/>
      <c r="AB516" s="3"/>
      <c r="AC516" s="3"/>
      <c r="AD516" s="3"/>
      <c r="AE516" s="3"/>
      <c r="AF516" s="3"/>
      <c r="AG516" s="3"/>
      <c r="AH516" s="3"/>
      <c r="AI516" s="3"/>
      <c r="AJ516" s="3"/>
    </row>
    <row r="517" spans="2:36" x14ac:dyDescent="0.2">
      <c r="B517" s="218" t="str">
        <f>'WS6 - PGI summary'!B134</f>
        <v>PGI if only the rate peg applied</v>
      </c>
      <c r="C517" s="3"/>
      <c r="D517" s="207" t="str">
        <f>'WS6 - PGI summary'!D134</f>
        <v>$ nominal</v>
      </c>
      <c r="E517" s="218"/>
      <c r="F517" s="207"/>
      <c r="G517" s="3"/>
      <c r="H517" s="3"/>
      <c r="I517" s="3"/>
      <c r="J517" s="54"/>
      <c r="K517" s="112">
        <f>'WS6 - PGI summary'!K134</f>
        <v>57071387.83912427</v>
      </c>
      <c r="L517" s="112">
        <f>'WS6 - PGI summary'!L134</f>
        <v>115854917.31342226</v>
      </c>
      <c r="M517" s="112">
        <f>'WS6 - PGI summary'!M134</f>
        <v>176401952.67194921</v>
      </c>
      <c r="N517" s="112">
        <f>'WS6 - PGI summary'!N134</f>
        <v>238765399.09123194</v>
      </c>
      <c r="O517" s="112">
        <f>'WS6 - PGI summary'!O134</f>
        <v>302999748.90309316</v>
      </c>
      <c r="P517" s="112">
        <f>'WS6 - PGI summary'!P134</f>
        <v>369161129.20931023</v>
      </c>
      <c r="Q517" s="230">
        <f>'WS6 - PGI summary'!Q134</f>
        <v>437307350.92471379</v>
      </c>
      <c r="R517" s="3"/>
      <c r="S517" s="151"/>
      <c r="T517" s="151"/>
      <c r="U517" s="234">
        <f>'WS6 - PGI summary'!R134</f>
        <v>57071387.83912427</v>
      </c>
      <c r="V517" s="269">
        <f>'WS6 - PGI summary'!S134</f>
        <v>0</v>
      </c>
      <c r="W517" s="3"/>
      <c r="X517" s="3"/>
      <c r="Y517" s="3"/>
      <c r="Z517" s="3"/>
      <c r="AA517" s="3"/>
      <c r="AB517" s="3"/>
      <c r="AC517" s="3"/>
      <c r="AD517" s="3"/>
      <c r="AE517" s="3"/>
      <c r="AF517" s="3"/>
      <c r="AG517" s="3"/>
      <c r="AH517" s="3"/>
      <c r="AI517" s="3"/>
      <c r="AJ517" s="3"/>
    </row>
    <row r="518" spans="2:36" x14ac:dyDescent="0.2">
      <c r="B518" s="32"/>
      <c r="C518" s="30"/>
      <c r="D518" s="30"/>
      <c r="E518" s="32"/>
      <c r="F518" s="30"/>
      <c r="G518" s="30"/>
      <c r="H518" s="30"/>
      <c r="I518" s="30"/>
      <c r="J518" s="32"/>
      <c r="K518" s="119"/>
      <c r="L518" s="119"/>
      <c r="M518" s="119"/>
      <c r="N518" s="119"/>
      <c r="O518" s="119"/>
      <c r="P518" s="119"/>
      <c r="Q518" s="116"/>
      <c r="R518" s="119"/>
      <c r="S518" s="119"/>
      <c r="T518" s="119"/>
      <c r="U518" s="190"/>
      <c r="V518" s="191"/>
      <c r="W518" s="3"/>
      <c r="X518" s="3"/>
      <c r="Y518" s="3"/>
      <c r="Z518" s="3"/>
      <c r="AA518" s="3"/>
      <c r="AB518" s="3"/>
      <c r="AC518" s="3"/>
      <c r="AD518" s="3"/>
      <c r="AE518" s="3"/>
      <c r="AF518" s="3"/>
      <c r="AG518" s="3"/>
      <c r="AH518" s="3"/>
      <c r="AI518" s="3"/>
      <c r="AJ518" s="3"/>
    </row>
    <row r="519" spans="2:36" x14ac:dyDescent="0.2">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2:36" x14ac:dyDescent="0.2">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2:36" x14ac:dyDescent="0.2">
      <c r="B521" s="3" t="str">
        <f>'WS3 - Notional General Income'!B4</f>
        <v>WORKSHEET 3 - CALCULATION OF NOTIONAL GENERAL INCOME FOR 2023-24 (THE CURRENT YEAR OR YEAR 0)</v>
      </c>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2:36" x14ac:dyDescent="0.2">
      <c r="B522" s="2"/>
      <c r="C522" s="3"/>
      <c r="D522" s="3"/>
      <c r="E522" s="3"/>
      <c r="F522" s="3"/>
      <c r="G522" s="3"/>
      <c r="H522" s="3"/>
      <c r="I522" s="3"/>
      <c r="J522" s="3"/>
      <c r="K522" s="3"/>
      <c r="L522" s="2" t="str">
        <f>'WS0 - Input data'!J58</f>
        <v>2023-24</v>
      </c>
      <c r="M522" s="3"/>
      <c r="N522" s="3"/>
      <c r="O522" s="3"/>
      <c r="P522" s="3"/>
      <c r="Q522" s="3"/>
      <c r="R522" s="3"/>
      <c r="S522" s="3"/>
      <c r="T522" s="3"/>
      <c r="U522" s="3"/>
      <c r="V522" s="3"/>
      <c r="W522" s="3"/>
      <c r="X522" s="3"/>
      <c r="Y522" s="3"/>
      <c r="Z522" s="3"/>
      <c r="AA522" s="3"/>
      <c r="AB522" s="3"/>
      <c r="AC522" s="3"/>
      <c r="AD522" s="3"/>
      <c r="AE522" s="3"/>
    </row>
    <row r="523" spans="2:36" ht="36" x14ac:dyDescent="0.2">
      <c r="B523" s="361" t="str">
        <f>'WS3 - Notional General Income'!B20</f>
        <v>Rating Category   (s514-518)</v>
      </c>
      <c r="C523" s="362" t="str">
        <f>'WS3 - Notional General Income'!C20</f>
        <v xml:space="preserve">Name of 
sub-category </v>
      </c>
      <c r="D523" s="365" t="str">
        <f>'WS3 - Notional General Income'!D20</f>
        <v>Number of Assessments</v>
      </c>
      <c r="E523" s="365" t="str">
        <f>'WS3 - Notional General Income'!E20</f>
        <v>Ad Valorem Rate (cents)</v>
      </c>
      <c r="F523" s="365" t="str">
        <f>'WS3 - Notional General Income'!F20</f>
        <v>Base Amount
$</v>
      </c>
      <c r="G523" s="365" t="str">
        <f>'WS3 - Notional General Income'!G20</f>
        <v>Base Amount %</v>
      </c>
      <c r="H523" s="365" t="str">
        <f>'WS3 - Notional General Income'!H20</f>
        <v>Minimum
Amount
$</v>
      </c>
      <c r="I523" s="365" t="str">
        <f>'WS3 - Notional General Income'!I20</f>
        <v>Number on Minimum</v>
      </c>
      <c r="J523" s="365" t="str">
        <f>'WS3 - Notional General Income'!J20</f>
        <v>Land Value
(see note above)
$</v>
      </c>
      <c r="K523" s="365" t="str">
        <f>'WS3 - Notional General Income'!K20</f>
        <v>Land Value of Land on Minimum</v>
      </c>
      <c r="L523" s="366" t="str">
        <f>'WS3 - Notional General Income'!L20</f>
        <v>Notional General 
Income</v>
      </c>
      <c r="W523" s="3"/>
      <c r="X523" s="3"/>
      <c r="Y523" s="3"/>
      <c r="Z523" s="3"/>
      <c r="AA523" s="3"/>
      <c r="AB523" s="3"/>
      <c r="AC523" s="3"/>
      <c r="AD523" s="3"/>
      <c r="AE523" s="3"/>
    </row>
    <row r="524" spans="2:36" x14ac:dyDescent="0.2">
      <c r="B524" s="373" t="str">
        <f>'WS3 - Notional General Income'!B21</f>
        <v>Residential</v>
      </c>
      <c r="C524" s="374" t="str">
        <f>'WS3 - Notional General Income'!C21</f>
        <v>Residential</v>
      </c>
      <c r="D524" s="151">
        <f>'WS3 - Notional General Income'!D21</f>
        <v>29428</v>
      </c>
      <c r="E524" s="1455">
        <f>'WS3 - Notional General Income'!E21</f>
        <v>5.1561000000000003E-2</v>
      </c>
      <c r="F524" s="151">
        <f>'WS3 - Notional General Income'!F21</f>
        <v>0</v>
      </c>
      <c r="G524" s="367" t="str">
        <f>'WS3 - Notional General Income'!G21</f>
        <v>.</v>
      </c>
      <c r="H524" s="151">
        <f>'WS3 - Notional General Income'!H21</f>
        <v>881.2</v>
      </c>
      <c r="I524" s="151">
        <f>'WS3 - Notional General Income'!I21</f>
        <v>16449</v>
      </c>
      <c r="J524" s="151">
        <f>'WS3 - Notional General Income'!J21</f>
        <v>41955718018</v>
      </c>
      <c r="K524" s="151">
        <f>'WS3 - Notional General Income'!K21</f>
        <v>7978632695</v>
      </c>
      <c r="L524" s="120">
        <f>'WS3 - Notional General Income'!L21</f>
        <v>32013783.763392031</v>
      </c>
      <c r="W524" s="3"/>
      <c r="X524" s="3"/>
      <c r="Y524" s="3"/>
      <c r="Z524" s="3"/>
      <c r="AA524" s="3"/>
      <c r="AB524" s="3"/>
      <c r="AC524" s="3"/>
      <c r="AD524" s="3"/>
      <c r="AE524" s="3"/>
    </row>
    <row r="525" spans="2:36" x14ac:dyDescent="0.2">
      <c r="B525" s="373" t="str">
        <f>'WS3 - Notional General Income'!B22</f>
        <v>Residential</v>
      </c>
      <c r="C525" s="374">
        <f>'WS3 - Notional General Income'!C22</f>
        <v>0</v>
      </c>
      <c r="D525" s="151">
        <f>'WS3 - Notional General Income'!D22</f>
        <v>0</v>
      </c>
      <c r="E525" s="151">
        <f>'WS3 - Notional General Income'!E22</f>
        <v>0</v>
      </c>
      <c r="F525" s="151">
        <f>'WS3 - Notional General Income'!F22</f>
        <v>0</v>
      </c>
      <c r="G525" s="367" t="str">
        <f>'WS3 - Notional General Income'!G22</f>
        <v>.</v>
      </c>
      <c r="H525" s="151">
        <f>'WS3 - Notional General Income'!H22</f>
        <v>0</v>
      </c>
      <c r="I525" s="151">
        <f>'WS3 - Notional General Income'!I22</f>
        <v>0</v>
      </c>
      <c r="J525" s="151">
        <f>'WS3 - Notional General Income'!J22</f>
        <v>0</v>
      </c>
      <c r="K525" s="151">
        <f>'WS3 - Notional General Income'!K22</f>
        <v>0</v>
      </c>
      <c r="L525" s="120" t="str">
        <f>'WS3 - Notional General Income'!L22</f>
        <v>.</v>
      </c>
      <c r="W525" s="3"/>
      <c r="X525" s="3"/>
      <c r="Y525" s="3"/>
      <c r="Z525" s="3"/>
      <c r="AA525" s="3"/>
      <c r="AB525" s="3"/>
      <c r="AC525" s="3"/>
      <c r="AD525" s="3"/>
      <c r="AE525" s="3"/>
    </row>
    <row r="526" spans="2:36" ht="12" customHeight="1" x14ac:dyDescent="0.2">
      <c r="B526" s="373" t="str">
        <f>'WS3 - Notional General Income'!B23</f>
        <v>Residential</v>
      </c>
      <c r="C526" s="374">
        <f>'WS3 - Notional General Income'!C23</f>
        <v>0</v>
      </c>
      <c r="D526" s="151">
        <f>'WS3 - Notional General Income'!D23</f>
        <v>0</v>
      </c>
      <c r="E526" s="151">
        <f>'WS3 - Notional General Income'!E23</f>
        <v>0</v>
      </c>
      <c r="F526" s="151">
        <f>'WS3 - Notional General Income'!F23</f>
        <v>0</v>
      </c>
      <c r="G526" s="367" t="str">
        <f>'WS3 - Notional General Income'!G23</f>
        <v>.</v>
      </c>
      <c r="H526" s="151">
        <f>'WS3 - Notional General Income'!H23</f>
        <v>0</v>
      </c>
      <c r="I526" s="151">
        <f>'WS3 - Notional General Income'!I23</f>
        <v>0</v>
      </c>
      <c r="J526" s="151">
        <f>'WS3 - Notional General Income'!J23</f>
        <v>0</v>
      </c>
      <c r="K526" s="151">
        <f>'WS3 - Notional General Income'!K23</f>
        <v>0</v>
      </c>
      <c r="L526" s="120" t="str">
        <f>'WS3 - Notional General Income'!L23</f>
        <v>.</v>
      </c>
      <c r="W526" s="3"/>
      <c r="X526" s="3"/>
      <c r="Y526" s="3"/>
      <c r="Z526" s="3"/>
      <c r="AA526" s="3"/>
      <c r="AB526" s="3"/>
      <c r="AC526" s="3"/>
      <c r="AD526" s="3"/>
      <c r="AE526" s="3"/>
    </row>
    <row r="527" spans="2:36" ht="12" customHeight="1" x14ac:dyDescent="0.2">
      <c r="B527" s="373" t="str">
        <f>'WS3 - Notional General Income'!B24</f>
        <v>Residential</v>
      </c>
      <c r="C527" s="374">
        <f>'WS3 - Notional General Income'!C24</f>
        <v>0</v>
      </c>
      <c r="D527" s="151">
        <f>'WS3 - Notional General Income'!D24</f>
        <v>0</v>
      </c>
      <c r="E527" s="151">
        <f>'WS3 - Notional General Income'!E24</f>
        <v>0</v>
      </c>
      <c r="F527" s="151">
        <f>'WS3 - Notional General Income'!F24</f>
        <v>0</v>
      </c>
      <c r="G527" s="367" t="str">
        <f>'WS3 - Notional General Income'!G24</f>
        <v>.</v>
      </c>
      <c r="H527" s="151">
        <f>'WS3 - Notional General Income'!H24</f>
        <v>0</v>
      </c>
      <c r="I527" s="151">
        <f>'WS3 - Notional General Income'!I24</f>
        <v>0</v>
      </c>
      <c r="J527" s="151">
        <f>'WS3 - Notional General Income'!J24</f>
        <v>0</v>
      </c>
      <c r="K527" s="151">
        <f>'WS3 - Notional General Income'!K24</f>
        <v>0</v>
      </c>
      <c r="L527" s="120" t="str">
        <f>'WS3 - Notional General Income'!L24</f>
        <v>.</v>
      </c>
      <c r="W527" s="3"/>
      <c r="X527" s="3"/>
      <c r="Y527" s="3"/>
      <c r="Z527" s="3"/>
      <c r="AA527" s="3"/>
      <c r="AB527" s="3"/>
      <c r="AC527" s="3"/>
      <c r="AD527" s="3"/>
      <c r="AE527" s="3"/>
    </row>
    <row r="528" spans="2:36" ht="12" customHeight="1" x14ac:dyDescent="0.2">
      <c r="B528" s="373" t="str">
        <f>'WS3 - Notional General Income'!B25</f>
        <v>Residential</v>
      </c>
      <c r="C528" s="374">
        <f>'WS3 - Notional General Income'!C25</f>
        <v>0</v>
      </c>
      <c r="D528" s="151">
        <f>'WS3 - Notional General Income'!D25</f>
        <v>0</v>
      </c>
      <c r="E528" s="151">
        <f>'WS3 - Notional General Income'!E25</f>
        <v>0</v>
      </c>
      <c r="F528" s="151">
        <f>'WS3 - Notional General Income'!F25</f>
        <v>0</v>
      </c>
      <c r="G528" s="367" t="str">
        <f>'WS3 - Notional General Income'!G25</f>
        <v>.</v>
      </c>
      <c r="H528" s="151">
        <f>'WS3 - Notional General Income'!H25</f>
        <v>0</v>
      </c>
      <c r="I528" s="151">
        <f>'WS3 - Notional General Income'!I25</f>
        <v>0</v>
      </c>
      <c r="J528" s="151">
        <f>'WS3 - Notional General Income'!J25</f>
        <v>0</v>
      </c>
      <c r="K528" s="151">
        <f>'WS3 - Notional General Income'!K25</f>
        <v>0</v>
      </c>
      <c r="L528" s="120" t="str">
        <f>'WS3 - Notional General Income'!L25</f>
        <v>.</v>
      </c>
      <c r="W528" s="3"/>
      <c r="X528" s="3"/>
      <c r="Y528" s="3"/>
      <c r="Z528" s="3"/>
      <c r="AA528" s="3"/>
      <c r="AB528" s="3"/>
      <c r="AC528" s="3"/>
      <c r="AD528" s="3"/>
      <c r="AE528" s="3"/>
    </row>
    <row r="529" spans="2:31" ht="12" customHeight="1" x14ac:dyDescent="0.2">
      <c r="B529" s="373" t="str">
        <f>'WS3 - Notional General Income'!B26</f>
        <v>Residential</v>
      </c>
      <c r="C529" s="374">
        <f>'WS3 - Notional General Income'!C26</f>
        <v>0</v>
      </c>
      <c r="D529" s="151">
        <f>'WS3 - Notional General Income'!D26</f>
        <v>0</v>
      </c>
      <c r="E529" s="151">
        <f>'WS3 - Notional General Income'!E26</f>
        <v>0</v>
      </c>
      <c r="F529" s="151">
        <f>'WS3 - Notional General Income'!F26</f>
        <v>0</v>
      </c>
      <c r="G529" s="367" t="str">
        <f>'WS3 - Notional General Income'!G26</f>
        <v>.</v>
      </c>
      <c r="H529" s="151">
        <f>'WS3 - Notional General Income'!H26</f>
        <v>0</v>
      </c>
      <c r="I529" s="151">
        <f>'WS3 - Notional General Income'!I26</f>
        <v>0</v>
      </c>
      <c r="J529" s="151">
        <f>'WS3 - Notional General Income'!J26</f>
        <v>0</v>
      </c>
      <c r="K529" s="151">
        <f>'WS3 - Notional General Income'!K26</f>
        <v>0</v>
      </c>
      <c r="L529" s="120" t="str">
        <f>'WS3 - Notional General Income'!L26</f>
        <v>.</v>
      </c>
      <c r="W529" s="3"/>
      <c r="X529" s="3"/>
      <c r="Y529" s="3"/>
      <c r="Z529" s="3"/>
      <c r="AA529" s="3"/>
      <c r="AB529" s="3"/>
      <c r="AC529" s="3"/>
      <c r="AD529" s="3"/>
      <c r="AE529" s="3"/>
    </row>
    <row r="530" spans="2:31" ht="12" customHeight="1" x14ac:dyDescent="0.2">
      <c r="B530" s="373" t="str">
        <f>'WS3 - Notional General Income'!B27</f>
        <v>Residential</v>
      </c>
      <c r="C530" s="374">
        <f>'WS3 - Notional General Income'!C27</f>
        <v>0</v>
      </c>
      <c r="D530" s="151">
        <f>'WS3 - Notional General Income'!D27</f>
        <v>0</v>
      </c>
      <c r="E530" s="151">
        <f>'WS3 - Notional General Income'!E27</f>
        <v>0</v>
      </c>
      <c r="F530" s="151">
        <f>'WS3 - Notional General Income'!F27</f>
        <v>0</v>
      </c>
      <c r="G530" s="367" t="str">
        <f>'WS3 - Notional General Income'!G27</f>
        <v>.</v>
      </c>
      <c r="H530" s="151">
        <f>'WS3 - Notional General Income'!H27</f>
        <v>0</v>
      </c>
      <c r="I530" s="151">
        <f>'WS3 - Notional General Income'!I27</f>
        <v>0</v>
      </c>
      <c r="J530" s="151">
        <f>'WS3 - Notional General Income'!J27</f>
        <v>0</v>
      </c>
      <c r="K530" s="151">
        <f>'WS3 - Notional General Income'!K27</f>
        <v>0</v>
      </c>
      <c r="L530" s="120" t="str">
        <f>'WS3 - Notional General Income'!L27</f>
        <v>.</v>
      </c>
      <c r="W530" s="3"/>
      <c r="X530" s="3"/>
      <c r="Y530" s="3"/>
      <c r="Z530" s="3"/>
      <c r="AA530" s="3"/>
      <c r="AB530" s="3"/>
      <c r="AC530" s="3"/>
      <c r="AD530" s="3"/>
      <c r="AE530" s="3"/>
    </row>
    <row r="531" spans="2:31" ht="12" customHeight="1" x14ac:dyDescent="0.2">
      <c r="B531" s="373" t="str">
        <f>'WS3 - Notional General Income'!B28</f>
        <v>Residential</v>
      </c>
      <c r="C531" s="374">
        <f>'WS3 - Notional General Income'!C28</f>
        <v>0</v>
      </c>
      <c r="D531" s="151">
        <f>'WS3 - Notional General Income'!D28</f>
        <v>0</v>
      </c>
      <c r="E531" s="151">
        <f>'WS3 - Notional General Income'!E28</f>
        <v>0</v>
      </c>
      <c r="F531" s="151">
        <f>'WS3 - Notional General Income'!F28</f>
        <v>0</v>
      </c>
      <c r="G531" s="367" t="str">
        <f>'WS3 - Notional General Income'!G28</f>
        <v>.</v>
      </c>
      <c r="H531" s="151">
        <f>'WS3 - Notional General Income'!H28</f>
        <v>0</v>
      </c>
      <c r="I531" s="151">
        <f>'WS3 - Notional General Income'!I28</f>
        <v>0</v>
      </c>
      <c r="J531" s="151">
        <f>'WS3 - Notional General Income'!J28</f>
        <v>0</v>
      </c>
      <c r="K531" s="151">
        <f>'WS3 - Notional General Income'!K28</f>
        <v>0</v>
      </c>
      <c r="L531" s="120" t="str">
        <f>'WS3 - Notional General Income'!L28</f>
        <v>.</v>
      </c>
      <c r="W531" s="3"/>
      <c r="X531" s="3"/>
      <c r="Y531" s="3"/>
      <c r="Z531" s="3"/>
      <c r="AA531" s="3"/>
      <c r="AB531" s="3"/>
      <c r="AC531" s="3"/>
      <c r="AD531" s="3"/>
      <c r="AE531" s="3"/>
    </row>
    <row r="532" spans="2:31" ht="12" customHeight="1" x14ac:dyDescent="0.2">
      <c r="B532" s="373" t="str">
        <f>'WS3 - Notional General Income'!B29</f>
        <v>Residential</v>
      </c>
      <c r="C532" s="374">
        <f>'WS3 - Notional General Income'!C29</f>
        <v>0</v>
      </c>
      <c r="D532" s="151">
        <f>'WS3 - Notional General Income'!D29</f>
        <v>0</v>
      </c>
      <c r="E532" s="151">
        <f>'WS3 - Notional General Income'!E29</f>
        <v>0</v>
      </c>
      <c r="F532" s="151">
        <f>'WS3 - Notional General Income'!F29</f>
        <v>0</v>
      </c>
      <c r="G532" s="367" t="str">
        <f>'WS3 - Notional General Income'!G29</f>
        <v>.</v>
      </c>
      <c r="H532" s="151">
        <f>'WS3 - Notional General Income'!H29</f>
        <v>0</v>
      </c>
      <c r="I532" s="151">
        <f>'WS3 - Notional General Income'!I29</f>
        <v>0</v>
      </c>
      <c r="J532" s="151">
        <f>'WS3 - Notional General Income'!J29</f>
        <v>0</v>
      </c>
      <c r="K532" s="151">
        <f>'WS3 - Notional General Income'!K29</f>
        <v>0</v>
      </c>
      <c r="L532" s="120" t="str">
        <f>'WS3 - Notional General Income'!L29</f>
        <v>.</v>
      </c>
      <c r="W532" s="3"/>
      <c r="X532" s="3"/>
      <c r="Y532" s="3"/>
      <c r="Z532" s="3"/>
      <c r="AA532" s="3"/>
      <c r="AB532" s="3"/>
      <c r="AC532" s="3"/>
      <c r="AD532" s="3"/>
      <c r="AE532" s="3"/>
    </row>
    <row r="533" spans="2:31" ht="12" customHeight="1" x14ac:dyDescent="0.2">
      <c r="B533" s="373" t="str">
        <f>'WS3 - Notional General Income'!B30</f>
        <v>Residential</v>
      </c>
      <c r="C533" s="374">
        <f>'WS3 - Notional General Income'!C30</f>
        <v>0</v>
      </c>
      <c r="D533" s="151">
        <f>'WS3 - Notional General Income'!D30</f>
        <v>0</v>
      </c>
      <c r="E533" s="151">
        <f>'WS3 - Notional General Income'!E30</f>
        <v>0</v>
      </c>
      <c r="F533" s="151">
        <f>'WS3 - Notional General Income'!F30</f>
        <v>0</v>
      </c>
      <c r="G533" s="367" t="str">
        <f>'WS3 - Notional General Income'!G30</f>
        <v>.</v>
      </c>
      <c r="H533" s="151">
        <f>'WS3 - Notional General Income'!H30</f>
        <v>0</v>
      </c>
      <c r="I533" s="151">
        <f>'WS3 - Notional General Income'!I30</f>
        <v>0</v>
      </c>
      <c r="J533" s="151">
        <f>'WS3 - Notional General Income'!J30</f>
        <v>0</v>
      </c>
      <c r="K533" s="151">
        <f>'WS3 - Notional General Income'!K30</f>
        <v>0</v>
      </c>
      <c r="L533" s="120" t="str">
        <f>'WS3 - Notional General Income'!L30</f>
        <v>.</v>
      </c>
      <c r="W533" s="3"/>
      <c r="X533" s="3"/>
      <c r="Y533" s="3"/>
      <c r="Z533" s="3"/>
      <c r="AA533" s="3"/>
      <c r="AB533" s="3"/>
      <c r="AC533" s="3"/>
      <c r="AD533" s="3"/>
      <c r="AE533" s="3"/>
    </row>
    <row r="534" spans="2:31" ht="12" customHeight="1" x14ac:dyDescent="0.2">
      <c r="B534" s="373" t="str">
        <f>'WS3 - Notional General Income'!B31</f>
        <v>Residential</v>
      </c>
      <c r="C534" s="374">
        <f>'WS3 - Notional General Income'!C31</f>
        <v>0</v>
      </c>
      <c r="D534" s="151">
        <f>'WS3 - Notional General Income'!D31</f>
        <v>0</v>
      </c>
      <c r="E534" s="151">
        <f>'WS3 - Notional General Income'!E31</f>
        <v>0</v>
      </c>
      <c r="F534" s="151">
        <f>'WS3 - Notional General Income'!F31</f>
        <v>0</v>
      </c>
      <c r="G534" s="367" t="str">
        <f>'WS3 - Notional General Income'!G31</f>
        <v>.</v>
      </c>
      <c r="H534" s="151">
        <f>'WS3 - Notional General Income'!H31</f>
        <v>0</v>
      </c>
      <c r="I534" s="151">
        <f>'WS3 - Notional General Income'!I31</f>
        <v>0</v>
      </c>
      <c r="J534" s="151">
        <f>'WS3 - Notional General Income'!J31</f>
        <v>0</v>
      </c>
      <c r="K534" s="151">
        <f>'WS3 - Notional General Income'!K31</f>
        <v>0</v>
      </c>
      <c r="L534" s="120" t="str">
        <f>'WS3 - Notional General Income'!L31</f>
        <v>.</v>
      </c>
      <c r="W534" s="3"/>
      <c r="X534" s="3"/>
      <c r="Y534" s="3"/>
      <c r="Z534" s="3"/>
      <c r="AA534" s="3"/>
      <c r="AB534" s="3"/>
      <c r="AC534" s="3"/>
      <c r="AD534" s="3"/>
      <c r="AE534" s="3"/>
    </row>
    <row r="535" spans="2:31" ht="12" customHeight="1" x14ac:dyDescent="0.2">
      <c r="B535" s="373" t="str">
        <f>'WS3 - Notional General Income'!B32</f>
        <v>Residential</v>
      </c>
      <c r="C535" s="374">
        <f>'WS3 - Notional General Income'!C32</f>
        <v>0</v>
      </c>
      <c r="D535" s="151">
        <f>'WS3 - Notional General Income'!D32</f>
        <v>0</v>
      </c>
      <c r="E535" s="151">
        <f>'WS3 - Notional General Income'!E32</f>
        <v>0</v>
      </c>
      <c r="F535" s="151">
        <f>'WS3 - Notional General Income'!F32</f>
        <v>0</v>
      </c>
      <c r="G535" s="367" t="str">
        <f>'WS3 - Notional General Income'!G32</f>
        <v>.</v>
      </c>
      <c r="H535" s="151">
        <f>'WS3 - Notional General Income'!H32</f>
        <v>0</v>
      </c>
      <c r="I535" s="151">
        <f>'WS3 - Notional General Income'!I32</f>
        <v>0</v>
      </c>
      <c r="J535" s="151">
        <f>'WS3 - Notional General Income'!J32</f>
        <v>0</v>
      </c>
      <c r="K535" s="151">
        <f>'WS3 - Notional General Income'!K32</f>
        <v>0</v>
      </c>
      <c r="L535" s="120" t="str">
        <f>'WS3 - Notional General Income'!L32</f>
        <v>.</v>
      </c>
      <c r="W535" s="3"/>
      <c r="X535" s="3"/>
      <c r="Y535" s="3"/>
      <c r="Z535" s="3"/>
      <c r="AA535" s="3"/>
      <c r="AB535" s="3"/>
      <c r="AC535" s="3"/>
      <c r="AD535" s="3"/>
      <c r="AE535" s="3"/>
    </row>
    <row r="536" spans="2:31" ht="12" customHeight="1" x14ac:dyDescent="0.2">
      <c r="B536" s="373" t="str">
        <f>'WS3 - Notional General Income'!B33</f>
        <v>Residential</v>
      </c>
      <c r="C536" s="374">
        <f>'WS3 - Notional General Income'!C33</f>
        <v>0</v>
      </c>
      <c r="D536" s="151">
        <f>'WS3 - Notional General Income'!D33</f>
        <v>0</v>
      </c>
      <c r="E536" s="151">
        <f>'WS3 - Notional General Income'!E33</f>
        <v>0</v>
      </c>
      <c r="F536" s="151">
        <f>'WS3 - Notional General Income'!F33</f>
        <v>0</v>
      </c>
      <c r="G536" s="367" t="str">
        <f>'WS3 - Notional General Income'!G33</f>
        <v>.</v>
      </c>
      <c r="H536" s="151">
        <f>'WS3 - Notional General Income'!H33</f>
        <v>0</v>
      </c>
      <c r="I536" s="151">
        <f>'WS3 - Notional General Income'!I33</f>
        <v>0</v>
      </c>
      <c r="J536" s="151">
        <f>'WS3 - Notional General Income'!J33</f>
        <v>0</v>
      </c>
      <c r="K536" s="151">
        <f>'WS3 - Notional General Income'!K33</f>
        <v>0</v>
      </c>
      <c r="L536" s="120" t="str">
        <f>'WS3 - Notional General Income'!L33</f>
        <v>.</v>
      </c>
      <c r="W536" s="3"/>
      <c r="X536" s="3"/>
      <c r="Y536" s="3"/>
      <c r="Z536" s="3"/>
      <c r="AA536" s="3"/>
      <c r="AB536" s="3"/>
      <c r="AC536" s="3"/>
      <c r="AD536" s="3"/>
      <c r="AE536" s="3"/>
    </row>
    <row r="537" spans="2:31" ht="12" customHeight="1" x14ac:dyDescent="0.2">
      <c r="B537" s="373" t="str">
        <f>'WS3 - Notional General Income'!B34</f>
        <v>Residential</v>
      </c>
      <c r="C537" s="374">
        <f>'WS3 - Notional General Income'!C34</f>
        <v>0</v>
      </c>
      <c r="D537" s="151">
        <f>'WS3 - Notional General Income'!D34</f>
        <v>0</v>
      </c>
      <c r="E537" s="151">
        <f>'WS3 - Notional General Income'!E34</f>
        <v>0</v>
      </c>
      <c r="F537" s="151">
        <f>'WS3 - Notional General Income'!F34</f>
        <v>0</v>
      </c>
      <c r="G537" s="367" t="str">
        <f>'WS3 - Notional General Income'!G34</f>
        <v>.</v>
      </c>
      <c r="H537" s="151">
        <f>'WS3 - Notional General Income'!H34</f>
        <v>0</v>
      </c>
      <c r="I537" s="151">
        <f>'WS3 - Notional General Income'!I34</f>
        <v>0</v>
      </c>
      <c r="J537" s="151">
        <f>'WS3 - Notional General Income'!J34</f>
        <v>0</v>
      </c>
      <c r="K537" s="151">
        <f>'WS3 - Notional General Income'!K34</f>
        <v>0</v>
      </c>
      <c r="L537" s="120" t="str">
        <f>'WS3 - Notional General Income'!L34</f>
        <v>.</v>
      </c>
      <c r="W537" s="3"/>
      <c r="X537" s="3"/>
      <c r="Y537" s="3"/>
      <c r="Z537" s="3"/>
      <c r="AA537" s="3"/>
      <c r="AB537" s="3"/>
      <c r="AC537" s="3"/>
      <c r="AD537" s="3"/>
      <c r="AE537" s="3"/>
    </row>
    <row r="538" spans="2:31" ht="12" customHeight="1" x14ac:dyDescent="0.2">
      <c r="B538" s="373" t="str">
        <f>'WS3 - Notional General Income'!B35</f>
        <v>Residential</v>
      </c>
      <c r="C538" s="374">
        <f>'WS3 - Notional General Income'!C35</f>
        <v>0</v>
      </c>
      <c r="D538" s="151">
        <f>'WS3 - Notional General Income'!D35</f>
        <v>0</v>
      </c>
      <c r="E538" s="151">
        <f>'WS3 - Notional General Income'!E35</f>
        <v>0</v>
      </c>
      <c r="F538" s="151">
        <f>'WS3 - Notional General Income'!F35</f>
        <v>0</v>
      </c>
      <c r="G538" s="367" t="str">
        <f>'WS3 - Notional General Income'!G35</f>
        <v>.</v>
      </c>
      <c r="H538" s="151">
        <f>'WS3 - Notional General Income'!H35</f>
        <v>0</v>
      </c>
      <c r="I538" s="151">
        <f>'WS3 - Notional General Income'!I35</f>
        <v>0</v>
      </c>
      <c r="J538" s="151">
        <f>'WS3 - Notional General Income'!J35</f>
        <v>0</v>
      </c>
      <c r="K538" s="151">
        <f>'WS3 - Notional General Income'!K35</f>
        <v>0</v>
      </c>
      <c r="L538" s="120" t="str">
        <f>'WS3 - Notional General Income'!L35</f>
        <v>.</v>
      </c>
      <c r="W538" s="3"/>
      <c r="X538" s="3"/>
      <c r="Y538" s="3"/>
      <c r="Z538" s="3"/>
      <c r="AA538" s="3"/>
      <c r="AB538" s="3"/>
      <c r="AC538" s="3"/>
      <c r="AD538" s="3"/>
      <c r="AE538" s="3"/>
    </row>
    <row r="539" spans="2:31" ht="12" customHeight="1" x14ac:dyDescent="0.2">
      <c r="B539" s="373" t="str">
        <f>'WS3 - Notional General Income'!B36</f>
        <v>Residential</v>
      </c>
      <c r="C539" s="374">
        <f>'WS3 - Notional General Income'!C36</f>
        <v>0</v>
      </c>
      <c r="D539" s="151">
        <f>'WS3 - Notional General Income'!D36</f>
        <v>0</v>
      </c>
      <c r="E539" s="151">
        <f>'WS3 - Notional General Income'!E36</f>
        <v>0</v>
      </c>
      <c r="F539" s="151">
        <f>'WS3 - Notional General Income'!F36</f>
        <v>0</v>
      </c>
      <c r="G539" s="367" t="str">
        <f>'WS3 - Notional General Income'!G36</f>
        <v>.</v>
      </c>
      <c r="H539" s="151">
        <f>'WS3 - Notional General Income'!H36</f>
        <v>0</v>
      </c>
      <c r="I539" s="151">
        <f>'WS3 - Notional General Income'!I36</f>
        <v>0</v>
      </c>
      <c r="J539" s="151">
        <f>'WS3 - Notional General Income'!J36</f>
        <v>0</v>
      </c>
      <c r="K539" s="151">
        <f>'WS3 - Notional General Income'!K36</f>
        <v>0</v>
      </c>
      <c r="L539" s="120" t="str">
        <f>'WS3 - Notional General Income'!L36</f>
        <v>.</v>
      </c>
      <c r="W539" s="3"/>
      <c r="X539" s="3"/>
      <c r="Y539" s="3"/>
      <c r="Z539" s="3"/>
      <c r="AA539" s="3"/>
      <c r="AB539" s="3"/>
      <c r="AC539" s="3"/>
      <c r="AD539" s="3"/>
      <c r="AE539" s="3"/>
    </row>
    <row r="540" spans="2:31" ht="12" customHeight="1" x14ac:dyDescent="0.2">
      <c r="B540" s="373" t="str">
        <f>'WS3 - Notional General Income'!B37</f>
        <v>Residential</v>
      </c>
      <c r="C540" s="374">
        <f>'WS3 - Notional General Income'!C37</f>
        <v>0</v>
      </c>
      <c r="D540" s="151">
        <f>'WS3 - Notional General Income'!D37</f>
        <v>0</v>
      </c>
      <c r="E540" s="151">
        <f>'WS3 - Notional General Income'!E37</f>
        <v>0</v>
      </c>
      <c r="F540" s="151">
        <f>'WS3 - Notional General Income'!F37</f>
        <v>0</v>
      </c>
      <c r="G540" s="367" t="str">
        <f>'WS3 - Notional General Income'!G37</f>
        <v>.</v>
      </c>
      <c r="H540" s="151">
        <f>'WS3 - Notional General Income'!H37</f>
        <v>0</v>
      </c>
      <c r="I540" s="151">
        <f>'WS3 - Notional General Income'!I37</f>
        <v>0</v>
      </c>
      <c r="J540" s="151">
        <f>'WS3 - Notional General Income'!J37</f>
        <v>0</v>
      </c>
      <c r="K540" s="151">
        <f>'WS3 - Notional General Income'!K37</f>
        <v>0</v>
      </c>
      <c r="L540" s="120" t="str">
        <f>'WS3 - Notional General Income'!L37</f>
        <v>.</v>
      </c>
      <c r="W540" s="3"/>
      <c r="X540" s="3"/>
      <c r="Y540" s="3"/>
      <c r="Z540" s="3"/>
      <c r="AA540" s="3"/>
      <c r="AB540" s="3"/>
      <c r="AC540" s="3"/>
      <c r="AD540" s="3"/>
      <c r="AE540" s="3"/>
    </row>
    <row r="541" spans="2:31" ht="12" customHeight="1" x14ac:dyDescent="0.2">
      <c r="B541" s="373" t="str">
        <f>'WS3 - Notional General Income'!B38</f>
        <v>Residential</v>
      </c>
      <c r="C541" s="374">
        <f>'WS3 - Notional General Income'!C38</f>
        <v>0</v>
      </c>
      <c r="D541" s="151">
        <f>'WS3 - Notional General Income'!D38</f>
        <v>0</v>
      </c>
      <c r="E541" s="151">
        <f>'WS3 - Notional General Income'!E38</f>
        <v>0</v>
      </c>
      <c r="F541" s="151">
        <f>'WS3 - Notional General Income'!F38</f>
        <v>0</v>
      </c>
      <c r="G541" s="367" t="str">
        <f>'WS3 - Notional General Income'!G38</f>
        <v>.</v>
      </c>
      <c r="H541" s="151">
        <f>'WS3 - Notional General Income'!H38</f>
        <v>0</v>
      </c>
      <c r="I541" s="151">
        <f>'WS3 - Notional General Income'!I38</f>
        <v>0</v>
      </c>
      <c r="J541" s="151">
        <f>'WS3 - Notional General Income'!J38</f>
        <v>0</v>
      </c>
      <c r="K541" s="151">
        <f>'WS3 - Notional General Income'!K38</f>
        <v>0</v>
      </c>
      <c r="L541" s="120" t="str">
        <f>'WS3 - Notional General Income'!L38</f>
        <v>.</v>
      </c>
      <c r="W541" s="3"/>
      <c r="X541" s="3"/>
      <c r="Y541" s="3"/>
      <c r="Z541" s="3"/>
      <c r="AA541" s="3"/>
      <c r="AB541" s="3"/>
      <c r="AC541" s="3"/>
      <c r="AD541" s="3"/>
      <c r="AE541" s="3"/>
    </row>
    <row r="542" spans="2:31" ht="12" customHeight="1" x14ac:dyDescent="0.2">
      <c r="B542" s="373" t="str">
        <f>'WS3 - Notional General Income'!B39</f>
        <v>Residential</v>
      </c>
      <c r="C542" s="374">
        <f>'WS3 - Notional General Income'!C39</f>
        <v>0</v>
      </c>
      <c r="D542" s="151">
        <f>'WS3 - Notional General Income'!D39</f>
        <v>0</v>
      </c>
      <c r="E542" s="151">
        <f>'WS3 - Notional General Income'!E39</f>
        <v>0</v>
      </c>
      <c r="F542" s="151">
        <f>'WS3 - Notional General Income'!F39</f>
        <v>0</v>
      </c>
      <c r="G542" s="367" t="str">
        <f>'WS3 - Notional General Income'!G39</f>
        <v>.</v>
      </c>
      <c r="H542" s="151">
        <f>'WS3 - Notional General Income'!H39</f>
        <v>0</v>
      </c>
      <c r="I542" s="151">
        <f>'WS3 - Notional General Income'!I39</f>
        <v>0</v>
      </c>
      <c r="J542" s="151">
        <f>'WS3 - Notional General Income'!J39</f>
        <v>0</v>
      </c>
      <c r="K542" s="151">
        <f>'WS3 - Notional General Income'!K39</f>
        <v>0</v>
      </c>
      <c r="L542" s="120" t="str">
        <f>'WS3 - Notional General Income'!L39</f>
        <v>.</v>
      </c>
      <c r="W542" s="3"/>
      <c r="X542" s="3"/>
      <c r="Y542" s="3"/>
      <c r="Z542" s="3"/>
      <c r="AA542" s="3"/>
      <c r="AB542" s="3"/>
      <c r="AC542" s="3"/>
      <c r="AD542" s="3"/>
      <c r="AE542" s="3"/>
    </row>
    <row r="543" spans="2:31" ht="12" customHeight="1" x14ac:dyDescent="0.2">
      <c r="B543" s="373" t="str">
        <f>'WS3 - Notional General Income'!B40</f>
        <v>Residential</v>
      </c>
      <c r="C543" s="374">
        <f>'WS3 - Notional General Income'!C40</f>
        <v>0</v>
      </c>
      <c r="D543" s="151">
        <f>'WS3 - Notional General Income'!D40</f>
        <v>0</v>
      </c>
      <c r="E543" s="151">
        <f>'WS3 - Notional General Income'!E40</f>
        <v>0</v>
      </c>
      <c r="F543" s="151">
        <f>'WS3 - Notional General Income'!F40</f>
        <v>0</v>
      </c>
      <c r="G543" s="367" t="str">
        <f>'WS3 - Notional General Income'!G40</f>
        <v>.</v>
      </c>
      <c r="H543" s="151">
        <f>'WS3 - Notional General Income'!H40</f>
        <v>0</v>
      </c>
      <c r="I543" s="151">
        <f>'WS3 - Notional General Income'!I40</f>
        <v>0</v>
      </c>
      <c r="J543" s="151">
        <f>'WS3 - Notional General Income'!J40</f>
        <v>0</v>
      </c>
      <c r="K543" s="151">
        <f>'WS3 - Notional General Income'!K40</f>
        <v>0</v>
      </c>
      <c r="L543" s="120" t="str">
        <f>'WS3 - Notional General Income'!L40</f>
        <v>.</v>
      </c>
      <c r="W543" s="3"/>
      <c r="X543" s="3"/>
      <c r="Y543" s="3"/>
      <c r="Z543" s="3"/>
      <c r="AA543" s="3"/>
      <c r="AB543" s="3"/>
      <c r="AC543" s="3"/>
      <c r="AD543" s="3"/>
      <c r="AE543" s="3"/>
    </row>
    <row r="544" spans="2:31" ht="12" customHeight="1" x14ac:dyDescent="0.2">
      <c r="B544" s="335" t="str">
        <f>'WS3 - Notional General Income'!C41</f>
        <v>Total Residential</v>
      </c>
      <c r="C544" s="375"/>
      <c r="D544" s="376">
        <f>'WS3 - Notional General Income'!D41</f>
        <v>29428</v>
      </c>
      <c r="E544" s="376">
        <f>'WS3 - Notional General Income'!E41</f>
        <v>0</v>
      </c>
      <c r="F544" s="376">
        <f>'WS3 - Notional General Income'!F41</f>
        <v>0</v>
      </c>
      <c r="G544" s="377">
        <f>'WS3 - Notional General Income'!G41</f>
        <v>0</v>
      </c>
      <c r="H544" s="376">
        <f>'WS3 - Notional General Income'!H41</f>
        <v>0</v>
      </c>
      <c r="I544" s="376">
        <f>'WS3 - Notional General Income'!I41</f>
        <v>16449</v>
      </c>
      <c r="J544" s="376">
        <f>'WS3 - Notional General Income'!J41</f>
        <v>41955718018</v>
      </c>
      <c r="K544" s="376">
        <f>'WS3 - Notional General Income'!K41</f>
        <v>7978632695</v>
      </c>
      <c r="L544" s="378">
        <f>'WS3 - Notional General Income'!L41</f>
        <v>32013783.763392031</v>
      </c>
      <c r="W544" s="3"/>
      <c r="X544" s="3"/>
      <c r="Y544" s="3"/>
      <c r="Z544" s="3"/>
      <c r="AA544" s="3"/>
      <c r="AB544" s="3"/>
      <c r="AC544" s="3"/>
      <c r="AD544" s="3"/>
      <c r="AE544" s="3"/>
    </row>
    <row r="545" spans="2:31" ht="12" customHeight="1" x14ac:dyDescent="0.2">
      <c r="B545" s="373" t="str">
        <f>'WS3 - Notional General Income'!B42</f>
        <v>Business</v>
      </c>
      <c r="C545" s="374" t="str">
        <f>'WS3 - Notional General Income'!C42</f>
        <v>Business</v>
      </c>
      <c r="D545" s="151">
        <f>'WS3 - Notional General Income'!D42</f>
        <v>1951</v>
      </c>
      <c r="E545" s="151">
        <f>'WS3 - Notional General Income'!E42</f>
        <v>0.35293999999999998</v>
      </c>
      <c r="F545" s="151">
        <f>'WS3 - Notional General Income'!F42</f>
        <v>0</v>
      </c>
      <c r="G545" s="367" t="str">
        <f>'WS3 - Notional General Income'!G42</f>
        <v>.</v>
      </c>
      <c r="H545" s="151">
        <f>'WS3 - Notional General Income'!H42</f>
        <v>1253.5</v>
      </c>
      <c r="I545" s="151">
        <f>'WS3 - Notional General Income'!I42</f>
        <v>522</v>
      </c>
      <c r="J545" s="151">
        <f>'WS3 - Notional General Income'!J42</f>
        <v>3487093822</v>
      </c>
      <c r="K545" s="151">
        <f>'WS3 - Notional General Income'!K42</f>
        <v>87403345</v>
      </c>
      <c r="L545" s="120">
        <f>'WS3 - Notional General Income'!L42</f>
        <v>12653194.5695238</v>
      </c>
      <c r="W545" s="3"/>
      <c r="X545" s="3"/>
      <c r="Y545" s="3"/>
      <c r="Z545" s="3"/>
      <c r="AA545" s="3"/>
      <c r="AB545" s="3"/>
      <c r="AC545" s="3"/>
      <c r="AD545" s="3"/>
      <c r="AE545" s="3"/>
    </row>
    <row r="546" spans="2:31" ht="12" customHeight="1" x14ac:dyDescent="0.2">
      <c r="B546" s="373" t="str">
        <f>'WS3 - Notional General Income'!B43</f>
        <v>Business</v>
      </c>
      <c r="C546" s="374" t="str">
        <f>'WS3 - Notional General Income'!C43</f>
        <v>Chatswood Town Centre</v>
      </c>
      <c r="D546" s="151">
        <f>'WS3 - Notional General Income'!D43</f>
        <v>954</v>
      </c>
      <c r="E546" s="151">
        <f>'WS3 - Notional General Income'!E43</f>
        <v>0.64629999999999999</v>
      </c>
      <c r="F546" s="151">
        <f>'WS3 - Notional General Income'!F43</f>
        <v>0</v>
      </c>
      <c r="G546" s="367" t="str">
        <f>'WS3 - Notional General Income'!G43</f>
        <v>.</v>
      </c>
      <c r="H546" s="151">
        <f>'WS3 - Notional General Income'!H43</f>
        <v>1338.5</v>
      </c>
      <c r="I546" s="151">
        <f>'WS3 - Notional General Income'!I43</f>
        <v>537</v>
      </c>
      <c r="J546" s="151">
        <f>'WS3 - Notional General Income'!J43</f>
        <v>1106659971</v>
      </c>
      <c r="K546" s="151">
        <f>'WS3 - Notional General Income'!K43</f>
        <v>66106560</v>
      </c>
      <c r="L546" s="120">
        <f>'WS3 - Notional General Income'!L43</f>
        <v>7443871.195293</v>
      </c>
      <c r="W546" s="3"/>
      <c r="X546" s="3"/>
      <c r="Y546" s="3"/>
      <c r="Z546" s="3"/>
      <c r="AA546" s="3"/>
      <c r="AB546" s="3"/>
      <c r="AC546" s="3"/>
      <c r="AD546" s="3"/>
      <c r="AE546" s="3"/>
    </row>
    <row r="547" spans="2:31" x14ac:dyDescent="0.2">
      <c r="B547" s="373" t="str">
        <f>'WS3 - Notional General Income'!B44</f>
        <v>Business</v>
      </c>
      <c r="C547" s="374" t="str">
        <f>'WS3 - Notional General Income'!C44</f>
        <v>Chatswood Major Retail - Chase</v>
      </c>
      <c r="D547" s="151">
        <f>'WS3 - Notional General Income'!D44</f>
        <v>1</v>
      </c>
      <c r="E547" s="151">
        <f>'WS3 - Notional General Income'!E44</f>
        <v>1.9725299999999999</v>
      </c>
      <c r="F547" s="151">
        <f>'WS3 - Notional General Income'!F44</f>
        <v>0</v>
      </c>
      <c r="G547" s="367" t="str">
        <f>'WS3 - Notional General Income'!G44</f>
        <v>.</v>
      </c>
      <c r="H547" s="151">
        <f>'WS3 - Notional General Income'!H44</f>
        <v>1121.75</v>
      </c>
      <c r="I547" s="151">
        <f>'WS3 - Notional General Income'!I44</f>
        <v>0</v>
      </c>
      <c r="J547" s="151">
        <f>'WS3 - Notional General Income'!J44</f>
        <v>47700000</v>
      </c>
      <c r="K547" s="151">
        <f>'WS3 - Notional General Income'!K44</f>
        <v>0</v>
      </c>
      <c r="L547" s="120">
        <f>'WS3 - Notional General Income'!L44</f>
        <v>940896.80999999994</v>
      </c>
      <c r="W547" s="3"/>
      <c r="X547" s="3"/>
      <c r="Y547" s="3"/>
      <c r="Z547" s="3"/>
      <c r="AA547" s="3"/>
      <c r="AB547" s="3"/>
      <c r="AC547" s="3"/>
      <c r="AD547" s="3"/>
      <c r="AE547" s="3"/>
    </row>
    <row r="548" spans="2:31" ht="24" x14ac:dyDescent="0.2">
      <c r="B548" s="373" t="str">
        <f>'WS3 - Notional General Income'!B45</f>
        <v>Business</v>
      </c>
      <c r="C548" s="374" t="str">
        <f>'WS3 - Notional General Income'!C45</f>
        <v>Chatswood Major Retail - Westfield</v>
      </c>
      <c r="D548" s="151">
        <f>'WS3 - Notional General Income'!D45</f>
        <v>10</v>
      </c>
      <c r="E548" s="151">
        <f>'WS3 - Notional General Income'!E45</f>
        <v>1.8278000000000001</v>
      </c>
      <c r="F548" s="151">
        <f>'WS3 - Notional General Income'!F45</f>
        <v>0</v>
      </c>
      <c r="G548" s="367" t="str">
        <f>'WS3 - Notional General Income'!G45</f>
        <v>.</v>
      </c>
      <c r="H548" s="151">
        <f>'WS3 - Notional General Income'!H45</f>
        <v>1121.75</v>
      </c>
      <c r="I548" s="151">
        <f>'WS3 - Notional General Income'!I45</f>
        <v>0</v>
      </c>
      <c r="J548" s="151">
        <f>'WS3 - Notional General Income'!J45</f>
        <v>65752000</v>
      </c>
      <c r="K548" s="151">
        <f>'WS3 - Notional General Income'!K45</f>
        <v>0</v>
      </c>
      <c r="L548" s="120">
        <f>'WS3 - Notional General Income'!L45</f>
        <v>1201815.0560000001</v>
      </c>
      <c r="W548" s="3"/>
      <c r="X548" s="3"/>
      <c r="Y548" s="3"/>
      <c r="Z548" s="3"/>
      <c r="AA548" s="3"/>
      <c r="AB548" s="3"/>
      <c r="AC548" s="3"/>
      <c r="AD548" s="3"/>
      <c r="AE548" s="3"/>
    </row>
    <row r="549" spans="2:31" x14ac:dyDescent="0.2">
      <c r="B549" s="373" t="str">
        <f>'WS3 - Notional General Income'!B46</f>
        <v>Business</v>
      </c>
      <c r="C549" s="374" t="str">
        <f>'WS3 - Notional General Income'!C46</f>
        <v>Strata Storage</v>
      </c>
      <c r="D549" s="151">
        <f>'WS3 - Notional General Income'!D46</f>
        <v>113</v>
      </c>
      <c r="E549" s="151">
        <f>'WS3 - Notional General Income'!E46</f>
        <v>0.59499999999999997</v>
      </c>
      <c r="F549" s="151">
        <f>'WS3 - Notional General Income'!F46</f>
        <v>0</v>
      </c>
      <c r="G549" s="367" t="str">
        <f>'WS3 - Notional General Income'!G46</f>
        <v>.</v>
      </c>
      <c r="H549" s="151">
        <f>'WS3 - Notional General Income'!H46</f>
        <v>850.85</v>
      </c>
      <c r="I549" s="151">
        <f>'WS3 - Notional General Income'!I46</f>
        <v>102</v>
      </c>
      <c r="J549" s="151">
        <f>'WS3 - Notional General Income'!J46</f>
        <v>7670000</v>
      </c>
      <c r="K549" s="151">
        <f>'WS3 - Notional General Income'!K46</f>
        <v>5711082</v>
      </c>
      <c r="L549" s="120">
        <f>'WS3 - Notional General Income'!L46</f>
        <v>98442.262099999993</v>
      </c>
      <c r="W549" s="3"/>
      <c r="X549" s="3"/>
      <c r="Y549" s="3"/>
      <c r="Z549" s="3"/>
      <c r="AA549" s="3"/>
      <c r="AB549" s="3"/>
      <c r="AC549" s="3"/>
      <c r="AD549" s="3"/>
      <c r="AE549" s="3"/>
    </row>
    <row r="550" spans="2:31" x14ac:dyDescent="0.2">
      <c r="B550" s="373" t="str">
        <f>'WS3 - Notional General Income'!B47</f>
        <v>Business</v>
      </c>
      <c r="C550" s="374">
        <f>'WS3 - Notional General Income'!C47</f>
        <v>0</v>
      </c>
      <c r="D550" s="151">
        <f>'WS3 - Notional General Income'!D47</f>
        <v>0</v>
      </c>
      <c r="E550" s="151">
        <f>'WS3 - Notional General Income'!E47</f>
        <v>0</v>
      </c>
      <c r="F550" s="151">
        <f>'WS3 - Notional General Income'!F47</f>
        <v>0</v>
      </c>
      <c r="G550" s="367" t="str">
        <f>'WS3 - Notional General Income'!G47</f>
        <v>.</v>
      </c>
      <c r="H550" s="151">
        <f>'WS3 - Notional General Income'!H47</f>
        <v>0</v>
      </c>
      <c r="I550" s="151">
        <f>'WS3 - Notional General Income'!I47</f>
        <v>0</v>
      </c>
      <c r="J550" s="151">
        <f>'WS3 - Notional General Income'!J47</f>
        <v>0</v>
      </c>
      <c r="K550" s="151">
        <f>'WS3 - Notional General Income'!K47</f>
        <v>0</v>
      </c>
      <c r="L550" s="120" t="str">
        <f>'WS3 - Notional General Income'!L47</f>
        <v>.</v>
      </c>
      <c r="W550" s="3"/>
      <c r="X550" s="3"/>
      <c r="Y550" s="3"/>
      <c r="Z550" s="3"/>
      <c r="AA550" s="3"/>
      <c r="AB550" s="3"/>
      <c r="AC550" s="3"/>
      <c r="AD550" s="3"/>
      <c r="AE550" s="3"/>
    </row>
    <row r="551" spans="2:31" x14ac:dyDescent="0.2">
      <c r="B551" s="373" t="str">
        <f>'WS3 - Notional General Income'!B48</f>
        <v>Business</v>
      </c>
      <c r="C551" s="374">
        <f>'WS3 - Notional General Income'!C48</f>
        <v>0</v>
      </c>
      <c r="D551" s="151">
        <f>'WS3 - Notional General Income'!D48</f>
        <v>0</v>
      </c>
      <c r="E551" s="151">
        <f>'WS3 - Notional General Income'!E48</f>
        <v>0</v>
      </c>
      <c r="F551" s="151">
        <f>'WS3 - Notional General Income'!F48</f>
        <v>0</v>
      </c>
      <c r="G551" s="367" t="str">
        <f>'WS3 - Notional General Income'!G48</f>
        <v>.</v>
      </c>
      <c r="H551" s="151">
        <f>'WS3 - Notional General Income'!H48</f>
        <v>0</v>
      </c>
      <c r="I551" s="151">
        <f>'WS3 - Notional General Income'!I48</f>
        <v>0</v>
      </c>
      <c r="J551" s="151">
        <f>'WS3 - Notional General Income'!J48</f>
        <v>0</v>
      </c>
      <c r="K551" s="151">
        <f>'WS3 - Notional General Income'!K48</f>
        <v>0</v>
      </c>
      <c r="L551" s="120" t="str">
        <f>'WS3 - Notional General Income'!L48</f>
        <v>.</v>
      </c>
      <c r="W551" s="3"/>
      <c r="X551" s="3"/>
      <c r="Y551" s="3"/>
      <c r="Z551" s="3"/>
      <c r="AA551" s="3"/>
      <c r="AB551" s="3"/>
      <c r="AC551" s="3"/>
      <c r="AD551" s="3"/>
      <c r="AE551" s="3"/>
    </row>
    <row r="552" spans="2:31" x14ac:dyDescent="0.2">
      <c r="B552" s="373" t="str">
        <f>'WS3 - Notional General Income'!B49</f>
        <v>Business</v>
      </c>
      <c r="C552" s="374">
        <f>'WS3 - Notional General Income'!C49</f>
        <v>0</v>
      </c>
      <c r="D552" s="151">
        <f>'WS3 - Notional General Income'!D49</f>
        <v>0</v>
      </c>
      <c r="E552" s="151">
        <f>'WS3 - Notional General Income'!E49</f>
        <v>0</v>
      </c>
      <c r="F552" s="151">
        <f>'WS3 - Notional General Income'!F49</f>
        <v>0</v>
      </c>
      <c r="G552" s="367" t="str">
        <f>'WS3 - Notional General Income'!G49</f>
        <v>.</v>
      </c>
      <c r="H552" s="151">
        <f>'WS3 - Notional General Income'!H49</f>
        <v>0</v>
      </c>
      <c r="I552" s="151">
        <f>'WS3 - Notional General Income'!I49</f>
        <v>0</v>
      </c>
      <c r="J552" s="151">
        <f>'WS3 - Notional General Income'!J49</f>
        <v>0</v>
      </c>
      <c r="K552" s="151">
        <f>'WS3 - Notional General Income'!K49</f>
        <v>0</v>
      </c>
      <c r="L552" s="120" t="str">
        <f>'WS3 - Notional General Income'!L49</f>
        <v>.</v>
      </c>
      <c r="W552" s="3"/>
      <c r="X552" s="3"/>
      <c r="Y552" s="3"/>
      <c r="Z552" s="3"/>
      <c r="AA552" s="3"/>
      <c r="AB552" s="3"/>
      <c r="AC552" s="3"/>
      <c r="AD552" s="3"/>
      <c r="AE552" s="3"/>
    </row>
    <row r="553" spans="2:31" x14ac:dyDescent="0.2">
      <c r="B553" s="373" t="str">
        <f>'WS3 - Notional General Income'!B50</f>
        <v>Business</v>
      </c>
      <c r="C553" s="374">
        <f>'WS3 - Notional General Income'!C50</f>
        <v>0</v>
      </c>
      <c r="D553" s="151">
        <f>'WS3 - Notional General Income'!D50</f>
        <v>0</v>
      </c>
      <c r="E553" s="151">
        <f>'WS3 - Notional General Income'!E50</f>
        <v>0</v>
      </c>
      <c r="F553" s="151">
        <f>'WS3 - Notional General Income'!F50</f>
        <v>0</v>
      </c>
      <c r="G553" s="367" t="str">
        <f>'WS3 - Notional General Income'!G50</f>
        <v>.</v>
      </c>
      <c r="H553" s="151">
        <f>'WS3 - Notional General Income'!H50</f>
        <v>0</v>
      </c>
      <c r="I553" s="151">
        <f>'WS3 - Notional General Income'!I50</f>
        <v>0</v>
      </c>
      <c r="J553" s="151">
        <f>'WS3 - Notional General Income'!J50</f>
        <v>0</v>
      </c>
      <c r="K553" s="151">
        <f>'WS3 - Notional General Income'!K50</f>
        <v>0</v>
      </c>
      <c r="L553" s="120" t="str">
        <f>'WS3 - Notional General Income'!L50</f>
        <v>.</v>
      </c>
      <c r="W553" s="3"/>
      <c r="X553" s="3"/>
      <c r="Y553" s="3"/>
      <c r="Z553" s="3"/>
      <c r="AA553" s="3"/>
      <c r="AB553" s="3"/>
      <c r="AC553" s="3"/>
      <c r="AD553" s="3"/>
      <c r="AE553" s="3"/>
    </row>
    <row r="554" spans="2:31" x14ac:dyDescent="0.2">
      <c r="B554" s="373" t="str">
        <f>'WS3 - Notional General Income'!B51</f>
        <v>Business</v>
      </c>
      <c r="C554" s="374">
        <f>'WS3 - Notional General Income'!C51</f>
        <v>0</v>
      </c>
      <c r="D554" s="151">
        <f>'WS3 - Notional General Income'!D51</f>
        <v>0</v>
      </c>
      <c r="E554" s="151">
        <f>'WS3 - Notional General Income'!E51</f>
        <v>0</v>
      </c>
      <c r="F554" s="151">
        <f>'WS3 - Notional General Income'!F51</f>
        <v>0</v>
      </c>
      <c r="G554" s="367" t="str">
        <f>'WS3 - Notional General Income'!G51</f>
        <v>.</v>
      </c>
      <c r="H554" s="151">
        <f>'WS3 - Notional General Income'!H51</f>
        <v>0</v>
      </c>
      <c r="I554" s="151">
        <f>'WS3 - Notional General Income'!I51</f>
        <v>0</v>
      </c>
      <c r="J554" s="151">
        <f>'WS3 - Notional General Income'!J51</f>
        <v>0</v>
      </c>
      <c r="K554" s="151">
        <f>'WS3 - Notional General Income'!K51</f>
        <v>0</v>
      </c>
      <c r="L554" s="120" t="str">
        <f>'WS3 - Notional General Income'!L51</f>
        <v>.</v>
      </c>
      <c r="W554" s="3"/>
      <c r="X554" s="3"/>
      <c r="Y554" s="3"/>
      <c r="Z554" s="3"/>
      <c r="AA554" s="3"/>
      <c r="AB554" s="3"/>
      <c r="AC554" s="3"/>
      <c r="AD554" s="3"/>
      <c r="AE554" s="3"/>
    </row>
    <row r="555" spans="2:31" x14ac:dyDescent="0.2">
      <c r="B555" s="373" t="str">
        <f>'WS3 - Notional General Income'!B52</f>
        <v>Business</v>
      </c>
      <c r="C555" s="374">
        <f>'WS3 - Notional General Income'!C52</f>
        <v>0</v>
      </c>
      <c r="D555" s="151">
        <f>'WS3 - Notional General Income'!D52</f>
        <v>0</v>
      </c>
      <c r="E555" s="151">
        <f>'WS3 - Notional General Income'!E52</f>
        <v>0</v>
      </c>
      <c r="F555" s="151">
        <f>'WS3 - Notional General Income'!F52</f>
        <v>0</v>
      </c>
      <c r="G555" s="367" t="str">
        <f>'WS3 - Notional General Income'!G52</f>
        <v>.</v>
      </c>
      <c r="H555" s="151">
        <f>'WS3 - Notional General Income'!H52</f>
        <v>0</v>
      </c>
      <c r="I555" s="151">
        <f>'WS3 - Notional General Income'!I52</f>
        <v>0</v>
      </c>
      <c r="J555" s="151">
        <f>'WS3 - Notional General Income'!J52</f>
        <v>0</v>
      </c>
      <c r="K555" s="151">
        <f>'WS3 - Notional General Income'!K52</f>
        <v>0</v>
      </c>
      <c r="L555" s="120" t="str">
        <f>'WS3 - Notional General Income'!L52</f>
        <v>.</v>
      </c>
      <c r="W555" s="3"/>
      <c r="X555" s="3"/>
      <c r="Y555" s="3"/>
      <c r="Z555" s="3"/>
      <c r="AA555" s="3"/>
      <c r="AB555" s="3"/>
      <c r="AC555" s="3"/>
      <c r="AD555" s="3"/>
      <c r="AE555" s="3"/>
    </row>
    <row r="556" spans="2:31" x14ac:dyDescent="0.2">
      <c r="B556" s="373" t="str">
        <f>'WS3 - Notional General Income'!B53</f>
        <v>Business</v>
      </c>
      <c r="C556" s="374">
        <f>'WS3 - Notional General Income'!C53</f>
        <v>0</v>
      </c>
      <c r="D556" s="151">
        <f>'WS3 - Notional General Income'!D53</f>
        <v>0</v>
      </c>
      <c r="E556" s="151">
        <f>'WS3 - Notional General Income'!E53</f>
        <v>0</v>
      </c>
      <c r="F556" s="151">
        <f>'WS3 - Notional General Income'!F53</f>
        <v>0</v>
      </c>
      <c r="G556" s="367" t="str">
        <f>'WS3 - Notional General Income'!G53</f>
        <v>.</v>
      </c>
      <c r="H556" s="151">
        <f>'WS3 - Notional General Income'!H53</f>
        <v>0</v>
      </c>
      <c r="I556" s="151">
        <f>'WS3 - Notional General Income'!I53</f>
        <v>0</v>
      </c>
      <c r="J556" s="151">
        <f>'WS3 - Notional General Income'!J53</f>
        <v>0</v>
      </c>
      <c r="K556" s="151">
        <f>'WS3 - Notional General Income'!K53</f>
        <v>0</v>
      </c>
      <c r="L556" s="120" t="str">
        <f>'WS3 - Notional General Income'!L53</f>
        <v>.</v>
      </c>
      <c r="W556" s="3"/>
      <c r="X556" s="3"/>
      <c r="Y556" s="3"/>
      <c r="Z556" s="3"/>
      <c r="AA556" s="3"/>
      <c r="AB556" s="3"/>
      <c r="AC556" s="3"/>
      <c r="AD556" s="3"/>
      <c r="AE556" s="3"/>
    </row>
    <row r="557" spans="2:31" x14ac:dyDescent="0.2">
      <c r="B557" s="373" t="str">
        <f>'WS3 - Notional General Income'!B54</f>
        <v>Business</v>
      </c>
      <c r="C557" s="374">
        <f>'WS3 - Notional General Income'!C54</f>
        <v>0</v>
      </c>
      <c r="D557" s="151">
        <f>'WS3 - Notional General Income'!D54</f>
        <v>0</v>
      </c>
      <c r="E557" s="151">
        <f>'WS3 - Notional General Income'!E54</f>
        <v>0</v>
      </c>
      <c r="F557" s="151">
        <f>'WS3 - Notional General Income'!F54</f>
        <v>0</v>
      </c>
      <c r="G557" s="367" t="str">
        <f>'WS3 - Notional General Income'!G54</f>
        <v>.</v>
      </c>
      <c r="H557" s="151">
        <f>'WS3 - Notional General Income'!H54</f>
        <v>0</v>
      </c>
      <c r="I557" s="151">
        <f>'WS3 - Notional General Income'!I54</f>
        <v>0</v>
      </c>
      <c r="J557" s="151">
        <f>'WS3 - Notional General Income'!J54</f>
        <v>0</v>
      </c>
      <c r="K557" s="151">
        <f>'WS3 - Notional General Income'!K54</f>
        <v>0</v>
      </c>
      <c r="L557" s="120" t="str">
        <f>'WS3 - Notional General Income'!L54</f>
        <v>.</v>
      </c>
      <c r="W557" s="3"/>
      <c r="X557" s="3"/>
      <c r="Y557" s="3"/>
      <c r="Z557" s="3"/>
      <c r="AA557" s="3"/>
      <c r="AB557" s="3"/>
      <c r="AC557" s="3"/>
      <c r="AD557" s="3"/>
      <c r="AE557" s="3"/>
    </row>
    <row r="558" spans="2:31" x14ac:dyDescent="0.2">
      <c r="B558" s="373" t="str">
        <f>'WS3 - Notional General Income'!B55</f>
        <v>Business</v>
      </c>
      <c r="C558" s="374">
        <f>'WS3 - Notional General Income'!C55</f>
        <v>0</v>
      </c>
      <c r="D558" s="151">
        <f>'WS3 - Notional General Income'!D55</f>
        <v>0</v>
      </c>
      <c r="E558" s="151">
        <f>'WS3 - Notional General Income'!E55</f>
        <v>0</v>
      </c>
      <c r="F558" s="151">
        <f>'WS3 - Notional General Income'!F55</f>
        <v>0</v>
      </c>
      <c r="G558" s="367" t="str">
        <f>'WS3 - Notional General Income'!G55</f>
        <v>.</v>
      </c>
      <c r="H558" s="151">
        <f>'WS3 - Notional General Income'!H55</f>
        <v>0</v>
      </c>
      <c r="I558" s="151">
        <f>'WS3 - Notional General Income'!I55</f>
        <v>0</v>
      </c>
      <c r="J558" s="151">
        <f>'WS3 - Notional General Income'!J55</f>
        <v>0</v>
      </c>
      <c r="K558" s="151">
        <f>'WS3 - Notional General Income'!K55</f>
        <v>0</v>
      </c>
      <c r="L558" s="120" t="str">
        <f>'WS3 - Notional General Income'!L55</f>
        <v>.</v>
      </c>
      <c r="W558" s="3"/>
      <c r="X558" s="3"/>
      <c r="Y558" s="3"/>
      <c r="Z558" s="3"/>
      <c r="AA558" s="3"/>
      <c r="AB558" s="3"/>
      <c r="AC558" s="3"/>
      <c r="AD558" s="3"/>
      <c r="AE558" s="3"/>
    </row>
    <row r="559" spans="2:31" x14ac:dyDescent="0.2">
      <c r="B559" s="373" t="str">
        <f>'WS3 - Notional General Income'!B56</f>
        <v>Business</v>
      </c>
      <c r="C559" s="374">
        <f>'WS3 - Notional General Income'!C56</f>
        <v>0</v>
      </c>
      <c r="D559" s="151">
        <f>'WS3 - Notional General Income'!D56</f>
        <v>0</v>
      </c>
      <c r="E559" s="151">
        <f>'WS3 - Notional General Income'!E56</f>
        <v>0</v>
      </c>
      <c r="F559" s="151">
        <f>'WS3 - Notional General Income'!F56</f>
        <v>0</v>
      </c>
      <c r="G559" s="367" t="str">
        <f>'WS3 - Notional General Income'!G56</f>
        <v>.</v>
      </c>
      <c r="H559" s="151">
        <f>'WS3 - Notional General Income'!H56</f>
        <v>0</v>
      </c>
      <c r="I559" s="151">
        <f>'WS3 - Notional General Income'!I56</f>
        <v>0</v>
      </c>
      <c r="J559" s="151">
        <f>'WS3 - Notional General Income'!J56</f>
        <v>0</v>
      </c>
      <c r="K559" s="151">
        <f>'WS3 - Notional General Income'!K56</f>
        <v>0</v>
      </c>
      <c r="L559" s="120" t="str">
        <f>'WS3 - Notional General Income'!L56</f>
        <v>.</v>
      </c>
      <c r="W559" s="3"/>
      <c r="X559" s="3"/>
      <c r="Y559" s="3"/>
      <c r="Z559" s="3"/>
      <c r="AA559" s="3"/>
      <c r="AB559" s="3"/>
      <c r="AC559" s="3"/>
      <c r="AD559" s="3"/>
      <c r="AE559" s="3"/>
    </row>
    <row r="560" spans="2:31" x14ac:dyDescent="0.2">
      <c r="B560" s="373" t="str">
        <f>'WS3 - Notional General Income'!B57</f>
        <v>Business</v>
      </c>
      <c r="C560" s="374">
        <f>'WS3 - Notional General Income'!C57</f>
        <v>0</v>
      </c>
      <c r="D560" s="151">
        <f>'WS3 - Notional General Income'!D57</f>
        <v>0</v>
      </c>
      <c r="E560" s="151">
        <f>'WS3 - Notional General Income'!E57</f>
        <v>0</v>
      </c>
      <c r="F560" s="151">
        <f>'WS3 - Notional General Income'!F57</f>
        <v>0</v>
      </c>
      <c r="G560" s="367" t="str">
        <f>'WS3 - Notional General Income'!G57</f>
        <v>.</v>
      </c>
      <c r="H560" s="151">
        <f>'WS3 - Notional General Income'!H57</f>
        <v>0</v>
      </c>
      <c r="I560" s="151">
        <f>'WS3 - Notional General Income'!I57</f>
        <v>0</v>
      </c>
      <c r="J560" s="151">
        <f>'WS3 - Notional General Income'!J57</f>
        <v>0</v>
      </c>
      <c r="K560" s="151">
        <f>'WS3 - Notional General Income'!K57</f>
        <v>0</v>
      </c>
      <c r="L560" s="120" t="str">
        <f>'WS3 - Notional General Income'!L57</f>
        <v>.</v>
      </c>
      <c r="W560" s="3"/>
      <c r="X560" s="3"/>
      <c r="Y560" s="3"/>
      <c r="Z560" s="3"/>
      <c r="AA560" s="3"/>
      <c r="AB560" s="3"/>
      <c r="AC560" s="3"/>
      <c r="AD560" s="3"/>
      <c r="AE560" s="3"/>
    </row>
    <row r="561" spans="2:31" x14ac:dyDescent="0.2">
      <c r="B561" s="373" t="str">
        <f>'WS3 - Notional General Income'!B58</f>
        <v>Business</v>
      </c>
      <c r="C561" s="374">
        <f>'WS3 - Notional General Income'!C58</f>
        <v>0</v>
      </c>
      <c r="D561" s="151">
        <f>'WS3 - Notional General Income'!D58</f>
        <v>0</v>
      </c>
      <c r="E561" s="151">
        <f>'WS3 - Notional General Income'!E58</f>
        <v>0</v>
      </c>
      <c r="F561" s="151">
        <f>'WS3 - Notional General Income'!F58</f>
        <v>0</v>
      </c>
      <c r="G561" s="367" t="str">
        <f>'WS3 - Notional General Income'!G58</f>
        <v>.</v>
      </c>
      <c r="H561" s="151">
        <f>'WS3 - Notional General Income'!H58</f>
        <v>0</v>
      </c>
      <c r="I561" s="151">
        <f>'WS3 - Notional General Income'!I58</f>
        <v>0</v>
      </c>
      <c r="J561" s="151">
        <f>'WS3 - Notional General Income'!J58</f>
        <v>0</v>
      </c>
      <c r="K561" s="151">
        <f>'WS3 - Notional General Income'!K58</f>
        <v>0</v>
      </c>
      <c r="L561" s="120" t="str">
        <f>'WS3 - Notional General Income'!L58</f>
        <v>.</v>
      </c>
      <c r="W561" s="3"/>
      <c r="X561" s="3"/>
      <c r="Y561" s="3"/>
      <c r="Z561" s="3"/>
      <c r="AA561" s="3"/>
      <c r="AB561" s="3"/>
      <c r="AC561" s="3"/>
      <c r="AD561" s="3"/>
      <c r="AE561" s="3"/>
    </row>
    <row r="562" spans="2:31" x14ac:dyDescent="0.2">
      <c r="B562" s="373" t="str">
        <f>'WS3 - Notional General Income'!B59</f>
        <v>Business</v>
      </c>
      <c r="C562" s="374">
        <f>'WS3 - Notional General Income'!C59</f>
        <v>0</v>
      </c>
      <c r="D562" s="151">
        <f>'WS3 - Notional General Income'!D59</f>
        <v>0</v>
      </c>
      <c r="E562" s="151">
        <f>'WS3 - Notional General Income'!E59</f>
        <v>0</v>
      </c>
      <c r="F562" s="151">
        <f>'WS3 - Notional General Income'!F59</f>
        <v>0</v>
      </c>
      <c r="G562" s="367" t="str">
        <f>'WS3 - Notional General Income'!G59</f>
        <v>.</v>
      </c>
      <c r="H562" s="151">
        <f>'WS3 - Notional General Income'!H59</f>
        <v>0</v>
      </c>
      <c r="I562" s="151">
        <f>'WS3 - Notional General Income'!I59</f>
        <v>0</v>
      </c>
      <c r="J562" s="151">
        <f>'WS3 - Notional General Income'!J59</f>
        <v>0</v>
      </c>
      <c r="K562" s="151">
        <f>'WS3 - Notional General Income'!K59</f>
        <v>0</v>
      </c>
      <c r="L562" s="120" t="str">
        <f>'WS3 - Notional General Income'!L59</f>
        <v>.</v>
      </c>
      <c r="W562" s="3"/>
      <c r="X562" s="3"/>
      <c r="Y562" s="3"/>
      <c r="Z562" s="3"/>
      <c r="AA562" s="3"/>
      <c r="AB562" s="3"/>
      <c r="AC562" s="3"/>
      <c r="AD562" s="3"/>
      <c r="AE562" s="3"/>
    </row>
    <row r="563" spans="2:31" x14ac:dyDescent="0.2">
      <c r="B563" s="373" t="str">
        <f>'WS3 - Notional General Income'!B60</f>
        <v>Business</v>
      </c>
      <c r="C563" s="374">
        <f>'WS3 - Notional General Income'!C60</f>
        <v>0</v>
      </c>
      <c r="D563" s="151">
        <f>'WS3 - Notional General Income'!D60</f>
        <v>0</v>
      </c>
      <c r="E563" s="151">
        <f>'WS3 - Notional General Income'!E60</f>
        <v>0</v>
      </c>
      <c r="F563" s="151">
        <f>'WS3 - Notional General Income'!F60</f>
        <v>0</v>
      </c>
      <c r="G563" s="367" t="str">
        <f>'WS3 - Notional General Income'!G60</f>
        <v>.</v>
      </c>
      <c r="H563" s="151">
        <f>'WS3 - Notional General Income'!H60</f>
        <v>0</v>
      </c>
      <c r="I563" s="151">
        <f>'WS3 - Notional General Income'!I60</f>
        <v>0</v>
      </c>
      <c r="J563" s="151">
        <f>'WS3 - Notional General Income'!J60</f>
        <v>0</v>
      </c>
      <c r="K563" s="151">
        <f>'WS3 - Notional General Income'!K60</f>
        <v>0</v>
      </c>
      <c r="L563" s="120" t="str">
        <f>'WS3 - Notional General Income'!L60</f>
        <v>.</v>
      </c>
      <c r="W563" s="3"/>
      <c r="X563" s="3"/>
      <c r="Y563" s="3"/>
      <c r="Z563" s="3"/>
      <c r="AA563" s="3"/>
      <c r="AB563" s="3"/>
      <c r="AC563" s="3"/>
      <c r="AD563" s="3"/>
      <c r="AE563" s="3"/>
    </row>
    <row r="564" spans="2:31" x14ac:dyDescent="0.2">
      <c r="B564" s="373" t="str">
        <f>'WS3 - Notional General Income'!B61</f>
        <v>Business</v>
      </c>
      <c r="C564" s="374">
        <f>'WS3 - Notional General Income'!C61</f>
        <v>0</v>
      </c>
      <c r="D564" s="151">
        <f>'WS3 - Notional General Income'!D61</f>
        <v>0</v>
      </c>
      <c r="E564" s="151">
        <f>'WS3 - Notional General Income'!E61</f>
        <v>0</v>
      </c>
      <c r="F564" s="151">
        <f>'WS3 - Notional General Income'!F61</f>
        <v>0</v>
      </c>
      <c r="G564" s="367" t="str">
        <f>'WS3 - Notional General Income'!G61</f>
        <v>.</v>
      </c>
      <c r="H564" s="151">
        <f>'WS3 - Notional General Income'!H61</f>
        <v>0</v>
      </c>
      <c r="I564" s="151">
        <f>'WS3 - Notional General Income'!I61</f>
        <v>0</v>
      </c>
      <c r="J564" s="151">
        <f>'WS3 - Notional General Income'!J61</f>
        <v>0</v>
      </c>
      <c r="K564" s="151">
        <f>'WS3 - Notional General Income'!K61</f>
        <v>0</v>
      </c>
      <c r="L564" s="120" t="str">
        <f>'WS3 - Notional General Income'!L61</f>
        <v>.</v>
      </c>
      <c r="W564" s="3"/>
      <c r="X564" s="3"/>
      <c r="Y564" s="3"/>
      <c r="Z564" s="3"/>
      <c r="AA564" s="3"/>
      <c r="AB564" s="3"/>
      <c r="AC564" s="3"/>
      <c r="AD564" s="3"/>
      <c r="AE564" s="3"/>
    </row>
    <row r="565" spans="2:31" x14ac:dyDescent="0.2">
      <c r="B565" s="373" t="str">
        <f>'WS3 - Notional General Income'!B62</f>
        <v>Business</v>
      </c>
      <c r="C565" s="374">
        <f>'WS3 - Notional General Income'!C62</f>
        <v>0</v>
      </c>
      <c r="D565" s="151">
        <f>'WS3 - Notional General Income'!D62</f>
        <v>0</v>
      </c>
      <c r="E565" s="151">
        <f>'WS3 - Notional General Income'!E62</f>
        <v>0</v>
      </c>
      <c r="F565" s="151">
        <f>'WS3 - Notional General Income'!F62</f>
        <v>0</v>
      </c>
      <c r="G565" s="367" t="str">
        <f>'WS3 - Notional General Income'!G62</f>
        <v>.</v>
      </c>
      <c r="H565" s="151">
        <f>'WS3 - Notional General Income'!H62</f>
        <v>0</v>
      </c>
      <c r="I565" s="151">
        <f>'WS3 - Notional General Income'!I62</f>
        <v>0</v>
      </c>
      <c r="J565" s="151">
        <f>'WS3 - Notional General Income'!J62</f>
        <v>0</v>
      </c>
      <c r="K565" s="151">
        <f>'WS3 - Notional General Income'!K62</f>
        <v>0</v>
      </c>
      <c r="L565" s="120" t="str">
        <f>'WS3 - Notional General Income'!L62</f>
        <v>.</v>
      </c>
      <c r="W565" s="3"/>
      <c r="X565" s="3"/>
      <c r="Y565" s="3"/>
      <c r="Z565" s="3"/>
      <c r="AA565" s="3"/>
      <c r="AB565" s="3"/>
      <c r="AC565" s="3"/>
      <c r="AD565" s="3"/>
      <c r="AE565" s="3"/>
    </row>
    <row r="566" spans="2:31" x14ac:dyDescent="0.2">
      <c r="B566" s="373" t="str">
        <f>'WS3 - Notional General Income'!B63</f>
        <v>Business</v>
      </c>
      <c r="C566" s="374">
        <f>'WS3 - Notional General Income'!C63</f>
        <v>0</v>
      </c>
      <c r="D566" s="151">
        <f>'WS3 - Notional General Income'!D63</f>
        <v>0</v>
      </c>
      <c r="E566" s="151">
        <f>'WS3 - Notional General Income'!E63</f>
        <v>0</v>
      </c>
      <c r="F566" s="151">
        <f>'WS3 - Notional General Income'!F63</f>
        <v>0</v>
      </c>
      <c r="G566" s="367" t="str">
        <f>'WS3 - Notional General Income'!G63</f>
        <v>.</v>
      </c>
      <c r="H566" s="151">
        <f>'WS3 - Notional General Income'!H63</f>
        <v>0</v>
      </c>
      <c r="I566" s="151">
        <f>'WS3 - Notional General Income'!I63</f>
        <v>0</v>
      </c>
      <c r="J566" s="151">
        <f>'WS3 - Notional General Income'!J63</f>
        <v>0</v>
      </c>
      <c r="K566" s="151">
        <f>'WS3 - Notional General Income'!K63</f>
        <v>0</v>
      </c>
      <c r="L566" s="120" t="str">
        <f>'WS3 - Notional General Income'!L63</f>
        <v>.</v>
      </c>
      <c r="W566" s="3"/>
      <c r="X566" s="3"/>
      <c r="Y566" s="3"/>
      <c r="Z566" s="3"/>
      <c r="AA566" s="3"/>
      <c r="AB566" s="3"/>
      <c r="AC566" s="3"/>
      <c r="AD566" s="3"/>
      <c r="AE566" s="3"/>
    </row>
    <row r="567" spans="2:31" x14ac:dyDescent="0.2">
      <c r="B567" s="373" t="str">
        <f>'WS3 - Notional General Income'!B64</f>
        <v>Business</v>
      </c>
      <c r="C567" s="374">
        <f>'WS3 - Notional General Income'!C64</f>
        <v>0</v>
      </c>
      <c r="D567" s="151">
        <f>'WS3 - Notional General Income'!D64</f>
        <v>0</v>
      </c>
      <c r="E567" s="151">
        <f>'WS3 - Notional General Income'!E64</f>
        <v>0</v>
      </c>
      <c r="F567" s="151">
        <f>'WS3 - Notional General Income'!F64</f>
        <v>0</v>
      </c>
      <c r="G567" s="367" t="str">
        <f>'WS3 - Notional General Income'!G64</f>
        <v>.</v>
      </c>
      <c r="H567" s="151">
        <f>'WS3 - Notional General Income'!H64</f>
        <v>0</v>
      </c>
      <c r="I567" s="151">
        <f>'WS3 - Notional General Income'!I64</f>
        <v>0</v>
      </c>
      <c r="J567" s="151">
        <f>'WS3 - Notional General Income'!J64</f>
        <v>0</v>
      </c>
      <c r="K567" s="151">
        <f>'WS3 - Notional General Income'!K64</f>
        <v>0</v>
      </c>
      <c r="L567" s="120" t="str">
        <f>'WS3 - Notional General Income'!L64</f>
        <v>.</v>
      </c>
      <c r="W567" s="3"/>
      <c r="X567" s="3"/>
      <c r="Y567" s="3"/>
      <c r="Z567" s="3"/>
      <c r="AA567" s="3"/>
      <c r="AB567" s="3"/>
      <c r="AC567" s="3"/>
      <c r="AD567" s="3"/>
      <c r="AE567" s="3"/>
    </row>
    <row r="568" spans="2:31" x14ac:dyDescent="0.2">
      <c r="B568" s="373" t="str">
        <f>'WS3 - Notional General Income'!B65</f>
        <v>Business</v>
      </c>
      <c r="C568" s="374">
        <f>'WS3 - Notional General Income'!C65</f>
        <v>0</v>
      </c>
      <c r="D568" s="151">
        <f>'WS3 - Notional General Income'!D65</f>
        <v>0</v>
      </c>
      <c r="E568" s="151">
        <f>'WS3 - Notional General Income'!E65</f>
        <v>0</v>
      </c>
      <c r="F568" s="151">
        <f>'WS3 - Notional General Income'!F65</f>
        <v>0</v>
      </c>
      <c r="G568" s="367" t="str">
        <f>'WS3 - Notional General Income'!G65</f>
        <v>.</v>
      </c>
      <c r="H568" s="151">
        <f>'WS3 - Notional General Income'!H65</f>
        <v>0</v>
      </c>
      <c r="I568" s="151">
        <f>'WS3 - Notional General Income'!I65</f>
        <v>0</v>
      </c>
      <c r="J568" s="151">
        <f>'WS3 - Notional General Income'!J65</f>
        <v>0</v>
      </c>
      <c r="K568" s="151">
        <f>'WS3 - Notional General Income'!K65</f>
        <v>0</v>
      </c>
      <c r="L568" s="120" t="str">
        <f>'WS3 - Notional General Income'!L65</f>
        <v>.</v>
      </c>
      <c r="W568" s="3"/>
      <c r="X568" s="3"/>
      <c r="Y568" s="3"/>
      <c r="Z568" s="3"/>
      <c r="AA568" s="3"/>
      <c r="AB568" s="3"/>
      <c r="AC568" s="3"/>
      <c r="AD568" s="3"/>
      <c r="AE568" s="3"/>
    </row>
    <row r="569" spans="2:31" x14ac:dyDescent="0.2">
      <c r="B569" s="373" t="str">
        <f>'WS3 - Notional General Income'!B66</f>
        <v>Business</v>
      </c>
      <c r="C569" s="374">
        <f>'WS3 - Notional General Income'!C66</f>
        <v>0</v>
      </c>
      <c r="D569" s="151">
        <f>'WS3 - Notional General Income'!D66</f>
        <v>0</v>
      </c>
      <c r="E569" s="151">
        <f>'WS3 - Notional General Income'!E66</f>
        <v>0</v>
      </c>
      <c r="F569" s="151">
        <f>'WS3 - Notional General Income'!F66</f>
        <v>0</v>
      </c>
      <c r="G569" s="367" t="str">
        <f>'WS3 - Notional General Income'!G66</f>
        <v>.</v>
      </c>
      <c r="H569" s="151">
        <f>'WS3 - Notional General Income'!H66</f>
        <v>0</v>
      </c>
      <c r="I569" s="151">
        <f>'WS3 - Notional General Income'!I66</f>
        <v>0</v>
      </c>
      <c r="J569" s="151">
        <f>'WS3 - Notional General Income'!J66</f>
        <v>0</v>
      </c>
      <c r="K569" s="151">
        <f>'WS3 - Notional General Income'!K66</f>
        <v>0</v>
      </c>
      <c r="L569" s="120" t="str">
        <f>'WS3 - Notional General Income'!L66</f>
        <v>.</v>
      </c>
      <c r="W569" s="3"/>
      <c r="X569" s="3"/>
      <c r="Y569" s="3"/>
      <c r="Z569" s="3"/>
      <c r="AA569" s="3"/>
      <c r="AB569" s="3"/>
      <c r="AC569" s="3"/>
      <c r="AD569" s="3"/>
      <c r="AE569" s="3"/>
    </row>
    <row r="570" spans="2:31" ht="10.5" customHeight="1" x14ac:dyDescent="0.2">
      <c r="B570" s="335" t="str">
        <f>'WS3 - Notional General Income'!C67</f>
        <v>Total Business</v>
      </c>
      <c r="C570" s="375"/>
      <c r="D570" s="376">
        <f>'WS3 - Notional General Income'!D67</f>
        <v>3029</v>
      </c>
      <c r="E570" s="376">
        <f>'WS3 - Notional General Income'!E67</f>
        <v>0</v>
      </c>
      <c r="F570" s="376">
        <f>'WS3 - Notional General Income'!F67</f>
        <v>0</v>
      </c>
      <c r="G570" s="377">
        <f>'WS3 - Notional General Income'!G67</f>
        <v>0</v>
      </c>
      <c r="H570" s="376">
        <f>'WS3 - Notional General Income'!H67</f>
        <v>0</v>
      </c>
      <c r="I570" s="376">
        <f>'WS3 - Notional General Income'!I67</f>
        <v>1161</v>
      </c>
      <c r="J570" s="376">
        <f>'WS3 - Notional General Income'!J67</f>
        <v>4714875793</v>
      </c>
      <c r="K570" s="376">
        <f>'WS3 - Notional General Income'!K67</f>
        <v>159220987</v>
      </c>
      <c r="L570" s="378">
        <f>'WS3 - Notional General Income'!L67</f>
        <v>22338219.892916799</v>
      </c>
      <c r="W570" s="3"/>
      <c r="X570" s="3"/>
      <c r="Y570" s="3"/>
      <c r="Z570" s="3"/>
      <c r="AA570" s="3"/>
      <c r="AB570" s="3"/>
      <c r="AC570" s="3"/>
      <c r="AD570" s="3"/>
      <c r="AE570" s="3"/>
    </row>
    <row r="571" spans="2:31" ht="10.5" customHeight="1" x14ac:dyDescent="0.2">
      <c r="B571" s="54" t="str">
        <f>'WS3 - Notional General Income'!B68</f>
        <v>Farmland</v>
      </c>
      <c r="C571" s="1" t="str">
        <f>'WS3 - Notional General Income'!C68</f>
        <v>Farmland</v>
      </c>
      <c r="D571" s="151">
        <f>'WS3 - Notional General Income'!D68</f>
        <v>0</v>
      </c>
      <c r="E571" s="151">
        <f>'WS3 - Notional General Income'!E68</f>
        <v>0</v>
      </c>
      <c r="F571" s="151">
        <f>'WS3 - Notional General Income'!F68</f>
        <v>0</v>
      </c>
      <c r="G571" s="367" t="str">
        <f>'WS3 - Notional General Income'!G68</f>
        <v>.</v>
      </c>
      <c r="H571" s="151">
        <f>'WS3 - Notional General Income'!H68</f>
        <v>0</v>
      </c>
      <c r="I571" s="151">
        <f>'WS3 - Notional General Income'!I68</f>
        <v>0</v>
      </c>
      <c r="J571" s="151">
        <f>'WS3 - Notional General Income'!J68</f>
        <v>0</v>
      </c>
      <c r="K571" s="151">
        <f>'WS3 - Notional General Income'!K68</f>
        <v>0</v>
      </c>
      <c r="L571" s="120" t="str">
        <f>'WS3 - Notional General Income'!L68</f>
        <v>.</v>
      </c>
      <c r="W571" s="3"/>
      <c r="X571" s="3"/>
      <c r="Y571" s="3"/>
      <c r="Z571" s="3"/>
      <c r="AA571" s="3"/>
      <c r="AB571" s="3"/>
      <c r="AC571" s="3"/>
      <c r="AD571" s="3"/>
      <c r="AE571" s="3"/>
    </row>
    <row r="572" spans="2:31" ht="10.5" customHeight="1" x14ac:dyDescent="0.2">
      <c r="B572" s="54" t="str">
        <f>'WS3 - Notional General Income'!B69</f>
        <v>Farmland</v>
      </c>
      <c r="C572" s="1">
        <f>'WS3 - Notional General Income'!C69</f>
        <v>0</v>
      </c>
      <c r="D572" s="151">
        <f>'WS3 - Notional General Income'!D69</f>
        <v>0</v>
      </c>
      <c r="E572" s="151">
        <f>'WS3 - Notional General Income'!E69</f>
        <v>0</v>
      </c>
      <c r="F572" s="151">
        <f>'WS3 - Notional General Income'!F69</f>
        <v>0</v>
      </c>
      <c r="G572" s="367" t="str">
        <f>'WS3 - Notional General Income'!G69</f>
        <v>.</v>
      </c>
      <c r="H572" s="151">
        <f>'WS3 - Notional General Income'!H69</f>
        <v>0</v>
      </c>
      <c r="I572" s="151">
        <f>'WS3 - Notional General Income'!I69</f>
        <v>0</v>
      </c>
      <c r="J572" s="151">
        <f>'WS3 - Notional General Income'!J69</f>
        <v>0</v>
      </c>
      <c r="K572" s="151">
        <f>'WS3 - Notional General Income'!K69</f>
        <v>0</v>
      </c>
      <c r="L572" s="120" t="str">
        <f>'WS3 - Notional General Income'!L69</f>
        <v>.</v>
      </c>
      <c r="W572" s="3"/>
      <c r="X572" s="3"/>
      <c r="Y572" s="3"/>
      <c r="Z572" s="3"/>
      <c r="AA572" s="3"/>
      <c r="AB572" s="3"/>
      <c r="AC572" s="3"/>
      <c r="AD572" s="3"/>
      <c r="AE572" s="3"/>
    </row>
    <row r="573" spans="2:31" ht="10.5" customHeight="1" x14ac:dyDescent="0.2">
      <c r="B573" s="54" t="str">
        <f>'WS3 - Notional General Income'!B70</f>
        <v>Farmland</v>
      </c>
      <c r="C573" s="1">
        <f>'WS3 - Notional General Income'!C70</f>
        <v>0</v>
      </c>
      <c r="D573" s="151">
        <f>'WS3 - Notional General Income'!D70</f>
        <v>0</v>
      </c>
      <c r="E573" s="151">
        <f>'WS3 - Notional General Income'!E70</f>
        <v>0</v>
      </c>
      <c r="F573" s="151">
        <f>'WS3 - Notional General Income'!F70</f>
        <v>0</v>
      </c>
      <c r="G573" s="367" t="str">
        <f>'WS3 - Notional General Income'!G70</f>
        <v>.</v>
      </c>
      <c r="H573" s="151">
        <f>'WS3 - Notional General Income'!H70</f>
        <v>0</v>
      </c>
      <c r="I573" s="151">
        <f>'WS3 - Notional General Income'!I70</f>
        <v>0</v>
      </c>
      <c r="J573" s="151">
        <f>'WS3 - Notional General Income'!J70</f>
        <v>0</v>
      </c>
      <c r="K573" s="151">
        <f>'WS3 - Notional General Income'!K70</f>
        <v>0</v>
      </c>
      <c r="L573" s="120" t="str">
        <f>'WS3 - Notional General Income'!L70</f>
        <v>.</v>
      </c>
      <c r="W573" s="3"/>
      <c r="X573" s="3"/>
      <c r="Y573" s="3"/>
      <c r="Z573" s="3"/>
      <c r="AA573" s="3"/>
      <c r="AB573" s="3"/>
      <c r="AC573" s="3"/>
      <c r="AD573" s="3"/>
      <c r="AE573" s="3"/>
    </row>
    <row r="574" spans="2:31" ht="10.5" customHeight="1" x14ac:dyDescent="0.2">
      <c r="B574" s="54" t="str">
        <f>'WS3 - Notional General Income'!B71</f>
        <v>Farmland</v>
      </c>
      <c r="C574" s="1">
        <f>'WS3 - Notional General Income'!C71</f>
        <v>0</v>
      </c>
      <c r="D574" s="151">
        <f>'WS3 - Notional General Income'!D71</f>
        <v>0</v>
      </c>
      <c r="E574" s="151">
        <f>'WS3 - Notional General Income'!E71</f>
        <v>0</v>
      </c>
      <c r="F574" s="151">
        <f>'WS3 - Notional General Income'!F71</f>
        <v>0</v>
      </c>
      <c r="G574" s="367" t="str">
        <f>'WS3 - Notional General Income'!G71</f>
        <v>.</v>
      </c>
      <c r="H574" s="151">
        <f>'WS3 - Notional General Income'!H71</f>
        <v>0</v>
      </c>
      <c r="I574" s="151">
        <f>'WS3 - Notional General Income'!I71</f>
        <v>0</v>
      </c>
      <c r="J574" s="151">
        <f>'WS3 - Notional General Income'!J71</f>
        <v>0</v>
      </c>
      <c r="K574" s="151">
        <f>'WS3 - Notional General Income'!K71</f>
        <v>0</v>
      </c>
      <c r="L574" s="120" t="str">
        <f>'WS3 - Notional General Income'!L71</f>
        <v>.</v>
      </c>
      <c r="W574" s="3"/>
      <c r="X574" s="3"/>
      <c r="Y574" s="3"/>
      <c r="Z574" s="3"/>
      <c r="AA574" s="3"/>
      <c r="AB574" s="3"/>
      <c r="AC574" s="3"/>
      <c r="AD574" s="3"/>
      <c r="AE574" s="3"/>
    </row>
    <row r="575" spans="2:31" ht="10.5" customHeight="1" x14ac:dyDescent="0.2">
      <c r="B575" s="54" t="str">
        <f>'WS3 - Notional General Income'!B72</f>
        <v>Farmland</v>
      </c>
      <c r="C575" s="1">
        <f>'WS3 - Notional General Income'!C72</f>
        <v>0</v>
      </c>
      <c r="D575" s="151">
        <f>'WS3 - Notional General Income'!D72</f>
        <v>0</v>
      </c>
      <c r="E575" s="151">
        <f>'WS3 - Notional General Income'!E72</f>
        <v>0</v>
      </c>
      <c r="F575" s="151">
        <f>'WS3 - Notional General Income'!F72</f>
        <v>0</v>
      </c>
      <c r="G575" s="367" t="str">
        <f>'WS3 - Notional General Income'!G72</f>
        <v>.</v>
      </c>
      <c r="H575" s="151">
        <f>'WS3 - Notional General Income'!H72</f>
        <v>0</v>
      </c>
      <c r="I575" s="151">
        <f>'WS3 - Notional General Income'!I72</f>
        <v>0</v>
      </c>
      <c r="J575" s="151">
        <f>'WS3 - Notional General Income'!J72</f>
        <v>0</v>
      </c>
      <c r="K575" s="151">
        <f>'WS3 - Notional General Income'!K72</f>
        <v>0</v>
      </c>
      <c r="L575" s="120" t="str">
        <f>'WS3 - Notional General Income'!L72</f>
        <v>.</v>
      </c>
      <c r="W575" s="3"/>
      <c r="X575" s="3"/>
      <c r="Y575" s="3"/>
      <c r="Z575" s="3"/>
      <c r="AA575" s="3"/>
      <c r="AB575" s="3"/>
      <c r="AC575" s="3"/>
      <c r="AD575" s="3"/>
      <c r="AE575" s="3"/>
    </row>
    <row r="576" spans="2:31" ht="10.5" customHeight="1" x14ac:dyDescent="0.2">
      <c r="B576" s="54" t="str">
        <f>'WS3 - Notional General Income'!B73</f>
        <v>Farmland</v>
      </c>
      <c r="C576" s="1">
        <f>'WS3 - Notional General Income'!C73</f>
        <v>0</v>
      </c>
      <c r="D576" s="151">
        <f>'WS3 - Notional General Income'!D73</f>
        <v>0</v>
      </c>
      <c r="E576" s="151">
        <f>'WS3 - Notional General Income'!E73</f>
        <v>0</v>
      </c>
      <c r="F576" s="151">
        <f>'WS3 - Notional General Income'!F73</f>
        <v>0</v>
      </c>
      <c r="G576" s="367" t="str">
        <f>'WS3 - Notional General Income'!G73</f>
        <v>.</v>
      </c>
      <c r="H576" s="151">
        <f>'WS3 - Notional General Income'!H73</f>
        <v>0</v>
      </c>
      <c r="I576" s="151">
        <f>'WS3 - Notional General Income'!I73</f>
        <v>0</v>
      </c>
      <c r="J576" s="151">
        <f>'WS3 - Notional General Income'!J73</f>
        <v>0</v>
      </c>
      <c r="K576" s="151">
        <f>'WS3 - Notional General Income'!K73</f>
        <v>0</v>
      </c>
      <c r="L576" s="120" t="str">
        <f>'WS3 - Notional General Income'!L73</f>
        <v>.</v>
      </c>
      <c r="W576" s="3"/>
      <c r="X576" s="3"/>
      <c r="Y576" s="3"/>
      <c r="Z576" s="3"/>
      <c r="AA576" s="3"/>
      <c r="AB576" s="3"/>
      <c r="AC576" s="3"/>
      <c r="AD576" s="3"/>
      <c r="AE576" s="3"/>
    </row>
    <row r="577" spans="2:31" ht="10.5" customHeight="1" x14ac:dyDescent="0.2">
      <c r="B577" s="54" t="str">
        <f>'WS3 - Notional General Income'!B74</f>
        <v>Farmland</v>
      </c>
      <c r="C577" s="1">
        <f>'WS3 - Notional General Income'!C74</f>
        <v>0</v>
      </c>
      <c r="D577" s="151">
        <f>'WS3 - Notional General Income'!D74</f>
        <v>0</v>
      </c>
      <c r="E577" s="151">
        <f>'WS3 - Notional General Income'!E74</f>
        <v>0</v>
      </c>
      <c r="F577" s="151">
        <f>'WS3 - Notional General Income'!F74</f>
        <v>0</v>
      </c>
      <c r="G577" s="367" t="str">
        <f>'WS3 - Notional General Income'!G74</f>
        <v>.</v>
      </c>
      <c r="H577" s="151">
        <f>'WS3 - Notional General Income'!H74</f>
        <v>0</v>
      </c>
      <c r="I577" s="151">
        <f>'WS3 - Notional General Income'!I74</f>
        <v>0</v>
      </c>
      <c r="J577" s="151">
        <f>'WS3 - Notional General Income'!J74</f>
        <v>0</v>
      </c>
      <c r="K577" s="151">
        <f>'WS3 - Notional General Income'!K74</f>
        <v>0</v>
      </c>
      <c r="L577" s="120" t="str">
        <f>'WS3 - Notional General Income'!L74</f>
        <v>.</v>
      </c>
      <c r="W577" s="3"/>
      <c r="X577" s="3"/>
      <c r="Y577" s="3"/>
      <c r="Z577" s="3"/>
      <c r="AA577" s="3"/>
      <c r="AB577" s="3"/>
      <c r="AC577" s="3"/>
      <c r="AD577" s="3"/>
      <c r="AE577" s="3"/>
    </row>
    <row r="578" spans="2:31" ht="10.5" customHeight="1" x14ac:dyDescent="0.2">
      <c r="B578" s="54" t="str">
        <f>'WS3 - Notional General Income'!B75</f>
        <v>Farmland</v>
      </c>
      <c r="C578" s="1">
        <f>'WS3 - Notional General Income'!C75</f>
        <v>0</v>
      </c>
      <c r="D578" s="151">
        <f>'WS3 - Notional General Income'!D75</f>
        <v>0</v>
      </c>
      <c r="E578" s="151">
        <f>'WS3 - Notional General Income'!E75</f>
        <v>0</v>
      </c>
      <c r="F578" s="151">
        <f>'WS3 - Notional General Income'!F75</f>
        <v>0</v>
      </c>
      <c r="G578" s="367" t="str">
        <f>'WS3 - Notional General Income'!G75</f>
        <v>.</v>
      </c>
      <c r="H578" s="151">
        <f>'WS3 - Notional General Income'!H75</f>
        <v>0</v>
      </c>
      <c r="I578" s="151">
        <f>'WS3 - Notional General Income'!I75</f>
        <v>0</v>
      </c>
      <c r="J578" s="151">
        <f>'WS3 - Notional General Income'!J75</f>
        <v>0</v>
      </c>
      <c r="K578" s="151">
        <f>'WS3 - Notional General Income'!K75</f>
        <v>0</v>
      </c>
      <c r="L578" s="120" t="str">
        <f>'WS3 - Notional General Income'!L75</f>
        <v>.</v>
      </c>
      <c r="W578" s="3"/>
      <c r="X578" s="3"/>
      <c r="Y578" s="3"/>
      <c r="Z578" s="3"/>
      <c r="AA578" s="3"/>
      <c r="AB578" s="3"/>
      <c r="AC578" s="3"/>
      <c r="AD578" s="3"/>
      <c r="AE578" s="3"/>
    </row>
    <row r="579" spans="2:31" ht="10.5" customHeight="1" x14ac:dyDescent="0.2">
      <c r="B579" s="54" t="str">
        <f>'WS3 - Notional General Income'!B76</f>
        <v>Farmland</v>
      </c>
      <c r="C579" s="1">
        <f>'WS3 - Notional General Income'!C76</f>
        <v>0</v>
      </c>
      <c r="D579" s="151">
        <f>'WS3 - Notional General Income'!D76</f>
        <v>0</v>
      </c>
      <c r="E579" s="151">
        <f>'WS3 - Notional General Income'!E76</f>
        <v>0</v>
      </c>
      <c r="F579" s="151">
        <f>'WS3 - Notional General Income'!F76</f>
        <v>0</v>
      </c>
      <c r="G579" s="367" t="str">
        <f>'WS3 - Notional General Income'!G76</f>
        <v>.</v>
      </c>
      <c r="H579" s="151">
        <f>'WS3 - Notional General Income'!H76</f>
        <v>0</v>
      </c>
      <c r="I579" s="151">
        <f>'WS3 - Notional General Income'!I76</f>
        <v>0</v>
      </c>
      <c r="J579" s="151">
        <f>'WS3 - Notional General Income'!J76</f>
        <v>0</v>
      </c>
      <c r="K579" s="151">
        <f>'WS3 - Notional General Income'!K76</f>
        <v>0</v>
      </c>
      <c r="L579" s="120" t="str">
        <f>'WS3 - Notional General Income'!L76</f>
        <v>.</v>
      </c>
      <c r="W579" s="3"/>
      <c r="X579" s="3"/>
      <c r="Y579" s="3"/>
      <c r="Z579" s="3"/>
      <c r="AA579" s="3"/>
      <c r="AB579" s="3"/>
      <c r="AC579" s="3"/>
      <c r="AD579" s="3"/>
      <c r="AE579" s="3"/>
    </row>
    <row r="580" spans="2:31" ht="10.5" customHeight="1" x14ac:dyDescent="0.2">
      <c r="B580" s="54" t="str">
        <f>'WS3 - Notional General Income'!B77</f>
        <v>Farmland</v>
      </c>
      <c r="C580" s="1">
        <f>'WS3 - Notional General Income'!C77</f>
        <v>0</v>
      </c>
      <c r="D580" s="151">
        <f>'WS3 - Notional General Income'!D77</f>
        <v>0</v>
      </c>
      <c r="E580" s="151">
        <f>'WS3 - Notional General Income'!E77</f>
        <v>0</v>
      </c>
      <c r="F580" s="151">
        <f>'WS3 - Notional General Income'!F77</f>
        <v>0</v>
      </c>
      <c r="G580" s="367" t="str">
        <f>'WS3 - Notional General Income'!G77</f>
        <v>.</v>
      </c>
      <c r="H580" s="151">
        <f>'WS3 - Notional General Income'!H77</f>
        <v>0</v>
      </c>
      <c r="I580" s="151">
        <f>'WS3 - Notional General Income'!I77</f>
        <v>0</v>
      </c>
      <c r="J580" s="151">
        <f>'WS3 - Notional General Income'!J77</f>
        <v>0</v>
      </c>
      <c r="K580" s="151">
        <f>'WS3 - Notional General Income'!K77</f>
        <v>0</v>
      </c>
      <c r="L580" s="120" t="str">
        <f>'WS3 - Notional General Income'!L77</f>
        <v>.</v>
      </c>
      <c r="W580" s="3"/>
      <c r="X580" s="3"/>
      <c r="Y580" s="3"/>
      <c r="Z580" s="3"/>
      <c r="AA580" s="3"/>
      <c r="AB580" s="3"/>
      <c r="AC580" s="3"/>
      <c r="AD580" s="3"/>
      <c r="AE580" s="3"/>
    </row>
    <row r="581" spans="2:31" x14ac:dyDescent="0.2">
      <c r="B581" s="335" t="str">
        <f>'WS3 - Notional General Income'!C78</f>
        <v>Total Farmland</v>
      </c>
      <c r="C581" s="375"/>
      <c r="D581" s="376">
        <f>'WS3 - Notional General Income'!D78</f>
        <v>0</v>
      </c>
      <c r="E581" s="376">
        <f>'WS3 - Notional General Income'!E78</f>
        <v>0</v>
      </c>
      <c r="F581" s="376">
        <f>'WS3 - Notional General Income'!F78</f>
        <v>0</v>
      </c>
      <c r="G581" s="377">
        <f>'WS3 - Notional General Income'!G78</f>
        <v>0</v>
      </c>
      <c r="H581" s="376">
        <f>'WS3 - Notional General Income'!H78</f>
        <v>0</v>
      </c>
      <c r="I581" s="376">
        <f>'WS3 - Notional General Income'!I78</f>
        <v>0</v>
      </c>
      <c r="J581" s="376">
        <f>'WS3 - Notional General Income'!J78</f>
        <v>0</v>
      </c>
      <c r="K581" s="376">
        <f>'WS3 - Notional General Income'!K78</f>
        <v>0</v>
      </c>
      <c r="L581" s="378">
        <f>'WS3 - Notional General Income'!L78</f>
        <v>0</v>
      </c>
      <c r="W581" s="3"/>
      <c r="X581" s="3"/>
      <c r="Y581" s="3"/>
      <c r="Z581" s="3"/>
      <c r="AA581" s="3"/>
      <c r="AB581" s="3"/>
      <c r="AC581" s="3"/>
      <c r="AD581" s="3"/>
      <c r="AE581" s="3"/>
    </row>
    <row r="582" spans="2:31" x14ac:dyDescent="0.2">
      <c r="B582" s="54" t="str">
        <f>'WS3 - Notional General Income'!B79</f>
        <v>Mining</v>
      </c>
      <c r="C582" s="1">
        <f>'WS3 - Notional General Income'!C79</f>
        <v>0</v>
      </c>
      <c r="D582" s="151">
        <f>'WS3 - Notional General Income'!D79</f>
        <v>0</v>
      </c>
      <c r="E582" s="151">
        <f>'WS3 - Notional General Income'!E79</f>
        <v>0</v>
      </c>
      <c r="F582" s="151">
        <f>'WS3 - Notional General Income'!F79</f>
        <v>0</v>
      </c>
      <c r="G582" s="367" t="str">
        <f>'WS3 - Notional General Income'!G79</f>
        <v>.</v>
      </c>
      <c r="H582" s="151">
        <f>'WS3 - Notional General Income'!H79</f>
        <v>0</v>
      </c>
      <c r="I582" s="151">
        <f>'WS3 - Notional General Income'!I79</f>
        <v>0</v>
      </c>
      <c r="J582" s="151">
        <f>'WS3 - Notional General Income'!J79</f>
        <v>0</v>
      </c>
      <c r="K582" s="151">
        <f>'WS3 - Notional General Income'!K79</f>
        <v>0</v>
      </c>
      <c r="L582" s="120" t="str">
        <f>'WS3 - Notional General Income'!L79</f>
        <v>.</v>
      </c>
      <c r="W582" s="3"/>
      <c r="X582" s="3"/>
      <c r="Y582" s="3"/>
      <c r="Z582" s="3"/>
      <c r="AA582" s="3"/>
      <c r="AB582" s="3"/>
      <c r="AC582" s="3"/>
      <c r="AD582" s="3"/>
      <c r="AE582" s="3"/>
    </row>
    <row r="583" spans="2:31" x14ac:dyDescent="0.2">
      <c r="B583" s="54" t="str">
        <f>'WS3 - Notional General Income'!B80</f>
        <v>Mining</v>
      </c>
      <c r="C583" s="1">
        <f>'WS3 - Notional General Income'!C80</f>
        <v>0</v>
      </c>
      <c r="D583" s="151">
        <f>'WS3 - Notional General Income'!D80</f>
        <v>0</v>
      </c>
      <c r="E583" s="151">
        <f>'WS3 - Notional General Income'!E80</f>
        <v>0</v>
      </c>
      <c r="F583" s="151">
        <f>'WS3 - Notional General Income'!F80</f>
        <v>0</v>
      </c>
      <c r="G583" s="367" t="str">
        <f>'WS3 - Notional General Income'!G80</f>
        <v>.</v>
      </c>
      <c r="H583" s="151">
        <f>'WS3 - Notional General Income'!H80</f>
        <v>0</v>
      </c>
      <c r="I583" s="151">
        <f>'WS3 - Notional General Income'!I80</f>
        <v>0</v>
      </c>
      <c r="J583" s="151">
        <f>'WS3 - Notional General Income'!J80</f>
        <v>0</v>
      </c>
      <c r="K583" s="151">
        <f>'WS3 - Notional General Income'!K80</f>
        <v>0</v>
      </c>
      <c r="L583" s="120" t="str">
        <f>'WS3 - Notional General Income'!L80</f>
        <v>.</v>
      </c>
      <c r="W583" s="3"/>
      <c r="X583" s="3"/>
      <c r="Y583" s="3"/>
      <c r="Z583" s="3"/>
      <c r="AA583" s="3"/>
      <c r="AB583" s="3"/>
      <c r="AC583" s="3"/>
      <c r="AD583" s="3"/>
      <c r="AE583" s="3"/>
    </row>
    <row r="584" spans="2:31" x14ac:dyDescent="0.2">
      <c r="B584" s="54" t="str">
        <f>'WS3 - Notional General Income'!B81</f>
        <v>Mining</v>
      </c>
      <c r="C584" s="1">
        <f>'WS3 - Notional General Income'!C81</f>
        <v>0</v>
      </c>
      <c r="D584" s="151">
        <f>'WS3 - Notional General Income'!D81</f>
        <v>0</v>
      </c>
      <c r="E584" s="151">
        <f>'WS3 - Notional General Income'!E81</f>
        <v>0</v>
      </c>
      <c r="F584" s="151">
        <f>'WS3 - Notional General Income'!F81</f>
        <v>0</v>
      </c>
      <c r="G584" s="367" t="str">
        <f>'WS3 - Notional General Income'!G81</f>
        <v>.</v>
      </c>
      <c r="H584" s="151">
        <f>'WS3 - Notional General Income'!H81</f>
        <v>0</v>
      </c>
      <c r="I584" s="151">
        <f>'WS3 - Notional General Income'!I81</f>
        <v>0</v>
      </c>
      <c r="J584" s="151">
        <f>'WS3 - Notional General Income'!J81</f>
        <v>0</v>
      </c>
      <c r="K584" s="151">
        <f>'WS3 - Notional General Income'!K81</f>
        <v>0</v>
      </c>
      <c r="L584" s="120" t="str">
        <f>'WS3 - Notional General Income'!L81</f>
        <v>.</v>
      </c>
      <c r="W584" s="3"/>
      <c r="X584" s="3"/>
      <c r="Y584" s="3"/>
      <c r="Z584" s="3"/>
      <c r="AA584" s="3"/>
      <c r="AB584" s="3"/>
      <c r="AC584" s="3"/>
      <c r="AD584" s="3"/>
      <c r="AE584" s="3"/>
    </row>
    <row r="585" spans="2:31" x14ac:dyDescent="0.2">
      <c r="B585" s="54" t="str">
        <f>'WS3 - Notional General Income'!B82</f>
        <v>Mining</v>
      </c>
      <c r="C585" s="1">
        <f>'WS3 - Notional General Income'!C82</f>
        <v>0</v>
      </c>
      <c r="D585" s="151">
        <f>'WS3 - Notional General Income'!D82</f>
        <v>0</v>
      </c>
      <c r="E585" s="151">
        <f>'WS3 - Notional General Income'!E82</f>
        <v>0</v>
      </c>
      <c r="F585" s="151">
        <f>'WS3 - Notional General Income'!F82</f>
        <v>0</v>
      </c>
      <c r="G585" s="367" t="str">
        <f>'WS3 - Notional General Income'!G82</f>
        <v>.</v>
      </c>
      <c r="H585" s="151">
        <f>'WS3 - Notional General Income'!H82</f>
        <v>0</v>
      </c>
      <c r="I585" s="151">
        <f>'WS3 - Notional General Income'!I82</f>
        <v>0</v>
      </c>
      <c r="J585" s="151">
        <f>'WS3 - Notional General Income'!J82</f>
        <v>0</v>
      </c>
      <c r="K585" s="151">
        <f>'WS3 - Notional General Income'!K82</f>
        <v>0</v>
      </c>
      <c r="L585" s="120" t="str">
        <f>'WS3 - Notional General Income'!L82</f>
        <v>.</v>
      </c>
      <c r="W585" s="3"/>
      <c r="X585" s="3"/>
      <c r="Y585" s="3"/>
      <c r="Z585" s="3"/>
      <c r="AA585" s="3"/>
      <c r="AB585" s="3"/>
      <c r="AC585" s="3"/>
      <c r="AD585" s="3"/>
      <c r="AE585" s="3"/>
    </row>
    <row r="586" spans="2:31" x14ac:dyDescent="0.2">
      <c r="B586" s="54" t="str">
        <f>'WS3 - Notional General Income'!B83</f>
        <v>Mining</v>
      </c>
      <c r="C586" s="1">
        <f>'WS3 - Notional General Income'!C83</f>
        <v>0</v>
      </c>
      <c r="D586" s="151">
        <f>'WS3 - Notional General Income'!D83</f>
        <v>0</v>
      </c>
      <c r="E586" s="151">
        <f>'WS3 - Notional General Income'!E83</f>
        <v>0</v>
      </c>
      <c r="F586" s="151">
        <f>'WS3 - Notional General Income'!F83</f>
        <v>0</v>
      </c>
      <c r="G586" s="367" t="str">
        <f>'WS3 - Notional General Income'!G83</f>
        <v>.</v>
      </c>
      <c r="H586" s="151">
        <f>'WS3 - Notional General Income'!H83</f>
        <v>0</v>
      </c>
      <c r="I586" s="151">
        <f>'WS3 - Notional General Income'!I83</f>
        <v>0</v>
      </c>
      <c r="J586" s="151">
        <f>'WS3 - Notional General Income'!J83</f>
        <v>0</v>
      </c>
      <c r="K586" s="151">
        <f>'WS3 - Notional General Income'!K83</f>
        <v>0</v>
      </c>
      <c r="L586" s="120" t="str">
        <f>'WS3 - Notional General Income'!L83</f>
        <v>.</v>
      </c>
      <c r="W586" s="3"/>
      <c r="X586" s="3"/>
      <c r="Y586" s="3"/>
      <c r="Z586" s="3"/>
      <c r="AA586" s="3"/>
      <c r="AB586" s="3"/>
      <c r="AC586" s="3"/>
      <c r="AD586" s="3"/>
      <c r="AE586" s="3"/>
    </row>
    <row r="587" spans="2:31" x14ac:dyDescent="0.2">
      <c r="B587" s="54" t="str">
        <f>'WS3 - Notional General Income'!B84</f>
        <v>Mining</v>
      </c>
      <c r="C587" s="1">
        <f>'WS3 - Notional General Income'!C84</f>
        <v>0</v>
      </c>
      <c r="D587" s="151">
        <f>'WS3 - Notional General Income'!D84</f>
        <v>0</v>
      </c>
      <c r="E587" s="151">
        <f>'WS3 - Notional General Income'!E84</f>
        <v>0</v>
      </c>
      <c r="F587" s="151">
        <f>'WS3 - Notional General Income'!F84</f>
        <v>0</v>
      </c>
      <c r="G587" s="367" t="str">
        <f>'WS3 - Notional General Income'!G84</f>
        <v>.</v>
      </c>
      <c r="H587" s="151">
        <f>'WS3 - Notional General Income'!H84</f>
        <v>0</v>
      </c>
      <c r="I587" s="151">
        <f>'WS3 - Notional General Income'!I84</f>
        <v>0</v>
      </c>
      <c r="J587" s="151">
        <f>'WS3 - Notional General Income'!J84</f>
        <v>0</v>
      </c>
      <c r="K587" s="151">
        <f>'WS3 - Notional General Income'!K84</f>
        <v>0</v>
      </c>
      <c r="L587" s="120" t="str">
        <f>'WS3 - Notional General Income'!L84</f>
        <v>.</v>
      </c>
      <c r="W587" s="3"/>
      <c r="X587" s="3"/>
      <c r="Y587" s="3"/>
      <c r="Z587" s="3"/>
      <c r="AA587" s="3"/>
      <c r="AB587" s="3"/>
      <c r="AC587" s="3"/>
      <c r="AD587" s="3"/>
      <c r="AE587" s="3"/>
    </row>
    <row r="588" spans="2:31" x14ac:dyDescent="0.2">
      <c r="B588" s="54" t="str">
        <f>'WS3 - Notional General Income'!B85</f>
        <v>Mining</v>
      </c>
      <c r="C588" s="1">
        <f>'WS3 - Notional General Income'!C85</f>
        <v>0</v>
      </c>
      <c r="D588" s="151">
        <f>'WS3 - Notional General Income'!D85</f>
        <v>0</v>
      </c>
      <c r="E588" s="151">
        <f>'WS3 - Notional General Income'!E85</f>
        <v>0</v>
      </c>
      <c r="F588" s="151">
        <f>'WS3 - Notional General Income'!F85</f>
        <v>0</v>
      </c>
      <c r="G588" s="367" t="str">
        <f>'WS3 - Notional General Income'!G85</f>
        <v>.</v>
      </c>
      <c r="H588" s="151">
        <f>'WS3 - Notional General Income'!H85</f>
        <v>0</v>
      </c>
      <c r="I588" s="151">
        <f>'WS3 - Notional General Income'!I85</f>
        <v>0</v>
      </c>
      <c r="J588" s="151">
        <f>'WS3 - Notional General Income'!J85</f>
        <v>0</v>
      </c>
      <c r="K588" s="151">
        <f>'WS3 - Notional General Income'!K85</f>
        <v>0</v>
      </c>
      <c r="L588" s="120" t="str">
        <f>'WS3 - Notional General Income'!L85</f>
        <v>.</v>
      </c>
      <c r="W588" s="3"/>
      <c r="X588" s="3"/>
      <c r="Y588" s="3"/>
      <c r="Z588" s="3"/>
      <c r="AA588" s="3"/>
      <c r="AB588" s="3"/>
      <c r="AC588" s="3"/>
      <c r="AD588" s="3"/>
      <c r="AE588" s="3"/>
    </row>
    <row r="589" spans="2:31" x14ac:dyDescent="0.2">
      <c r="B589" s="54" t="str">
        <f>'WS3 - Notional General Income'!B86</f>
        <v>Mining</v>
      </c>
      <c r="C589" s="1">
        <f>'WS3 - Notional General Income'!C86</f>
        <v>0</v>
      </c>
      <c r="D589" s="151">
        <f>'WS3 - Notional General Income'!D86</f>
        <v>0</v>
      </c>
      <c r="E589" s="151">
        <f>'WS3 - Notional General Income'!E86</f>
        <v>0</v>
      </c>
      <c r="F589" s="151">
        <f>'WS3 - Notional General Income'!F86</f>
        <v>0</v>
      </c>
      <c r="G589" s="367" t="str">
        <f>'WS3 - Notional General Income'!G86</f>
        <v>.</v>
      </c>
      <c r="H589" s="151">
        <f>'WS3 - Notional General Income'!H86</f>
        <v>0</v>
      </c>
      <c r="I589" s="151">
        <f>'WS3 - Notional General Income'!I86</f>
        <v>0</v>
      </c>
      <c r="J589" s="151">
        <f>'WS3 - Notional General Income'!J86</f>
        <v>0</v>
      </c>
      <c r="K589" s="151">
        <f>'WS3 - Notional General Income'!K86</f>
        <v>0</v>
      </c>
      <c r="L589" s="120" t="str">
        <f>'WS3 - Notional General Income'!L86</f>
        <v>.</v>
      </c>
      <c r="W589" s="3"/>
      <c r="X589" s="3"/>
      <c r="Y589" s="3"/>
      <c r="Z589" s="3"/>
      <c r="AA589" s="3"/>
      <c r="AB589" s="3"/>
      <c r="AC589" s="3"/>
      <c r="AD589" s="3"/>
      <c r="AE589" s="3"/>
    </row>
    <row r="590" spans="2:31" x14ac:dyDescent="0.2">
      <c r="B590" s="54" t="str">
        <f>'WS3 - Notional General Income'!B87</f>
        <v>Mining</v>
      </c>
      <c r="C590" s="1">
        <f>'WS3 - Notional General Income'!C87</f>
        <v>0</v>
      </c>
      <c r="D590" s="151">
        <f>'WS3 - Notional General Income'!D87</f>
        <v>0</v>
      </c>
      <c r="E590" s="151">
        <f>'WS3 - Notional General Income'!E87</f>
        <v>0</v>
      </c>
      <c r="F590" s="151">
        <f>'WS3 - Notional General Income'!F87</f>
        <v>0</v>
      </c>
      <c r="G590" s="367" t="str">
        <f>'WS3 - Notional General Income'!G87</f>
        <v>.</v>
      </c>
      <c r="H590" s="151">
        <f>'WS3 - Notional General Income'!H87</f>
        <v>0</v>
      </c>
      <c r="I590" s="151">
        <f>'WS3 - Notional General Income'!I87</f>
        <v>0</v>
      </c>
      <c r="J590" s="151">
        <f>'WS3 - Notional General Income'!J87</f>
        <v>0</v>
      </c>
      <c r="K590" s="151">
        <f>'WS3 - Notional General Income'!K87</f>
        <v>0</v>
      </c>
      <c r="L590" s="120" t="str">
        <f>'WS3 - Notional General Income'!L87</f>
        <v>.</v>
      </c>
      <c r="W590" s="3"/>
      <c r="X590" s="3"/>
      <c r="Y590" s="3"/>
      <c r="Z590" s="3"/>
      <c r="AA590" s="3"/>
      <c r="AB590" s="3"/>
      <c r="AC590" s="3"/>
      <c r="AD590" s="3"/>
      <c r="AE590" s="3"/>
    </row>
    <row r="591" spans="2:31" x14ac:dyDescent="0.2">
      <c r="B591" s="54" t="str">
        <f>'WS3 - Notional General Income'!B88</f>
        <v>Mining</v>
      </c>
      <c r="C591" s="1">
        <f>'WS3 - Notional General Income'!C88</f>
        <v>0</v>
      </c>
      <c r="D591" s="151">
        <f>'WS3 - Notional General Income'!D88</f>
        <v>0</v>
      </c>
      <c r="E591" s="151">
        <f>'WS3 - Notional General Income'!E88</f>
        <v>0</v>
      </c>
      <c r="F591" s="151">
        <f>'WS3 - Notional General Income'!F88</f>
        <v>0</v>
      </c>
      <c r="G591" s="367" t="str">
        <f>'WS3 - Notional General Income'!G88</f>
        <v>.</v>
      </c>
      <c r="H591" s="151">
        <f>'WS3 - Notional General Income'!H88</f>
        <v>0</v>
      </c>
      <c r="I591" s="151">
        <f>'WS3 - Notional General Income'!I88</f>
        <v>0</v>
      </c>
      <c r="J591" s="151">
        <f>'WS3 - Notional General Income'!J88</f>
        <v>0</v>
      </c>
      <c r="K591" s="151">
        <f>'WS3 - Notional General Income'!K88</f>
        <v>0</v>
      </c>
      <c r="L591" s="120" t="str">
        <f>'WS3 - Notional General Income'!L88</f>
        <v>.</v>
      </c>
      <c r="W591" s="3"/>
      <c r="X591" s="3"/>
      <c r="Y591" s="3"/>
      <c r="Z591" s="3"/>
      <c r="AA591" s="3"/>
      <c r="AB591" s="3"/>
      <c r="AC591" s="3"/>
      <c r="AD591" s="3"/>
      <c r="AE591" s="3"/>
    </row>
    <row r="592" spans="2:31" x14ac:dyDescent="0.2">
      <c r="B592" s="335" t="str">
        <f>'WS3 - Notional General Income'!C89</f>
        <v>Total Mining</v>
      </c>
      <c r="C592" s="379"/>
      <c r="D592" s="376">
        <f>'WS3 - Notional General Income'!D89</f>
        <v>0</v>
      </c>
      <c r="E592" s="376">
        <f>'WS3 - Notional General Income'!E89</f>
        <v>0</v>
      </c>
      <c r="F592" s="376">
        <f>'WS3 - Notional General Income'!F89</f>
        <v>0</v>
      </c>
      <c r="G592" s="377">
        <f>'WS3 - Notional General Income'!G89</f>
        <v>0</v>
      </c>
      <c r="H592" s="376">
        <f>'WS3 - Notional General Income'!H89</f>
        <v>0</v>
      </c>
      <c r="I592" s="376">
        <f>'WS3 - Notional General Income'!I89</f>
        <v>0</v>
      </c>
      <c r="J592" s="376">
        <f>'WS3 - Notional General Income'!J89</f>
        <v>0</v>
      </c>
      <c r="K592" s="376">
        <f>'WS3 - Notional General Income'!K89</f>
        <v>0</v>
      </c>
      <c r="L592" s="378">
        <f>'WS3 - Notional General Income'!L89</f>
        <v>0</v>
      </c>
      <c r="W592" s="3"/>
      <c r="X592" s="3"/>
      <c r="Y592" s="3"/>
      <c r="Z592" s="3"/>
      <c r="AA592" s="3"/>
      <c r="AB592" s="3"/>
      <c r="AC592" s="3"/>
      <c r="AD592" s="3"/>
      <c r="AE592" s="3"/>
    </row>
    <row r="593" spans="2:31" x14ac:dyDescent="0.2">
      <c r="B593" s="32" t="str">
        <f>'WS3 - Notional General Income'!B90</f>
        <v>Total Assessments:</v>
      </c>
      <c r="C593" s="138"/>
      <c r="D593" s="333">
        <f>'WS3 - Notional General Income'!D90</f>
        <v>32457</v>
      </c>
      <c r="E593" s="333"/>
      <c r="F593" s="333"/>
      <c r="G593" s="363"/>
      <c r="H593" s="333"/>
      <c r="I593" s="333"/>
      <c r="J593" s="333">
        <f>'WS3 - Notional General Income'!J90</f>
        <v>46670593811</v>
      </c>
      <c r="K593" s="333"/>
      <c r="L593" s="364">
        <f>'WS3 - Notional General Income'!L90</f>
        <v>54352003.65630883</v>
      </c>
      <c r="W593" s="3"/>
      <c r="X593" s="3"/>
      <c r="Y593" s="3"/>
      <c r="Z593" s="3"/>
      <c r="AA593" s="3"/>
      <c r="AB593" s="3"/>
      <c r="AC593" s="3"/>
      <c r="AD593" s="3"/>
      <c r="AE593" s="3"/>
    </row>
    <row r="594" spans="2:31" x14ac:dyDescent="0.2">
      <c r="B594" s="3"/>
      <c r="C594" s="3"/>
      <c r="D594" s="3"/>
      <c r="E594" s="3"/>
      <c r="F594" s="3"/>
      <c r="G594" s="3"/>
      <c r="H594" s="3"/>
      <c r="I594" s="3"/>
      <c r="J594" s="3"/>
      <c r="K594" s="3"/>
      <c r="L594" s="3"/>
      <c r="O594" s="3"/>
      <c r="P594" s="3"/>
      <c r="Q594" s="3"/>
      <c r="R594" s="3"/>
      <c r="S594" s="3"/>
      <c r="T594" s="3"/>
      <c r="U594" s="3"/>
      <c r="V594" s="3"/>
      <c r="W594" s="3"/>
      <c r="X594" s="3"/>
      <c r="Y594" s="3"/>
      <c r="Z594" s="3"/>
      <c r="AA594" s="3"/>
      <c r="AB594" s="3"/>
      <c r="AC594" s="3"/>
      <c r="AD594" s="3"/>
      <c r="AE594" s="3"/>
    </row>
    <row r="595" spans="2:31" x14ac:dyDescent="0.2">
      <c r="B595" s="3"/>
      <c r="C595" s="3"/>
      <c r="D595" s="3"/>
      <c r="E595" s="3"/>
      <c r="F595" s="3"/>
      <c r="G595" s="3"/>
      <c r="H595" s="3"/>
      <c r="I595" s="3"/>
      <c r="J595" s="3"/>
      <c r="K595" s="3"/>
      <c r="L595" s="3"/>
      <c r="O595" s="3"/>
      <c r="P595" s="3"/>
      <c r="Q595" s="3"/>
      <c r="R595" s="3"/>
      <c r="S595" s="3"/>
      <c r="T595" s="3"/>
      <c r="U595" s="3"/>
      <c r="V595" s="3"/>
      <c r="W595" s="3"/>
      <c r="X595" s="3"/>
      <c r="Y595" s="3"/>
      <c r="Z595" s="3"/>
      <c r="AA595" s="3"/>
      <c r="AB595" s="3"/>
      <c r="AC595" s="3"/>
      <c r="AD595" s="3"/>
      <c r="AE595" s="3"/>
    </row>
    <row r="596" spans="2:31" x14ac:dyDescent="0.2">
      <c r="B596" s="3" t="str">
        <f>'WS4 - Yr 1 YIELD'!B4</f>
        <v>WORKSHEET 4: CALCULATION OF NOTIONAL GENERAL INCOME FOR 2024-25 (YEAR 1)</v>
      </c>
      <c r="C596" s="3"/>
      <c r="D596" s="3"/>
      <c r="E596" s="3"/>
      <c r="F596" s="3"/>
      <c r="G596" s="3"/>
      <c r="H596" s="3"/>
      <c r="I596" s="3"/>
      <c r="J596" s="3"/>
      <c r="K596" s="3"/>
      <c r="L596" s="3"/>
      <c r="Q596" s="3"/>
      <c r="R596" s="3"/>
      <c r="S596" s="3"/>
      <c r="T596" s="3"/>
      <c r="U596" s="3"/>
      <c r="V596" s="3"/>
      <c r="W596" s="3"/>
      <c r="X596" s="3"/>
      <c r="Y596" s="3"/>
      <c r="Z596" s="3"/>
      <c r="AA596" s="3"/>
      <c r="AB596" s="3"/>
      <c r="AC596" s="3"/>
      <c r="AD596" s="3"/>
      <c r="AE596" s="3"/>
    </row>
    <row r="597" spans="2:31" x14ac:dyDescent="0.2">
      <c r="B597" s="2"/>
      <c r="C597" s="3"/>
      <c r="D597" s="3"/>
      <c r="E597" s="3"/>
      <c r="F597" s="3"/>
      <c r="G597" s="3"/>
      <c r="H597" s="3"/>
      <c r="I597" s="3"/>
      <c r="J597" s="3"/>
      <c r="K597" s="3"/>
      <c r="L597" s="2" t="str">
        <f>'WS0 - Input data'!K58</f>
        <v>2024-25</v>
      </c>
      <c r="Q597" s="3"/>
      <c r="R597" s="3"/>
      <c r="S597" s="3"/>
      <c r="T597" s="3"/>
      <c r="U597" s="3"/>
      <c r="V597" s="3"/>
      <c r="W597" s="3"/>
      <c r="X597" s="3"/>
      <c r="Y597" s="3"/>
      <c r="Z597" s="3"/>
      <c r="AA597" s="3"/>
      <c r="AB597" s="3"/>
      <c r="AC597" s="3"/>
      <c r="AD597" s="3"/>
      <c r="AE597" s="3"/>
    </row>
    <row r="598" spans="2:31" ht="36" x14ac:dyDescent="0.2">
      <c r="B598" s="361" t="str">
        <f>'WS4 - Yr 1 YIELD'!B17</f>
        <v>Rating Category   (s514-518)</v>
      </c>
      <c r="C598" s="362" t="str">
        <f>'WS4 - Yr 1 YIELD'!C17</f>
        <v xml:space="preserve">Name of 
sub-category </v>
      </c>
      <c r="D598" s="365" t="str">
        <f>'WS4 - Yr 1 YIELD'!D17</f>
        <v>Number of Assessments</v>
      </c>
      <c r="E598" s="365" t="str">
        <f>'WS4 - Yr 1 YIELD'!E17</f>
        <v>Ad valorem rate
(cents)</v>
      </c>
      <c r="F598" s="365" t="str">
        <f>'WS4 - Yr 1 YIELD'!F17</f>
        <v>Base Amount
$</v>
      </c>
      <c r="G598" s="365" t="str">
        <f>'WS4 - Yr 1 YIELD'!G17</f>
        <v>Base Amount
%</v>
      </c>
      <c r="H598" s="365" t="str">
        <f>'WS4 - Yr 1 YIELD'!H17</f>
        <v>Minimum
Amount
$</v>
      </c>
      <c r="I598" s="365" t="str">
        <f>'WS4 - Yr 1 YIELD'!I17</f>
        <v>Number on Minimum</v>
      </c>
      <c r="J598" s="365" t="str">
        <f>'WS4 - Yr 1 YIELD'!J17</f>
        <v>Land Value as at
start of year
$</v>
      </c>
      <c r="K598" s="365" t="str">
        <f>'WS4 - Yr 1 YIELD'!K17</f>
        <v>Land Value of Land on Minimum $</v>
      </c>
      <c r="L598" s="366" t="str">
        <f>'WS4 - Yr 1 YIELD'!L17</f>
        <v>Notional General
Income</v>
      </c>
      <c r="W598" s="3"/>
      <c r="X598" s="3"/>
      <c r="Y598" s="3"/>
      <c r="Z598" s="3"/>
      <c r="AA598" s="3"/>
      <c r="AB598" s="3"/>
      <c r="AC598" s="3"/>
      <c r="AD598" s="3"/>
      <c r="AE598" s="3"/>
    </row>
    <row r="599" spans="2:31" x14ac:dyDescent="0.2">
      <c r="B599" s="383" t="str">
        <f>'WS4 - Yr 1 YIELD'!C38</f>
        <v>Total Residential</v>
      </c>
      <c r="C599" s="282"/>
      <c r="D599" s="384">
        <f>'WS4 - Yr 1 YIELD'!D38</f>
        <v>29428</v>
      </c>
      <c r="E599" s="384">
        <f>'WS4 - Yr 1 YIELD'!E38</f>
        <v>0</v>
      </c>
      <c r="F599" s="384">
        <f>'WS4 - Yr 1 YIELD'!F38</f>
        <v>0</v>
      </c>
      <c r="G599" s="384">
        <f>'WS4 - Yr 1 YIELD'!G38</f>
        <v>0</v>
      </c>
      <c r="H599" s="384">
        <f>'WS4 - Yr 1 YIELD'!H38</f>
        <v>0</v>
      </c>
      <c r="I599" s="384">
        <f>'WS4 - Yr 1 YIELD'!I38</f>
        <v>16449</v>
      </c>
      <c r="J599" s="384">
        <f>'WS4 - Yr 1 YIELD'!J38</f>
        <v>41955718018</v>
      </c>
      <c r="K599" s="384">
        <f>'WS4 - Yr 1 YIELD'!K38</f>
        <v>7978632695</v>
      </c>
      <c r="L599" s="399">
        <f>'WS4 - Yr 1 YIELD'!L38</f>
        <v>36815851.327900834</v>
      </c>
      <c r="W599" s="3"/>
      <c r="X599" s="3"/>
      <c r="Y599" s="3"/>
      <c r="Z599" s="3"/>
      <c r="AA599" s="3"/>
      <c r="AB599" s="3"/>
      <c r="AC599" s="3"/>
      <c r="AD599" s="3"/>
      <c r="AE599" s="3"/>
    </row>
    <row r="600" spans="2:31" x14ac:dyDescent="0.2">
      <c r="B600" s="385" t="str">
        <f>'WS4 - Yr 1 YIELD'!C64</f>
        <v>Total Business</v>
      </c>
      <c r="C600" s="3"/>
      <c r="D600" s="85">
        <f>'WS4 - Yr 1 YIELD'!D64</f>
        <v>3029</v>
      </c>
      <c r="E600" s="85">
        <f>'WS4 - Yr 1 YIELD'!E64</f>
        <v>0</v>
      </c>
      <c r="F600" s="85">
        <f>'WS4 - Yr 1 YIELD'!F64</f>
        <v>0</v>
      </c>
      <c r="G600" s="85">
        <f>'WS4 - Yr 1 YIELD'!G64</f>
        <v>0</v>
      </c>
      <c r="H600" s="85">
        <f>'WS4 - Yr 1 YIELD'!H64</f>
        <v>0</v>
      </c>
      <c r="I600" s="85">
        <f>'WS4 - Yr 1 YIELD'!I64</f>
        <v>1161</v>
      </c>
      <c r="J600" s="85">
        <f>'WS4 - Yr 1 YIELD'!J64</f>
        <v>4714875793</v>
      </c>
      <c r="K600" s="85">
        <f>'WS4 - Yr 1 YIELD'!K64</f>
        <v>159220987</v>
      </c>
      <c r="L600" s="201">
        <f>'WS4 - Yr 1 YIELD'!L64</f>
        <v>25688952.876854319</v>
      </c>
      <c r="W600" s="3"/>
      <c r="X600" s="3"/>
      <c r="Y600" s="3"/>
      <c r="Z600" s="3"/>
      <c r="AA600" s="3"/>
      <c r="AB600" s="3"/>
      <c r="AC600" s="3"/>
      <c r="AD600" s="3"/>
      <c r="AE600" s="3"/>
    </row>
    <row r="601" spans="2:31" x14ac:dyDescent="0.2">
      <c r="B601" s="385" t="str">
        <f>'WS4 - Yr 1 YIELD'!C75</f>
        <v>Total Farmland</v>
      </c>
      <c r="C601" s="3"/>
      <c r="D601" s="85">
        <f>'WS4 - Yr 1 YIELD'!D75</f>
        <v>0</v>
      </c>
      <c r="E601" s="85">
        <f>'WS4 - Yr 1 YIELD'!E75</f>
        <v>0</v>
      </c>
      <c r="F601" s="85">
        <f>'WS4 - Yr 1 YIELD'!F75</f>
        <v>0</v>
      </c>
      <c r="G601" s="85">
        <f>'WS4 - Yr 1 YIELD'!G75</f>
        <v>0</v>
      </c>
      <c r="H601" s="85">
        <f>'WS4 - Yr 1 YIELD'!H75</f>
        <v>0</v>
      </c>
      <c r="I601" s="85">
        <f>'WS4 - Yr 1 YIELD'!I75</f>
        <v>0</v>
      </c>
      <c r="J601" s="85">
        <f>'WS4 - Yr 1 YIELD'!J75</f>
        <v>0</v>
      </c>
      <c r="K601" s="85">
        <f>'WS4 - Yr 1 YIELD'!K75</f>
        <v>0</v>
      </c>
      <c r="L601" s="201">
        <f>'WS4 - Yr 1 YIELD'!L75</f>
        <v>0</v>
      </c>
      <c r="W601" s="3"/>
      <c r="X601" s="3"/>
      <c r="Y601" s="3"/>
      <c r="Z601" s="3"/>
      <c r="AA601" s="3"/>
      <c r="AB601" s="3"/>
      <c r="AC601" s="3"/>
      <c r="AD601" s="3"/>
      <c r="AE601" s="3"/>
    </row>
    <row r="602" spans="2:31" x14ac:dyDescent="0.2">
      <c r="B602" s="385" t="str">
        <f>'WS4 - Yr 1 YIELD'!C86</f>
        <v>Total Mining</v>
      </c>
      <c r="C602" s="3"/>
      <c r="D602" s="85">
        <f>'WS4 - Yr 1 YIELD'!D86</f>
        <v>0</v>
      </c>
      <c r="E602" s="85">
        <f>'WS4 - Yr 1 YIELD'!E86</f>
        <v>0</v>
      </c>
      <c r="F602" s="85">
        <f>'WS4 - Yr 1 YIELD'!F86</f>
        <v>0</v>
      </c>
      <c r="G602" s="85">
        <f>'WS4 - Yr 1 YIELD'!G86</f>
        <v>0</v>
      </c>
      <c r="H602" s="85">
        <f>'WS4 - Yr 1 YIELD'!H86</f>
        <v>0</v>
      </c>
      <c r="I602" s="85">
        <f>'WS4 - Yr 1 YIELD'!I86</f>
        <v>0</v>
      </c>
      <c r="J602" s="85">
        <f>'WS4 - Yr 1 YIELD'!J86</f>
        <v>0</v>
      </c>
      <c r="K602" s="85">
        <f>'WS4 - Yr 1 YIELD'!K86</f>
        <v>0</v>
      </c>
      <c r="L602" s="201">
        <f>'WS4 - Yr 1 YIELD'!L86</f>
        <v>0</v>
      </c>
      <c r="W602" s="3"/>
      <c r="X602" s="3"/>
      <c r="Y602" s="3"/>
      <c r="Z602" s="3"/>
      <c r="AA602" s="3"/>
      <c r="AB602" s="3"/>
      <c r="AC602" s="3"/>
      <c r="AD602" s="3"/>
      <c r="AE602" s="3"/>
    </row>
    <row r="603" spans="2:31" x14ac:dyDescent="0.2">
      <c r="B603" s="385" t="str">
        <f>'WS4 - Yr 1 YIELD'!B87</f>
        <v>Total Assessments:</v>
      </c>
      <c r="C603" s="3"/>
      <c r="D603" s="85">
        <f>SUM(D599:D602)</f>
        <v>32457</v>
      </c>
      <c r="E603" s="85">
        <f t="shared" ref="E603:H603" si="30">SUM(E599:E602)</f>
        <v>0</v>
      </c>
      <c r="F603" s="85">
        <f t="shared" si="30"/>
        <v>0</v>
      </c>
      <c r="G603" s="85">
        <f t="shared" si="30"/>
        <v>0</v>
      </c>
      <c r="H603" s="85">
        <f t="shared" si="30"/>
        <v>0</v>
      </c>
      <c r="I603" s="85">
        <f>SUM(I599:I602)</f>
        <v>17610</v>
      </c>
      <c r="J603" s="85">
        <f t="shared" ref="J603:L603" si="31">SUM(J599:J602)</f>
        <v>46670593811</v>
      </c>
      <c r="K603" s="85">
        <f t="shared" si="31"/>
        <v>8137853682</v>
      </c>
      <c r="L603" s="201">
        <f t="shared" si="31"/>
        <v>62504804.204755157</v>
      </c>
      <c r="W603" s="3"/>
      <c r="X603" s="3"/>
      <c r="Y603" s="3"/>
      <c r="Z603" s="3"/>
      <c r="AA603" s="3"/>
      <c r="AB603" s="3"/>
      <c r="AC603" s="3"/>
      <c r="AD603" s="3"/>
      <c r="AE603" s="3"/>
    </row>
    <row r="604" spans="2:31" x14ac:dyDescent="0.2">
      <c r="B604" s="563" t="s">
        <v>77</v>
      </c>
      <c r="C604" s="30"/>
      <c r="D604" s="564">
        <f>SUM('WS4 - Yr 1 YIELD'!D18:D37,'WS4 - Yr 1 YIELD'!D39:D63,'WS4 - Yr 1 YIELD'!D65:D74,'WS4 - Yr 1 YIELD'!D76:D85)-D603</f>
        <v>0</v>
      </c>
      <c r="E604" s="564"/>
      <c r="F604" s="564"/>
      <c r="G604" s="30"/>
      <c r="H604" s="30"/>
      <c r="I604" s="30"/>
      <c r="J604" s="30"/>
      <c r="K604" s="564">
        <f>SUM('WS4 - Yr 1 YIELD'!I18:I37,'WS4 - Yr 1 YIELD'!I39:I63,'WS4 - Yr 1 YIELD'!I65:I74,'WS4 - Yr 1 YIELD'!I76:I85)-I603</f>
        <v>0</v>
      </c>
      <c r="L604" s="33"/>
      <c r="M604" s="3"/>
      <c r="N604" s="3"/>
      <c r="O604" s="3"/>
      <c r="P604" s="3"/>
      <c r="Q604" s="3"/>
      <c r="R604" s="3"/>
      <c r="S604" s="3"/>
      <c r="T604" s="3"/>
      <c r="U604" s="3"/>
      <c r="V604" s="3"/>
      <c r="W604" s="3"/>
      <c r="X604" s="3"/>
      <c r="Y604" s="3"/>
      <c r="Z604" s="3"/>
      <c r="AA604" s="3"/>
      <c r="AB604" s="3"/>
      <c r="AC604" s="3"/>
      <c r="AD604" s="3"/>
      <c r="AE604" s="3"/>
    </row>
    <row r="607" spans="2:31" x14ac:dyDescent="0.2">
      <c r="B607" s="6" t="str">
        <f>'WS11 - Ratios'!B4</f>
        <v>WORKSHEET 11 : FINANCIAL RATIOS</v>
      </c>
    </row>
    <row r="608" spans="2:31" x14ac:dyDescent="0.2">
      <c r="B608" s="6"/>
    </row>
    <row r="609" spans="2:20" x14ac:dyDescent="0.2">
      <c r="B609" s="357"/>
      <c r="C609" s="282"/>
      <c r="D609" s="282"/>
      <c r="E609" s="534" t="str">
        <f>'WS11 - Ratios'!E43</f>
        <v>Historical ratios</v>
      </c>
      <c r="F609" s="535"/>
      <c r="G609" s="536"/>
      <c r="H609" s="536"/>
      <c r="I609" s="537"/>
      <c r="J609" s="534" t="str">
        <f>'WS11 - Ratios'!J43</f>
        <v>Forecast ratios</v>
      </c>
      <c r="K609" s="535"/>
      <c r="L609" s="535"/>
      <c r="M609" s="535"/>
      <c r="N609" s="536"/>
      <c r="O609" s="535"/>
      <c r="P609" s="535"/>
      <c r="Q609" s="535"/>
      <c r="R609" s="535"/>
      <c r="S609" s="535"/>
      <c r="T609" s="537"/>
    </row>
    <row r="610" spans="2:20" x14ac:dyDescent="0.2">
      <c r="B610" s="218" t="s">
        <v>80</v>
      </c>
      <c r="C610" s="3"/>
      <c r="D610" s="3"/>
      <c r="E610" s="199" t="str">
        <f>'WS11 - Ratios'!E44</f>
        <v>Hist yr -5</v>
      </c>
      <c r="F610" s="16" t="str">
        <f>'WS11 - Ratios'!F44</f>
        <v>Hist yr -4</v>
      </c>
      <c r="G610" s="527" t="str">
        <f>'WS11 - Ratios'!G44</f>
        <v>Hist yr -3</v>
      </c>
      <c r="H610" s="527" t="str">
        <f>'WS11 - Ratios'!H44</f>
        <v>Hist yr -2</v>
      </c>
      <c r="I610" s="528" t="str">
        <f>'WS11 - Ratios'!I44</f>
        <v>Hist yr -1</v>
      </c>
      <c r="J610" s="315" t="str">
        <f>'WS11 - Ratios'!J44</f>
        <v>Year 0</v>
      </c>
      <c r="K610" s="315" t="str">
        <f>'WS11 - Ratios'!K44</f>
        <v>Year 1</v>
      </c>
      <c r="L610" s="315" t="str">
        <f>'WS11 - Ratios'!L44</f>
        <v>Year 2</v>
      </c>
      <c r="M610" s="315" t="str">
        <f>'WS11 - Ratios'!M44</f>
        <v>Year 3</v>
      </c>
      <c r="N610" s="315" t="str">
        <f>'WS11 - Ratios'!N44</f>
        <v>Year 4</v>
      </c>
      <c r="O610" s="315" t="str">
        <f>'WS11 - Ratios'!O44</f>
        <v>Year 5</v>
      </c>
      <c r="P610" s="315" t="str">
        <f>'WS11 - Ratios'!P44</f>
        <v>Year 6</v>
      </c>
      <c r="Q610" s="353" t="str">
        <f>'WS11 - Ratios'!Q44</f>
        <v>Year 7</v>
      </c>
      <c r="R610" s="315" t="str">
        <f>'WS11 - Ratios'!R44</f>
        <v>Year 8</v>
      </c>
      <c r="S610" s="315" t="str">
        <f>'WS11 - Ratios'!S44</f>
        <v>Year 9</v>
      </c>
      <c r="T610" s="353" t="str">
        <f>'WS11 - Ratios'!T44</f>
        <v>Year 10</v>
      </c>
    </row>
    <row r="611" spans="2:20" x14ac:dyDescent="0.2">
      <c r="B611" s="209" t="s">
        <v>81</v>
      </c>
      <c r="C611" s="30"/>
      <c r="D611" s="30"/>
      <c r="E611" s="260" t="str">
        <f>'WS11 - Ratios'!E45</f>
        <v>2018-19</v>
      </c>
      <c r="F611" s="524" t="str">
        <f>'WS11 - Ratios'!F45</f>
        <v>2019-20</v>
      </c>
      <c r="G611" s="524" t="str">
        <f>'WS11 - Ratios'!G45</f>
        <v>2020-21</v>
      </c>
      <c r="H611" s="214" t="str">
        <f>'WS11 - Ratios'!H45</f>
        <v>2021-22</v>
      </c>
      <c r="I611" s="226" t="str">
        <f>'WS11 - Ratios'!I45</f>
        <v>2022-23</v>
      </c>
      <c r="J611" s="214" t="str">
        <f>'WS11 - Ratios'!J45</f>
        <v>2023-24</v>
      </c>
      <c r="K611" s="214" t="str">
        <f>'WS11 - Ratios'!K45</f>
        <v>2024-25</v>
      </c>
      <c r="L611" s="214" t="str">
        <f>'WS11 - Ratios'!L45</f>
        <v>2025-26</v>
      </c>
      <c r="M611" s="214" t="str">
        <f>'WS11 - Ratios'!M45</f>
        <v>2026-27</v>
      </c>
      <c r="N611" s="214" t="str">
        <f>'WS11 - Ratios'!N45</f>
        <v>2027-28</v>
      </c>
      <c r="O611" s="214" t="str">
        <f>'WS11 - Ratios'!O45</f>
        <v>2028-29</v>
      </c>
      <c r="P611" s="214" t="str">
        <f>'WS11 - Ratios'!P45</f>
        <v>2029-30</v>
      </c>
      <c r="Q611" s="226" t="str">
        <f>'WS11 - Ratios'!Q45</f>
        <v>2030-31</v>
      </c>
      <c r="R611" s="214" t="str">
        <f>'WS11 - Ratios'!R45</f>
        <v>2031-32</v>
      </c>
      <c r="S611" s="214" t="str">
        <f>'WS11 - Ratios'!S45</f>
        <v>2032-33</v>
      </c>
      <c r="T611" s="226" t="str">
        <f>'WS11 - Ratios'!T45</f>
        <v>2033-34</v>
      </c>
    </row>
    <row r="612" spans="2:20" x14ac:dyDescent="0.2">
      <c r="B612" s="54"/>
      <c r="C612" s="3"/>
      <c r="D612" s="3"/>
      <c r="E612" s="538" t="str">
        <f>'WS11 - Ratios'!E79</f>
        <v>Actual</v>
      </c>
      <c r="F612" s="525"/>
      <c r="G612" s="531"/>
      <c r="H612" s="525"/>
      <c r="I612" s="526"/>
      <c r="J612" s="529" t="str">
        <f>'WS11 - Ratios'!J79</f>
        <v>Forecast</v>
      </c>
      <c r="K612" s="529"/>
      <c r="L612" s="529"/>
      <c r="M612" s="529"/>
      <c r="N612" s="529"/>
      <c r="O612" s="529"/>
      <c r="P612" s="529"/>
      <c r="Q612" s="530"/>
      <c r="R612" s="529"/>
      <c r="S612" s="529"/>
      <c r="T612" s="530"/>
    </row>
    <row r="613" spans="2:20" x14ac:dyDescent="0.2">
      <c r="B613" s="247" t="str">
        <f>'WS11 - Ratios'!B82</f>
        <v>Infrastructure Renewals Ratio</v>
      </c>
      <c r="C613" s="18"/>
      <c r="D613" s="18"/>
      <c r="E613" s="197"/>
      <c r="F613" s="18"/>
      <c r="G613" s="18"/>
      <c r="H613" s="18"/>
      <c r="I613" s="198"/>
      <c r="J613" s="18"/>
      <c r="K613" s="18"/>
      <c r="L613" s="18"/>
      <c r="M613" s="18"/>
      <c r="N613" s="18"/>
      <c r="O613" s="18"/>
      <c r="P613" s="18"/>
      <c r="Q613" s="198"/>
      <c r="R613" s="18"/>
      <c r="S613" s="18"/>
      <c r="T613" s="198"/>
    </row>
    <row r="614" spans="2:20" x14ac:dyDescent="0.2">
      <c r="B614" s="284" t="str">
        <f>'WS11 - Ratios'!B83</f>
        <v>Asset renewals (building and infrastructure)</v>
      </c>
      <c r="C614" t="str">
        <f>'WS11 - Ratios'!C83</f>
        <v>Scenario 1: Proposed (with SV)</v>
      </c>
      <c r="D614" s="74" t="str">
        <f>'WS11 - Ratios'!D83</f>
        <v>$'000 nominal</v>
      </c>
      <c r="E614" s="520">
        <f>'WS11 - Ratios'!E83</f>
        <v>14587</v>
      </c>
      <c r="F614" s="519">
        <f>'WS11 - Ratios'!F83</f>
        <v>10300</v>
      </c>
      <c r="G614" s="519">
        <f>'WS11 - Ratios'!G83</f>
        <v>15465</v>
      </c>
      <c r="H614" s="519">
        <f>'WS11 - Ratios'!H83</f>
        <v>13199</v>
      </c>
      <c r="I614" s="277">
        <f>'WS11 - Ratios'!I83</f>
        <v>11484</v>
      </c>
      <c r="J614" s="519">
        <f>'WS11 - Ratios'!J83</f>
        <v>37704.9</v>
      </c>
      <c r="K614" s="519">
        <f>'WS11 - Ratios'!K83</f>
        <v>23229.895297186653</v>
      </c>
      <c r="L614" s="519">
        <f>'WS11 - Ratios'!L83</f>
        <v>18709.465918183072</v>
      </c>
      <c r="M614" s="519">
        <f>'WS11 - Ratios'!M83</f>
        <v>18922.944857006554</v>
      </c>
      <c r="N614" s="519">
        <f>'WS11 - Ratios'!N83</f>
        <v>19823.425109826316</v>
      </c>
      <c r="O614" s="519">
        <f>'WS11 - Ratios'!O83</f>
        <v>20247.154266700076</v>
      </c>
      <c r="P614" s="519">
        <f>'WS11 - Ratios'!P83</f>
        <v>20888.125454731064</v>
      </c>
      <c r="Q614" s="277">
        <f>'WS11 - Ratios'!Q83</f>
        <v>21230.598630986551</v>
      </c>
      <c r="R614" s="519">
        <f>'WS11 - Ratios'!R83</f>
        <v>21704.469840636677</v>
      </c>
      <c r="S614" s="519">
        <f>'WS11 - Ratios'!S83</f>
        <v>22037.108191406591</v>
      </c>
      <c r="T614" s="277">
        <f>'WS11 - Ratios'!T83</f>
        <v>0</v>
      </c>
    </row>
    <row r="615" spans="2:20" x14ac:dyDescent="0.2">
      <c r="B615" s="284" t="str">
        <f>'WS11 - Ratios'!B84</f>
        <v>Depreciation, amortisation and impairment (building and infrastructure)</v>
      </c>
      <c r="C615" t="str">
        <f>'WS11 - Ratios'!C84</f>
        <v>Scenario 1: Proposed (with SV)</v>
      </c>
      <c r="D615" s="74" t="str">
        <f>'WS11 - Ratios'!D84</f>
        <v>$'000 nominal</v>
      </c>
      <c r="E615" s="520">
        <f>'WS11 - Ratios'!E84</f>
        <v>14271</v>
      </c>
      <c r="F615" s="519">
        <f>'WS11 - Ratios'!F84</f>
        <v>14919</v>
      </c>
      <c r="G615" s="519">
        <f>'WS11 - Ratios'!G84</f>
        <v>14822</v>
      </c>
      <c r="H615" s="519">
        <f>'WS11 - Ratios'!H84</f>
        <v>15733</v>
      </c>
      <c r="I615" s="277">
        <f>'WS11 - Ratios'!I84</f>
        <v>17561</v>
      </c>
      <c r="J615" s="519">
        <f>'WS11 - Ratios'!J84</f>
        <v>17431.789662732364</v>
      </c>
      <c r="K615" s="519">
        <f>'WS11 - Ratios'!K84</f>
        <v>18013.699082558353</v>
      </c>
      <c r="L615" s="519">
        <f>'WS11 - Ratios'!L84</f>
        <v>18441.039764358749</v>
      </c>
      <c r="M615" s="519">
        <f>'WS11 - Ratios'!M84</f>
        <v>18902.830538579776</v>
      </c>
      <c r="N615" s="519">
        <f>'WS11 - Ratios'!N84</f>
        <v>19784.386558704336</v>
      </c>
      <c r="O615" s="519">
        <f>'WS11 - Ratios'!O84</f>
        <v>20205.643851899284</v>
      </c>
      <c r="P615" s="519">
        <f>'WS11 - Ratios'!P84</f>
        <v>20649.316224927567</v>
      </c>
      <c r="Q615" s="277">
        <f>'WS11 - Ratios'!Q84</f>
        <v>21079.877070456616</v>
      </c>
      <c r="R615" s="519">
        <f>'WS11 - Ratios'!R84</f>
        <v>21539.285013572997</v>
      </c>
      <c r="S615" s="519">
        <f>'WS11 - Ratios'!S84</f>
        <v>22020.126145809507</v>
      </c>
      <c r="T615" s="277">
        <f>'WS11 - Ratios'!T84</f>
        <v>0</v>
      </c>
    </row>
    <row r="616" spans="2:20" x14ac:dyDescent="0.2">
      <c r="B616" s="284" t="str">
        <f>'WS11 - Ratios'!B85</f>
        <v xml:space="preserve">Asset renewals (building and infrastructure) </v>
      </c>
      <c r="C616" t="str">
        <f>'WS11 - Ratios'!C85</f>
        <v>Scenario 2: Base case (no SV)</v>
      </c>
      <c r="D616" s="74" t="str">
        <f>'WS11 - Ratios'!D85</f>
        <v>$'000 nominal</v>
      </c>
      <c r="E616" s="520">
        <f>'WS11 - Ratios'!E85</f>
        <v>14587</v>
      </c>
      <c r="F616" s="519">
        <f>'WS11 - Ratios'!F85</f>
        <v>10300</v>
      </c>
      <c r="G616" s="519">
        <f>'WS11 - Ratios'!G85</f>
        <v>15465</v>
      </c>
      <c r="H616" s="519">
        <f>'WS11 - Ratios'!H85</f>
        <v>13199</v>
      </c>
      <c r="I616" s="277">
        <f>'WS11 - Ratios'!I85</f>
        <v>11484</v>
      </c>
      <c r="J616" s="519">
        <f>'WS11 - Ratios'!J85</f>
        <v>37704.9</v>
      </c>
      <c r="K616" s="519">
        <f>'WS11 - Ratios'!K85</f>
        <v>23229.895297186653</v>
      </c>
      <c r="L616" s="519">
        <f>'WS11 - Ratios'!L85</f>
        <v>18709.465918183072</v>
      </c>
      <c r="M616" s="519">
        <f>'WS11 - Ratios'!M85</f>
        <v>18922.944857006554</v>
      </c>
      <c r="N616" s="519">
        <f>'WS11 - Ratios'!N85</f>
        <v>19823.425109826316</v>
      </c>
      <c r="O616" s="519">
        <f>'WS11 - Ratios'!O85</f>
        <v>20247.154266700076</v>
      </c>
      <c r="P616" s="519">
        <f>'WS11 - Ratios'!P85</f>
        <v>20888.125454731064</v>
      </c>
      <c r="Q616" s="277">
        <f>'WS11 - Ratios'!Q85</f>
        <v>21230.598630986551</v>
      </c>
      <c r="R616" s="519">
        <f>'WS11 - Ratios'!R85</f>
        <v>21704.469840636677</v>
      </c>
      <c r="S616" s="519">
        <f>'WS11 - Ratios'!S85</f>
        <v>22037.108191406591</v>
      </c>
      <c r="T616" s="277">
        <f>'WS11 - Ratios'!T85</f>
        <v>0</v>
      </c>
    </row>
    <row r="617" spans="2:20" x14ac:dyDescent="0.2">
      <c r="B617" s="284" t="str">
        <f>'WS11 - Ratios'!B86</f>
        <v>Depreciation, amortisation and impairment (building and infrastructure)</v>
      </c>
      <c r="C617" t="str">
        <f>'WS11 - Ratios'!C86</f>
        <v>Scenario 2: Base case (no SV)</v>
      </c>
      <c r="D617" s="74" t="str">
        <f>'WS11 - Ratios'!D86</f>
        <v>$'000 nominal</v>
      </c>
      <c r="E617" s="520">
        <f>'WS11 - Ratios'!E86</f>
        <v>14271</v>
      </c>
      <c r="F617" s="519">
        <f>'WS11 - Ratios'!F86</f>
        <v>14919</v>
      </c>
      <c r="G617" s="519">
        <f>'WS11 - Ratios'!G86</f>
        <v>14822</v>
      </c>
      <c r="H617" s="519">
        <f>'WS11 - Ratios'!H86</f>
        <v>15733</v>
      </c>
      <c r="I617" s="277">
        <f>'WS11 - Ratios'!I86</f>
        <v>17561</v>
      </c>
      <c r="J617" s="519">
        <f>'WS11 - Ratios'!J86</f>
        <v>17431.789662732364</v>
      </c>
      <c r="K617" s="519">
        <f>'WS11 - Ratios'!K86</f>
        <v>18013.699082558353</v>
      </c>
      <c r="L617" s="519">
        <f>'WS11 - Ratios'!L86</f>
        <v>18441.039764358749</v>
      </c>
      <c r="M617" s="519">
        <f>'WS11 - Ratios'!M86</f>
        <v>18902.830538579776</v>
      </c>
      <c r="N617" s="519">
        <f>'WS11 - Ratios'!N86</f>
        <v>19784.386558704336</v>
      </c>
      <c r="O617" s="519">
        <f>'WS11 - Ratios'!O86</f>
        <v>20205.643851899284</v>
      </c>
      <c r="P617" s="519">
        <f>'WS11 - Ratios'!P86</f>
        <v>20649.316224927567</v>
      </c>
      <c r="Q617" s="277">
        <f>'WS11 - Ratios'!Q86</f>
        <v>21079.877070456616</v>
      </c>
      <c r="R617" s="519">
        <f>'WS11 - Ratios'!R86</f>
        <v>21539.285013572997</v>
      </c>
      <c r="S617" s="519">
        <f>'WS11 - Ratios'!S86</f>
        <v>22020.126145809507</v>
      </c>
      <c r="T617" s="277">
        <f>'WS11 - Ratios'!T86</f>
        <v>0</v>
      </c>
    </row>
    <row r="618" spans="2:20" x14ac:dyDescent="0.2">
      <c r="B618" s="247" t="str">
        <f>'WS11 - Ratios'!B88</f>
        <v>Infrastructure Backlog Ratio</v>
      </c>
      <c r="C618" s="18"/>
      <c r="D618" s="518"/>
      <c r="E618" s="522"/>
      <c r="F618" s="521"/>
      <c r="G618" s="521"/>
      <c r="H618" s="521"/>
      <c r="I618" s="523"/>
      <c r="J618" s="521"/>
      <c r="K618" s="521"/>
      <c r="L618" s="521"/>
      <c r="M618" s="521"/>
      <c r="N618" s="521"/>
      <c r="O618" s="521"/>
      <c r="P618" s="521"/>
      <c r="Q618" s="523"/>
      <c r="R618" s="521"/>
      <c r="S618" s="521"/>
      <c r="T618" s="523"/>
    </row>
    <row r="619" spans="2:20" x14ac:dyDescent="0.2">
      <c r="B619" s="284" t="str">
        <f>'WS11 - Ratios'!B89</f>
        <v>Estimated cost to bring assets to satisfactory condition</v>
      </c>
      <c r="C619" t="str">
        <f>'WS11 - Ratios'!C89</f>
        <v>Scenario 1: Proposed (with SV)</v>
      </c>
      <c r="D619" s="74" t="str">
        <f>'WS11 - Ratios'!D89</f>
        <v>$'000 nominal</v>
      </c>
      <c r="E619" s="520">
        <f>'WS11 - Ratios'!E89</f>
        <v>9773</v>
      </c>
      <c r="F619" s="519">
        <f>'WS11 - Ratios'!F89</f>
        <v>10224</v>
      </c>
      <c r="G619" s="519">
        <f>'WS11 - Ratios'!G89</f>
        <v>10565</v>
      </c>
      <c r="H619" s="519">
        <f>'WS11 - Ratios'!H89</f>
        <v>5287</v>
      </c>
      <c r="I619" s="277">
        <f>'WS11 - Ratios'!I89</f>
        <v>10894</v>
      </c>
      <c r="J619" s="519">
        <f>'WS11 - Ratios'!J89</f>
        <v>13192.889662732363</v>
      </c>
      <c r="K619" s="519">
        <f>'WS11 - Ratios'!K89</f>
        <v>12976.693448104061</v>
      </c>
      <c r="L619" s="519">
        <f>'WS11 - Ratios'!L89</f>
        <v>12708.267294279736</v>
      </c>
      <c r="M619" s="519">
        <f>'WS11 - Ratios'!M89</f>
        <v>12688.15297585296</v>
      </c>
      <c r="N619" s="519">
        <f>'WS11 - Ratios'!N89</f>
        <v>12649.114424730978</v>
      </c>
      <c r="O619" s="519">
        <f>'WS11 - Ratios'!O89</f>
        <v>12607.60400993019</v>
      </c>
      <c r="P619" s="519">
        <f>'WS11 - Ratios'!P89</f>
        <v>12368.794780126695</v>
      </c>
      <c r="Q619" s="277">
        <f>'WS11 - Ratios'!Q89</f>
        <v>12218.073219596759</v>
      </c>
      <c r="R619" s="519">
        <f>'WS11 - Ratios'!R89</f>
        <v>12052.888392533079</v>
      </c>
      <c r="S619" s="519">
        <f>'WS11 - Ratios'!S89</f>
        <v>12035.906346935995</v>
      </c>
      <c r="T619" s="277">
        <f>'WS11 - Ratios'!T89</f>
        <v>0</v>
      </c>
    </row>
    <row r="620" spans="2:20" ht="24" x14ac:dyDescent="0.2">
      <c r="B620" s="420" t="str">
        <f>'WS11 - Ratios'!B90</f>
        <v>Total (WDV)b of infrastructure, buildings, other  structures, depreciable land, and improvement assets</v>
      </c>
      <c r="C620" t="str">
        <f>'WS11 - Ratios'!C90</f>
        <v>Scenario 1: Proposed (with SV)</v>
      </c>
      <c r="D620" s="74" t="str">
        <f>'WS11 - Ratios'!D90</f>
        <v>$'000 nominal</v>
      </c>
      <c r="E620" s="520">
        <f>'WS11 - Ratios'!E90</f>
        <v>775471</v>
      </c>
      <c r="F620" s="519">
        <f>'WS11 - Ratios'!F90</f>
        <v>787170</v>
      </c>
      <c r="G620" s="519">
        <f>'WS11 - Ratios'!G90</f>
        <v>809281</v>
      </c>
      <c r="H620" s="519">
        <f>'WS11 - Ratios'!H90</f>
        <v>913336</v>
      </c>
      <c r="I620" s="277">
        <f>'WS11 - Ratios'!I90</f>
        <v>913121</v>
      </c>
      <c r="J620" s="519">
        <f>'WS11 - Ratios'!J90</f>
        <v>965037.03859319887</v>
      </c>
      <c r="K620" s="519">
        <f>'WS11 - Ratios'!K90</f>
        <v>981385.63815910625</v>
      </c>
      <c r="L620" s="519">
        <f>'WS11 - Ratios'!L90</f>
        <v>993575.9468458246</v>
      </c>
      <c r="M620" s="519">
        <f>'WS11 - Ratios'!M90</f>
        <v>1029868.3716335597</v>
      </c>
      <c r="N620" s="519">
        <f>'WS11 - Ratios'!N90</f>
        <v>1032289.0260695134</v>
      </c>
      <c r="O620" s="519">
        <f>'WS11 - Ratios'!O90</f>
        <v>1034766.1990363048</v>
      </c>
      <c r="P620" s="519">
        <f>'WS11 - Ratios'!P90</f>
        <v>1037426.252057898</v>
      </c>
      <c r="Q620" s="277">
        <f>'WS11 - Ratios'!Q90</f>
        <v>1040049.9399815798</v>
      </c>
      <c r="R620" s="519">
        <f>'WS11 - Ratios'!R90</f>
        <v>1042711.3832251887</v>
      </c>
      <c r="S620" s="519">
        <f>'WS11 - Ratios'!S90</f>
        <v>1045267.0253807498</v>
      </c>
      <c r="T620" s="277">
        <f>'WS11 - Ratios'!T90</f>
        <v>0</v>
      </c>
    </row>
    <row r="621" spans="2:20" x14ac:dyDescent="0.2">
      <c r="B621" s="284" t="str">
        <f>'WS11 - Ratios'!B91</f>
        <v>Estimated cost to bring assets to satisfactory condition</v>
      </c>
      <c r="C621" t="str">
        <f>'WS11 - Ratios'!C91</f>
        <v>Scenario 2: Base case (no SV)</v>
      </c>
      <c r="D621" s="74" t="str">
        <f>'WS11 - Ratios'!D91</f>
        <v>$'000 nominal</v>
      </c>
      <c r="E621" s="520">
        <f>'WS11 - Ratios'!E91</f>
        <v>9773</v>
      </c>
      <c r="F621" s="519">
        <f>'WS11 - Ratios'!F91</f>
        <v>10224</v>
      </c>
      <c r="G621" s="519">
        <f>'WS11 - Ratios'!G91</f>
        <v>10565</v>
      </c>
      <c r="H621" s="519">
        <f>'WS11 - Ratios'!H91</f>
        <v>5287</v>
      </c>
      <c r="I621" s="277">
        <f>'WS11 - Ratios'!I91</f>
        <v>10894</v>
      </c>
      <c r="J621" s="519">
        <f>'WS11 - Ratios'!J91</f>
        <v>13192.889662732363</v>
      </c>
      <c r="K621" s="519">
        <f>'WS11 - Ratios'!K91</f>
        <v>12976.693448104061</v>
      </c>
      <c r="L621" s="519">
        <f>'WS11 - Ratios'!L91</f>
        <v>12708.267294279736</v>
      </c>
      <c r="M621" s="519">
        <f>'WS11 - Ratios'!M91</f>
        <v>12688.15297585296</v>
      </c>
      <c r="N621" s="519">
        <f>'WS11 - Ratios'!N91</f>
        <v>12649.114424730978</v>
      </c>
      <c r="O621" s="519">
        <f>'WS11 - Ratios'!O91</f>
        <v>12607.60400993019</v>
      </c>
      <c r="P621" s="519">
        <f>'WS11 - Ratios'!P91</f>
        <v>12368.794780126695</v>
      </c>
      <c r="Q621" s="277">
        <f>'WS11 - Ratios'!Q91</f>
        <v>12218.073219596759</v>
      </c>
      <c r="R621" s="519">
        <f>'WS11 - Ratios'!R91</f>
        <v>12052.888392533079</v>
      </c>
      <c r="S621" s="519">
        <f>'WS11 - Ratios'!S91</f>
        <v>12035.906346935995</v>
      </c>
      <c r="T621" s="277">
        <f>'WS11 - Ratios'!T91</f>
        <v>0</v>
      </c>
    </row>
    <row r="622" spans="2:20" ht="24" x14ac:dyDescent="0.2">
      <c r="B622" s="420" t="str">
        <f>'WS11 - Ratios'!B92</f>
        <v>Total (WDV)b of infrastructure, buildings, other  structures, depreciable land, and improvement assets</v>
      </c>
      <c r="C622" t="str">
        <f>'WS11 - Ratios'!C92</f>
        <v>Scenario 2: Base case (no SV)</v>
      </c>
      <c r="D622" s="74" t="str">
        <f>'WS11 - Ratios'!D92</f>
        <v>$'000 nominal</v>
      </c>
      <c r="E622" s="520">
        <f>'WS11 - Ratios'!E92</f>
        <v>775471</v>
      </c>
      <c r="F622" s="519">
        <f>'WS11 - Ratios'!F92</f>
        <v>787170</v>
      </c>
      <c r="G622" s="519">
        <f>'WS11 - Ratios'!G92</f>
        <v>809281</v>
      </c>
      <c r="H622" s="519">
        <f>'WS11 - Ratios'!H92</f>
        <v>913336</v>
      </c>
      <c r="I622" s="277">
        <f>'WS11 - Ratios'!I92</f>
        <v>913121</v>
      </c>
      <c r="J622" s="519">
        <f>'WS11 - Ratios'!J92</f>
        <v>965037.03859319887</v>
      </c>
      <c r="K622" s="519">
        <f>'WS11 - Ratios'!K92</f>
        <v>981385.63815910625</v>
      </c>
      <c r="L622" s="519">
        <f>'WS11 - Ratios'!L92</f>
        <v>993575.9468458246</v>
      </c>
      <c r="M622" s="519">
        <f>'WS11 - Ratios'!M92</f>
        <v>1029868.3716335597</v>
      </c>
      <c r="N622" s="519">
        <f>'WS11 - Ratios'!N92</f>
        <v>1032289.0260695134</v>
      </c>
      <c r="O622" s="519">
        <f>'WS11 - Ratios'!O92</f>
        <v>1034766.1990363048</v>
      </c>
      <c r="P622" s="519">
        <f>'WS11 - Ratios'!P92</f>
        <v>1037426.252057898</v>
      </c>
      <c r="Q622" s="277">
        <f>'WS11 - Ratios'!Q92</f>
        <v>1040049.9399815798</v>
      </c>
      <c r="R622" s="519">
        <f>'WS11 - Ratios'!R92</f>
        <v>1042711.3832251887</v>
      </c>
      <c r="S622" s="519">
        <f>'WS11 - Ratios'!S92</f>
        <v>1045267.0253807498</v>
      </c>
      <c r="T622" s="277">
        <f>'WS11 - Ratios'!T92</f>
        <v>0</v>
      </c>
    </row>
    <row r="623" spans="2:20" x14ac:dyDescent="0.2">
      <c r="B623" s="247" t="str">
        <f>'WS11 - Ratios'!B94</f>
        <v>Asset Maintenance Ratio</v>
      </c>
      <c r="C623" s="18"/>
      <c r="D623" s="518"/>
      <c r="E623" s="522"/>
      <c r="F623" s="521"/>
      <c r="G623" s="521"/>
      <c r="H623" s="521"/>
      <c r="I623" s="523"/>
      <c r="J623" s="521"/>
      <c r="K623" s="521"/>
      <c r="L623" s="521"/>
      <c r="M623" s="521"/>
      <c r="N623" s="521"/>
      <c r="O623" s="521"/>
      <c r="P623" s="521"/>
      <c r="Q623" s="523"/>
      <c r="R623" s="521"/>
      <c r="S623" s="521"/>
      <c r="T623" s="523"/>
    </row>
    <row r="624" spans="2:20" x14ac:dyDescent="0.2">
      <c r="B624" s="284" t="str">
        <f>'WS11 - Ratios'!B95</f>
        <v>Actual asset maintenance</v>
      </c>
      <c r="C624" t="str">
        <f>'WS11 - Ratios'!C95</f>
        <v>Scenario 1: Proposed (with SV)</v>
      </c>
      <c r="D624" s="74" t="str">
        <f>'WS11 - Ratios'!D95</f>
        <v>$'000 nominal</v>
      </c>
      <c r="E624" s="520">
        <f>'WS11 - Ratios'!E95</f>
        <v>13879</v>
      </c>
      <c r="F624" s="519">
        <f>'WS11 - Ratios'!F95</f>
        <v>9948</v>
      </c>
      <c r="G624" s="519">
        <f>'WS11 - Ratios'!G95</f>
        <v>10225</v>
      </c>
      <c r="H624" s="519">
        <f>'WS11 - Ratios'!H95</f>
        <v>10269</v>
      </c>
      <c r="I624" s="277">
        <f>'WS11 - Ratios'!I95</f>
        <v>12985</v>
      </c>
      <c r="J624" s="519">
        <f>'WS11 - Ratios'!J95</f>
        <v>13387.724999999999</v>
      </c>
      <c r="K624" s="519">
        <f>'WS11 - Ratios'!K95</f>
        <v>15680.856749999999</v>
      </c>
      <c r="L624" s="519">
        <f>'WS11 - Ratios'!L95</f>
        <v>16099.7824525</v>
      </c>
      <c r="M624" s="519">
        <f>'WS11 - Ratios'!M95</f>
        <v>16531.275926074999</v>
      </c>
      <c r="N624" s="519">
        <f>'WS11 - Ratios'!N95</f>
        <v>16975.714203857249</v>
      </c>
      <c r="O624" s="519">
        <f>'WS11 - Ratios'!O95</f>
        <v>17433.485629972965</v>
      </c>
      <c r="P624" s="519">
        <f>'WS11 - Ratios'!P95</f>
        <v>17904.990198872158</v>
      </c>
      <c r="Q624" s="277">
        <f>'WS11 - Ratios'!Q95</f>
        <v>18390.639904838321</v>
      </c>
      <c r="R624" s="519">
        <f>'WS11 - Ratios'!R95</f>
        <v>18890.859101983471</v>
      </c>
      <c r="S624" s="519">
        <f>'WS11 - Ratios'!S95</f>
        <v>19406.084875042976</v>
      </c>
      <c r="T624" s="277">
        <f>'WS11 - Ratios'!T95</f>
        <v>0</v>
      </c>
    </row>
    <row r="625" spans="2:36" x14ac:dyDescent="0.2">
      <c r="B625" s="284" t="str">
        <f>'WS11 - Ratios'!B96</f>
        <v>Required asset maintenance</v>
      </c>
      <c r="C625" t="str">
        <f>'WS11 - Ratios'!C96</f>
        <v>Scenario 1: Proposed (with SV)</v>
      </c>
      <c r="D625" s="74" t="str">
        <f>'WS11 - Ratios'!D96</f>
        <v>$'000 nominal</v>
      </c>
      <c r="E625" s="520">
        <f>'WS11 - Ratios'!E96</f>
        <v>13878</v>
      </c>
      <c r="F625" s="519">
        <f>'WS11 - Ratios'!F96</f>
        <v>9947</v>
      </c>
      <c r="G625" s="519">
        <f>'WS11 - Ratios'!G96</f>
        <v>9925</v>
      </c>
      <c r="H625" s="519">
        <f>'WS11 - Ratios'!H96</f>
        <v>9970</v>
      </c>
      <c r="I625" s="277">
        <f>'WS11 - Ratios'!I96</f>
        <v>12559</v>
      </c>
      <c r="J625" s="519">
        <f>'WS11 - Ratios'!J96</f>
        <v>12998.564999999999</v>
      </c>
      <c r="K625" s="519">
        <f>'WS11 - Ratios'!K96</f>
        <v>13388.521949999998</v>
      </c>
      <c r="L625" s="519">
        <f>'WS11 - Ratios'!L96</f>
        <v>13790.1776085</v>
      </c>
      <c r="M625" s="519">
        <f>'WS11 - Ratios'!M96</f>
        <v>14203.882936754999</v>
      </c>
      <c r="N625" s="519">
        <f>'WS11 - Ratios'!N96</f>
        <v>14629.99942485765</v>
      </c>
      <c r="O625" s="519">
        <f>'WS11 - Ratios'!O96</f>
        <v>15068.89940760338</v>
      </c>
      <c r="P625" s="519">
        <f>'WS11 - Ratios'!P96</f>
        <v>15520.966389831481</v>
      </c>
      <c r="Q625" s="277">
        <f>'WS11 - Ratios'!Q96</f>
        <v>15986.595381526426</v>
      </c>
      <c r="R625" s="519">
        <f>'WS11 - Ratios'!R96</f>
        <v>16466.193242972218</v>
      </c>
      <c r="S625" s="519">
        <f>'WS11 - Ratios'!S96</f>
        <v>16960.179040261388</v>
      </c>
      <c r="T625" s="277">
        <f>'WS11 - Ratios'!T96</f>
        <v>0</v>
      </c>
    </row>
    <row r="626" spans="2:36" x14ac:dyDescent="0.2">
      <c r="B626" s="284" t="str">
        <f>'WS11 - Ratios'!B97</f>
        <v>Actual asset maintenance</v>
      </c>
      <c r="C626" t="str">
        <f>'WS11 - Ratios'!C97</f>
        <v>Scenario 2: Base case (no SV)</v>
      </c>
      <c r="D626" s="74" t="str">
        <f>'WS11 - Ratios'!D97</f>
        <v>$'000 nominal</v>
      </c>
      <c r="E626" s="520">
        <f>'WS11 - Ratios'!E97</f>
        <v>13879</v>
      </c>
      <c r="F626" s="519">
        <f>'WS11 - Ratios'!F97</f>
        <v>9948</v>
      </c>
      <c r="G626" s="519">
        <f>'WS11 - Ratios'!G97</f>
        <v>10225</v>
      </c>
      <c r="H626" s="519">
        <f>'WS11 - Ratios'!H97</f>
        <v>10269</v>
      </c>
      <c r="I626" s="277">
        <f>'WS11 - Ratios'!I97</f>
        <v>12985</v>
      </c>
      <c r="J626" s="519">
        <f>'WS11 - Ratios'!J97</f>
        <v>13387.724999999999</v>
      </c>
      <c r="K626" s="519">
        <f>'WS11 - Ratios'!K97</f>
        <v>13840.856749999999</v>
      </c>
      <c r="L626" s="519">
        <f>'WS11 - Ratios'!L97</f>
        <v>14204.582452499999</v>
      </c>
      <c r="M626" s="519">
        <f>'WS11 - Ratios'!M97</f>
        <v>14579.219926074999</v>
      </c>
      <c r="N626" s="519">
        <f>'WS11 - Ratios'!N97</f>
        <v>14965.09652385725</v>
      </c>
      <c r="O626" s="519">
        <f>'WS11 - Ratios'!O97</f>
        <v>15362.549419572966</v>
      </c>
      <c r="P626" s="519">
        <f>'WS11 - Ratios'!P97</f>
        <v>15771.925902160154</v>
      </c>
      <c r="Q626" s="277">
        <f>'WS11 - Ratios'!Q97</f>
        <v>16193.583679224961</v>
      </c>
      <c r="R626" s="519">
        <f>'WS11 - Ratios'!R97</f>
        <v>16627.891189601709</v>
      </c>
      <c r="S626" s="519">
        <f>'WS11 - Ratios'!S97</f>
        <v>17075.227925289761</v>
      </c>
      <c r="T626" s="277">
        <f>'WS11 - Ratios'!T97</f>
        <v>0</v>
      </c>
    </row>
    <row r="627" spans="2:36" x14ac:dyDescent="0.2">
      <c r="B627" s="284" t="str">
        <f>'WS11 - Ratios'!B98</f>
        <v>Required asset maintenance</v>
      </c>
      <c r="C627" t="str">
        <f>'WS11 - Ratios'!C98</f>
        <v>Scenario 2: Base case (no SV)</v>
      </c>
      <c r="D627" s="74" t="str">
        <f>'WS11 - Ratios'!D98</f>
        <v>$'000 nominal</v>
      </c>
      <c r="E627" s="520">
        <f>'WS11 - Ratios'!E98</f>
        <v>13878</v>
      </c>
      <c r="F627" s="519">
        <f>'WS11 - Ratios'!F98</f>
        <v>9947</v>
      </c>
      <c r="G627" s="519">
        <f>'WS11 - Ratios'!G98</f>
        <v>9925</v>
      </c>
      <c r="H627" s="519">
        <f>'WS11 - Ratios'!H98</f>
        <v>9970</v>
      </c>
      <c r="I627" s="277">
        <f>'WS11 - Ratios'!I98</f>
        <v>12559</v>
      </c>
      <c r="J627" s="519">
        <f>'WS11 - Ratios'!J98</f>
        <v>12998.564999999999</v>
      </c>
      <c r="K627" s="519">
        <f>'WS11 - Ratios'!K98</f>
        <v>13388.521949999998</v>
      </c>
      <c r="L627" s="519">
        <f>'WS11 - Ratios'!L98</f>
        <v>13790.1776085</v>
      </c>
      <c r="M627" s="519">
        <f>'WS11 - Ratios'!M98</f>
        <v>14203.882936754999</v>
      </c>
      <c r="N627" s="519">
        <f>'WS11 - Ratios'!N98</f>
        <v>14629.99942485765</v>
      </c>
      <c r="O627" s="519">
        <f>'WS11 - Ratios'!O98</f>
        <v>15068.89940760338</v>
      </c>
      <c r="P627" s="519">
        <f>'WS11 - Ratios'!P98</f>
        <v>15520.966389831481</v>
      </c>
      <c r="Q627" s="277">
        <f>'WS11 - Ratios'!Q98</f>
        <v>15986.595381526426</v>
      </c>
      <c r="R627" s="519">
        <f>'WS11 - Ratios'!R98</f>
        <v>16466.193242972218</v>
      </c>
      <c r="S627" s="519">
        <f>'WS11 - Ratios'!S98</f>
        <v>16960.179040261388</v>
      </c>
      <c r="T627" s="277">
        <f>'WS11 - Ratios'!T98</f>
        <v>0</v>
      </c>
    </row>
    <row r="628" spans="2:36" x14ac:dyDescent="0.2">
      <c r="B628" s="406"/>
      <c r="C628" s="404"/>
      <c r="D628" s="404"/>
      <c r="E628" s="406"/>
      <c r="F628" s="404"/>
      <c r="G628" s="404"/>
      <c r="H628" s="404"/>
      <c r="I628" s="407"/>
      <c r="J628" s="404"/>
      <c r="K628" s="404"/>
      <c r="L628" s="404"/>
      <c r="M628" s="404"/>
      <c r="N628" s="404"/>
      <c r="O628" s="404"/>
      <c r="P628" s="404"/>
      <c r="Q628" s="407"/>
      <c r="R628" s="404"/>
      <c r="S628" s="404"/>
      <c r="T628" s="407"/>
    </row>
    <row r="631" spans="2:36" x14ac:dyDescent="0.2">
      <c r="B631" s="207" t="str">
        <f>'WS8 - Expenditure Program'!$B$4</f>
        <v>WORKSHEET 8: PROPOSED ADDITIONAL SPECIAL VARIATION INCOME AND EXPENDITURE</v>
      </c>
      <c r="C631" s="3"/>
      <c r="D631" s="3"/>
      <c r="E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2:36" x14ac:dyDescent="0.2">
      <c r="B632" s="208"/>
      <c r="C632" s="3"/>
      <c r="D632" s="3"/>
      <c r="E632" s="3"/>
      <c r="F632" s="3"/>
      <c r="G632" s="3"/>
      <c r="H632" s="3"/>
      <c r="I632" s="3"/>
      <c r="J632" s="208"/>
      <c r="K632" s="3"/>
      <c r="L632" s="3"/>
      <c r="M632" s="3"/>
      <c r="N632" s="3"/>
      <c r="O632" s="3"/>
      <c r="P632" s="3"/>
      <c r="Q632" s="3"/>
      <c r="R632" s="3"/>
      <c r="S632" s="3"/>
      <c r="T632" s="3"/>
      <c r="U632" s="3"/>
      <c r="V632" s="3"/>
      <c r="W632" s="3"/>
      <c r="X632" s="3"/>
      <c r="Y632" s="3"/>
      <c r="Z632" s="3"/>
      <c r="AA632" s="3"/>
      <c r="AB632" s="3"/>
      <c r="AC632" s="3"/>
      <c r="AD632" s="3"/>
      <c r="AE632" s="3"/>
    </row>
    <row r="633" spans="2:36" x14ac:dyDescent="0.2">
      <c r="B633" s="334" t="str">
        <f>B$51</f>
        <v>Year number</v>
      </c>
      <c r="C633" s="282"/>
      <c r="D633" s="282"/>
      <c r="E633" s="312"/>
      <c r="F633" s="282"/>
      <c r="G633" s="350" t="str">
        <f t="shared" ref="G633:T633" si="32">G$51</f>
        <v>Hist yr -3</v>
      </c>
      <c r="H633" s="350" t="str">
        <f t="shared" si="32"/>
        <v>Hist yr -2</v>
      </c>
      <c r="I633" s="350" t="str">
        <f t="shared" si="32"/>
        <v>Hist yr -1</v>
      </c>
      <c r="J633" s="349" t="str">
        <f t="shared" si="32"/>
        <v>Year 0</v>
      </c>
      <c r="K633" s="315" t="str">
        <f t="shared" si="32"/>
        <v>Year 1</v>
      </c>
      <c r="L633" s="315" t="str">
        <f t="shared" si="32"/>
        <v>Year 2</v>
      </c>
      <c r="M633" s="315" t="str">
        <f t="shared" si="32"/>
        <v>Year 3</v>
      </c>
      <c r="N633" s="315" t="str">
        <f t="shared" si="32"/>
        <v>Year 4</v>
      </c>
      <c r="O633" s="315" t="str">
        <f t="shared" si="32"/>
        <v>Year 5</v>
      </c>
      <c r="P633" s="315" t="str">
        <f t="shared" si="32"/>
        <v>Year 6</v>
      </c>
      <c r="Q633" s="353" t="str">
        <f t="shared" si="32"/>
        <v>Year 7</v>
      </c>
      <c r="R633" s="315" t="str">
        <f t="shared" si="32"/>
        <v>Year 8</v>
      </c>
      <c r="S633" s="315" t="str">
        <f t="shared" si="32"/>
        <v>Year 9</v>
      </c>
      <c r="T633" s="353" t="str">
        <f t="shared" si="32"/>
        <v>Year 10</v>
      </c>
      <c r="U633" s="238" t="str">
        <f>'WS8 - Expenditure Program'!U26</f>
        <v>Sum of 10 years</v>
      </c>
      <c r="V633" s="3"/>
      <c r="W633" s="3"/>
      <c r="X633" s="3"/>
      <c r="Y633" s="3"/>
      <c r="Z633" s="3"/>
      <c r="AA633" s="3"/>
      <c r="AB633" s="3"/>
      <c r="AC633" s="3"/>
      <c r="AD633" s="3"/>
      <c r="AE633" s="3"/>
    </row>
    <row r="634" spans="2:36" x14ac:dyDescent="0.2">
      <c r="B634" s="209" t="str">
        <f>B$52</f>
        <v>Financial year</v>
      </c>
      <c r="C634" s="30"/>
      <c r="D634" s="30"/>
      <c r="E634" s="32"/>
      <c r="F634" s="30"/>
      <c r="G634" s="211" t="str">
        <f t="shared" ref="G634:T634" si="33">G$52</f>
        <v>2020-21</v>
      </c>
      <c r="H634" s="211" t="str">
        <f t="shared" si="33"/>
        <v>2021-22</v>
      </c>
      <c r="I634" s="211" t="str">
        <f t="shared" si="33"/>
        <v>2022-23</v>
      </c>
      <c r="J634" s="213" t="str">
        <f t="shared" si="33"/>
        <v>2023-24</v>
      </c>
      <c r="K634" s="214" t="str">
        <f t="shared" si="33"/>
        <v>2024-25</v>
      </c>
      <c r="L634" s="214" t="str">
        <f t="shared" si="33"/>
        <v>2025-26</v>
      </c>
      <c r="M634" s="214" t="str">
        <f t="shared" si="33"/>
        <v>2026-27</v>
      </c>
      <c r="N634" s="214" t="str">
        <f t="shared" si="33"/>
        <v>2027-28</v>
      </c>
      <c r="O634" s="214" t="str">
        <f t="shared" si="33"/>
        <v>2028-29</v>
      </c>
      <c r="P634" s="214" t="str">
        <f t="shared" si="33"/>
        <v>2029-30</v>
      </c>
      <c r="Q634" s="226" t="str">
        <f t="shared" si="33"/>
        <v>2030-31</v>
      </c>
      <c r="R634" s="214" t="str">
        <f t="shared" si="33"/>
        <v>2031-32</v>
      </c>
      <c r="S634" s="214" t="str">
        <f t="shared" si="33"/>
        <v>2032-33</v>
      </c>
      <c r="T634" s="226" t="str">
        <f t="shared" si="33"/>
        <v>2033-34</v>
      </c>
      <c r="U634" s="65"/>
      <c r="V634" s="3"/>
      <c r="W634" s="3"/>
      <c r="X634" s="3"/>
      <c r="Y634" s="3"/>
      <c r="Z634" s="3"/>
      <c r="AA634" s="3"/>
      <c r="AB634" s="3"/>
      <c r="AC634" s="3"/>
      <c r="AD634" s="3"/>
      <c r="AE634" s="3"/>
    </row>
    <row r="635" spans="2:36" x14ac:dyDescent="0.2">
      <c r="B635" s="54"/>
      <c r="C635" s="3"/>
      <c r="D635" s="3"/>
      <c r="E635" s="54"/>
      <c r="F635" s="3"/>
      <c r="G635" s="3"/>
      <c r="H635" s="3"/>
      <c r="I635" s="3"/>
      <c r="J635" s="54"/>
      <c r="K635" s="3"/>
      <c r="L635" s="3"/>
      <c r="M635" s="3"/>
      <c r="N635" s="3"/>
      <c r="O635" s="3"/>
      <c r="P635" s="3"/>
      <c r="Q635" s="31"/>
      <c r="R635" s="3"/>
      <c r="S635" s="3"/>
      <c r="T635" s="31"/>
      <c r="U635" s="107"/>
      <c r="V635" s="3"/>
      <c r="W635" s="3"/>
      <c r="X635" s="3"/>
      <c r="Y635" s="3"/>
      <c r="Z635" s="3"/>
      <c r="AA635" s="3"/>
      <c r="AB635" s="3"/>
      <c r="AC635" s="3"/>
      <c r="AD635" s="3"/>
      <c r="AE635" s="3"/>
    </row>
    <row r="636" spans="2:36" x14ac:dyDescent="0.2">
      <c r="B636" s="54"/>
      <c r="C636" s="3"/>
      <c r="D636" s="3"/>
      <c r="E636" s="54"/>
      <c r="F636" s="3"/>
      <c r="G636" s="3"/>
      <c r="H636" s="3"/>
      <c r="I636" s="3"/>
      <c r="J636" s="54"/>
      <c r="K636" s="3"/>
      <c r="L636" s="3"/>
      <c r="M636" s="3"/>
      <c r="N636" s="3"/>
      <c r="O636" s="3"/>
      <c r="P636" s="3"/>
      <c r="Q636" s="31"/>
      <c r="R636" s="3"/>
      <c r="S636" s="3"/>
      <c r="T636" s="31"/>
      <c r="U636" s="107"/>
      <c r="V636" s="3"/>
      <c r="W636" s="3"/>
      <c r="X636" s="3"/>
      <c r="Y636" s="3"/>
      <c r="Z636" s="3"/>
      <c r="AA636" s="3"/>
      <c r="AB636" s="3"/>
      <c r="AC636" s="3"/>
      <c r="AD636" s="3"/>
      <c r="AE636" s="3"/>
    </row>
    <row r="637" spans="2:36" x14ac:dyDescent="0.2">
      <c r="B637" s="219" t="str">
        <f>'WS8 - Expenditure Program'!B29</f>
        <v>Proposed SV income above rate peg</v>
      </c>
      <c r="C637" s="3"/>
      <c r="D637" s="3" t="str">
        <f>'WS8 - Expenditure Program'!D29</f>
        <v>$ nominal</v>
      </c>
      <c r="E637" s="54"/>
      <c r="F637" s="3"/>
      <c r="G637" s="3"/>
      <c r="H637" s="3"/>
      <c r="I637" s="3"/>
      <c r="J637" s="54"/>
      <c r="K637" s="112">
        <f>'WS8 - Expenditure Program'!K29</f>
        <v>5435200.3656308874</v>
      </c>
      <c r="L637" s="112">
        <f>'WS8 - Expenditure Program'!L29</f>
        <v>5598256.376599811</v>
      </c>
      <c r="M637" s="112">
        <f>'WS8 - Expenditure Program'!M29</f>
        <v>5766204.0678978115</v>
      </c>
      <c r="N637" s="112">
        <f>'WS8 - Expenditure Program'!N29</f>
        <v>5939190.1899347454</v>
      </c>
      <c r="O637" s="112">
        <f>'WS8 - Expenditure Program'!O29</f>
        <v>6117365.8956327885</v>
      </c>
      <c r="P637" s="112">
        <f>'WS8 - Expenditure Program'!P29</f>
        <v>6300886.8725017682</v>
      </c>
      <c r="Q637" s="230">
        <f>'WS8 - Expenditure Program'!Q29</f>
        <v>6489913.4786768258</v>
      </c>
      <c r="R637" s="112">
        <f>'WS8 - Expenditure Program'!R29</f>
        <v>6652161.3156437455</v>
      </c>
      <c r="S637" s="112">
        <f>'WS8 - Expenditure Program'!S29</f>
        <v>6818465.3485348383</v>
      </c>
      <c r="T637" s="230">
        <f>'WS8 - Expenditure Program'!T29</f>
        <v>6988926.9822482085</v>
      </c>
      <c r="U637" s="242">
        <f>'WS8 - Expenditure Program'!U29</f>
        <v>62106570.893301427</v>
      </c>
      <c r="V637" s="3"/>
      <c r="W637" s="3"/>
      <c r="X637" s="3"/>
      <c r="Y637" s="3"/>
      <c r="Z637" s="3"/>
      <c r="AA637" s="3"/>
      <c r="AB637" s="3"/>
      <c r="AC637" s="3"/>
      <c r="AD637" s="3"/>
      <c r="AE637" s="3"/>
      <c r="AF637" s="3"/>
      <c r="AG637" s="3"/>
      <c r="AH637" s="3"/>
      <c r="AI637" s="3"/>
      <c r="AJ637" s="3"/>
    </row>
    <row r="638" spans="2:36" x14ac:dyDescent="0.2">
      <c r="B638" s="218" t="str">
        <f>'WS8 - Expenditure Program'!B32</f>
        <v>Change in Operating Balance due to proposed SV</v>
      </c>
      <c r="C638" s="3"/>
      <c r="D638" s="3" t="str">
        <f>'WS8 - Expenditure Program'!D32</f>
        <v>$ nominal</v>
      </c>
      <c r="E638" s="54"/>
      <c r="F638" s="3"/>
      <c r="G638" s="3"/>
      <c r="H638" s="3"/>
      <c r="I638" s="3"/>
      <c r="J638" s="54"/>
      <c r="K638" s="112">
        <f>'WS8 - Expenditure Program'!K32</f>
        <v>3435200.3656308874</v>
      </c>
      <c r="L638" s="112">
        <f>'WS8 - Expenditure Program'!L32</f>
        <v>3538256.376599811</v>
      </c>
      <c r="M638" s="112">
        <f>'WS8 - Expenditure Program'!M32</f>
        <v>3644404.0678978115</v>
      </c>
      <c r="N638" s="112">
        <f>'WS8 - Expenditure Program'!N32</f>
        <v>3753736.1899347454</v>
      </c>
      <c r="O638" s="112">
        <f>'WS8 - Expenditure Program'!O32</f>
        <v>3866348.2756327884</v>
      </c>
      <c r="P638" s="112">
        <f>'WS8 - Expenditure Program'!P32</f>
        <v>3982338.7239017682</v>
      </c>
      <c r="Q638" s="230">
        <f>'WS8 - Expenditure Program'!Q32</f>
        <v>4101808.8856188259</v>
      </c>
      <c r="R638" s="112">
        <f>'WS8 - Expenditure Program'!R32</f>
        <v>4192413.5847940054</v>
      </c>
      <c r="S638" s="112">
        <f>'WS8 - Expenditure Program'!S32</f>
        <v>4284925.1857596058</v>
      </c>
      <c r="T638" s="230">
        <f>'WS8 - Expenditure Program'!T32</f>
        <v>4379380.6145897191</v>
      </c>
      <c r="U638" s="242">
        <f>'WS8 - Expenditure Program'!U32</f>
        <v>39178812.270359963</v>
      </c>
      <c r="V638" s="3"/>
      <c r="W638" s="3"/>
      <c r="X638" s="3"/>
      <c r="Y638" s="3"/>
      <c r="Z638" s="3"/>
      <c r="AA638" s="3"/>
      <c r="AB638" s="3"/>
      <c r="AC638" s="3"/>
      <c r="AD638" s="3"/>
      <c r="AE638" s="3"/>
      <c r="AF638" s="3"/>
      <c r="AG638" s="3"/>
      <c r="AH638" s="3"/>
      <c r="AI638" s="3"/>
      <c r="AJ638" s="3"/>
    </row>
    <row r="639" spans="2:36" x14ac:dyDescent="0.2">
      <c r="B639" s="54"/>
      <c r="C639" s="3"/>
      <c r="D639" s="3"/>
      <c r="E639" s="54"/>
      <c r="F639" s="3"/>
      <c r="G639" s="3"/>
      <c r="H639" s="3"/>
      <c r="I639" s="3"/>
      <c r="J639" s="54"/>
      <c r="K639" s="16"/>
      <c r="L639" s="16"/>
      <c r="M639" s="16"/>
      <c r="N639" s="16"/>
      <c r="O639" s="16"/>
      <c r="P639" s="16"/>
      <c r="Q639" s="200"/>
      <c r="R639" s="16"/>
      <c r="S639" s="16"/>
      <c r="T639" s="200"/>
      <c r="U639" s="107"/>
      <c r="V639" s="3"/>
      <c r="W639" s="3"/>
      <c r="X639" s="3"/>
      <c r="Y639" s="3"/>
      <c r="Z639" s="3"/>
      <c r="AA639" s="3"/>
      <c r="AB639" s="3"/>
      <c r="AC639" s="3"/>
      <c r="AD639" s="3"/>
      <c r="AE639" s="3"/>
      <c r="AF639" s="3"/>
      <c r="AG639" s="3"/>
      <c r="AH639" s="3"/>
      <c r="AI639" s="3"/>
      <c r="AJ639" s="3"/>
    </row>
    <row r="640" spans="2:36" x14ac:dyDescent="0.2">
      <c r="B640" s="219" t="str">
        <f>'WS8 - Expenditure Program'!B35</f>
        <v xml:space="preserve">Table 8.2: Operating expenses (including loan interest costs) ($ nominal) </v>
      </c>
      <c r="C640" s="3"/>
      <c r="D640" s="3"/>
      <c r="E640" s="54"/>
      <c r="F640" s="3"/>
      <c r="G640" s="3"/>
      <c r="H640" s="3"/>
      <c r="I640" s="3"/>
      <c r="J640" s="54"/>
      <c r="K640" s="16"/>
      <c r="L640" s="16"/>
      <c r="M640" s="16"/>
      <c r="N640" s="16"/>
      <c r="O640" s="16"/>
      <c r="P640" s="16"/>
      <c r="Q640" s="200"/>
      <c r="R640" s="16"/>
      <c r="S640" s="16"/>
      <c r="T640" s="200"/>
      <c r="U640" s="107"/>
      <c r="V640" s="3"/>
      <c r="W640" s="3"/>
      <c r="X640" s="3"/>
      <c r="Y640" s="3"/>
      <c r="Z640" s="3"/>
      <c r="AA640" s="3"/>
      <c r="AB640" s="3"/>
      <c r="AC640" s="3"/>
      <c r="AD640" s="3"/>
      <c r="AE640" s="3"/>
      <c r="AF640" s="3"/>
      <c r="AG640" s="3"/>
      <c r="AH640" s="3"/>
      <c r="AI640" s="3"/>
      <c r="AJ640" s="3"/>
    </row>
    <row r="641" spans="2:36" x14ac:dyDescent="0.2">
      <c r="B641" s="218" t="str">
        <f>'WS8 - Expenditure Program'!B38</f>
        <v>Fund existing service levels (eg, libraries)</v>
      </c>
      <c r="C641" s="3"/>
      <c r="D641" s="3"/>
      <c r="E641" s="54"/>
      <c r="F641" s="3"/>
      <c r="G641" s="3"/>
      <c r="H641" s="3"/>
      <c r="I641" s="3"/>
      <c r="J641" s="54"/>
      <c r="K641" s="112"/>
      <c r="L641" s="112"/>
      <c r="M641" s="112"/>
      <c r="N641" s="112"/>
      <c r="O641" s="112"/>
      <c r="P641" s="112"/>
      <c r="Q641" s="230"/>
      <c r="R641" s="112"/>
      <c r="S641" s="112"/>
      <c r="T641" s="230"/>
      <c r="U641" s="242"/>
      <c r="V641" s="3"/>
      <c r="W641" s="3"/>
      <c r="X641" s="3"/>
      <c r="Y641" s="3"/>
      <c r="Z641" s="3"/>
      <c r="AA641" s="3"/>
      <c r="AB641" s="3"/>
      <c r="AC641" s="3"/>
      <c r="AD641" s="3"/>
      <c r="AE641" s="3"/>
      <c r="AF641" s="3"/>
      <c r="AG641" s="3"/>
      <c r="AH641" s="3"/>
      <c r="AI641" s="3"/>
      <c r="AJ641" s="3"/>
    </row>
    <row r="642" spans="2:36" x14ac:dyDescent="0.2">
      <c r="B642" s="494">
        <f>'WS8 - Expenditure Program'!B39</f>
        <v>0</v>
      </c>
      <c r="C642" s="3"/>
      <c r="D642" s="3" t="str">
        <f>'WS8 - Expenditure Program'!D39</f>
        <v>$ nominal</v>
      </c>
      <c r="E642" s="54"/>
      <c r="F642" s="3"/>
      <c r="G642" s="3"/>
      <c r="H642" s="3"/>
      <c r="I642" s="3"/>
      <c r="J642" s="54"/>
      <c r="K642" s="112">
        <f>'WS8 - Expenditure Program'!K39</f>
        <v>0</v>
      </c>
      <c r="L642" s="112">
        <f>'WS8 - Expenditure Program'!L39</f>
        <v>0</v>
      </c>
      <c r="M642" s="112">
        <f>'WS8 - Expenditure Program'!M39</f>
        <v>0</v>
      </c>
      <c r="N642" s="112">
        <f>'WS8 - Expenditure Program'!N39</f>
        <v>0</v>
      </c>
      <c r="O642" s="112">
        <f>'WS8 - Expenditure Program'!O39</f>
        <v>0</v>
      </c>
      <c r="P642" s="112">
        <f>'WS8 - Expenditure Program'!P39</f>
        <v>0</v>
      </c>
      <c r="Q642" s="230">
        <f>'WS8 - Expenditure Program'!Q39</f>
        <v>0</v>
      </c>
      <c r="R642" s="112">
        <f>'WS8 - Expenditure Program'!R39</f>
        <v>0</v>
      </c>
      <c r="S642" s="112">
        <f>'WS8 - Expenditure Program'!S39</f>
        <v>0</v>
      </c>
      <c r="T642" s="112">
        <f>'WS8 - Expenditure Program'!T39</f>
        <v>0</v>
      </c>
      <c r="U642" s="242">
        <f>'WS8 - Expenditure Program'!U39</f>
        <v>0</v>
      </c>
      <c r="V642" s="3"/>
      <c r="W642" s="3"/>
      <c r="X642" s="3"/>
      <c r="Y642" s="3"/>
      <c r="Z642" s="3"/>
      <c r="AA642" s="3"/>
      <c r="AB642" s="3"/>
      <c r="AC642" s="3"/>
      <c r="AD642" s="3"/>
      <c r="AE642" s="3"/>
      <c r="AF642" s="3"/>
      <c r="AG642" s="3"/>
      <c r="AH642" s="3"/>
      <c r="AI642" s="3"/>
      <c r="AJ642" s="3"/>
    </row>
    <row r="643" spans="2:36" x14ac:dyDescent="0.2">
      <c r="B643" s="494">
        <f>'WS8 - Expenditure Program'!B40</f>
        <v>0</v>
      </c>
      <c r="C643" s="3"/>
      <c r="D643" s="3" t="str">
        <f>'WS8 - Expenditure Program'!D40</f>
        <v>$ nominal</v>
      </c>
      <c r="E643" s="54"/>
      <c r="F643" s="3"/>
      <c r="G643" s="3"/>
      <c r="H643" s="3"/>
      <c r="I643" s="3"/>
      <c r="J643" s="54"/>
      <c r="K643" s="112">
        <f>'WS8 - Expenditure Program'!K40</f>
        <v>0</v>
      </c>
      <c r="L643" s="112">
        <f>'WS8 - Expenditure Program'!L40</f>
        <v>0</v>
      </c>
      <c r="M643" s="112">
        <f>'WS8 - Expenditure Program'!M40</f>
        <v>0</v>
      </c>
      <c r="N643" s="112">
        <f>'WS8 - Expenditure Program'!N40</f>
        <v>0</v>
      </c>
      <c r="O643" s="112">
        <f>'WS8 - Expenditure Program'!O40</f>
        <v>0</v>
      </c>
      <c r="P643" s="112">
        <f>'WS8 - Expenditure Program'!P40</f>
        <v>0</v>
      </c>
      <c r="Q643" s="230">
        <f>'WS8 - Expenditure Program'!Q40</f>
        <v>0</v>
      </c>
      <c r="R643" s="112">
        <f>'WS8 - Expenditure Program'!R40</f>
        <v>0</v>
      </c>
      <c r="S643" s="112">
        <f>'WS8 - Expenditure Program'!S40</f>
        <v>0</v>
      </c>
      <c r="T643" s="112">
        <f>'WS8 - Expenditure Program'!T40</f>
        <v>0</v>
      </c>
      <c r="U643" s="242">
        <f>'WS8 - Expenditure Program'!U40</f>
        <v>0</v>
      </c>
      <c r="V643" s="3"/>
      <c r="W643" s="3"/>
      <c r="X643" s="3"/>
      <c r="Y643" s="3"/>
      <c r="Z643" s="3"/>
      <c r="AA643" s="3"/>
      <c r="AB643" s="3"/>
      <c r="AC643" s="3"/>
      <c r="AD643" s="3"/>
      <c r="AE643" s="3"/>
      <c r="AF643" s="3"/>
      <c r="AG643" s="3"/>
      <c r="AH643" s="3"/>
      <c r="AI643" s="3"/>
      <c r="AJ643" s="3"/>
    </row>
    <row r="644" spans="2:36" x14ac:dyDescent="0.2">
      <c r="B644" s="494">
        <f>'WS8 - Expenditure Program'!B41</f>
        <v>0</v>
      </c>
      <c r="C644" s="3"/>
      <c r="D644" s="3" t="str">
        <f>'WS8 - Expenditure Program'!D41</f>
        <v>$ nominal</v>
      </c>
      <c r="E644" s="54"/>
      <c r="F644" s="3"/>
      <c r="G644" s="3"/>
      <c r="H644" s="3"/>
      <c r="I644" s="3"/>
      <c r="J644" s="54"/>
      <c r="K644" s="112">
        <f>'WS8 - Expenditure Program'!K41</f>
        <v>0</v>
      </c>
      <c r="L644" s="112">
        <f>'WS8 - Expenditure Program'!L41</f>
        <v>0</v>
      </c>
      <c r="M644" s="112">
        <f>'WS8 - Expenditure Program'!M41</f>
        <v>0</v>
      </c>
      <c r="N644" s="112">
        <f>'WS8 - Expenditure Program'!N41</f>
        <v>0</v>
      </c>
      <c r="O644" s="112">
        <f>'WS8 - Expenditure Program'!O41</f>
        <v>0</v>
      </c>
      <c r="P644" s="112">
        <f>'WS8 - Expenditure Program'!P41</f>
        <v>0</v>
      </c>
      <c r="Q644" s="230">
        <f>'WS8 - Expenditure Program'!Q41</f>
        <v>0</v>
      </c>
      <c r="R644" s="112">
        <f>'WS8 - Expenditure Program'!R41</f>
        <v>0</v>
      </c>
      <c r="S644" s="112">
        <f>'WS8 - Expenditure Program'!S41</f>
        <v>0</v>
      </c>
      <c r="T644" s="112">
        <f>'WS8 - Expenditure Program'!T41</f>
        <v>0</v>
      </c>
      <c r="U644" s="242">
        <f>'WS8 - Expenditure Program'!U41</f>
        <v>0</v>
      </c>
      <c r="V644" s="3"/>
      <c r="W644" s="3"/>
      <c r="X644" s="3"/>
      <c r="Y644" s="3"/>
      <c r="Z644" s="3"/>
      <c r="AA644" s="3"/>
      <c r="AB644" s="3"/>
      <c r="AC644" s="3"/>
      <c r="AD644" s="3"/>
      <c r="AE644" s="3"/>
      <c r="AF644" s="3"/>
      <c r="AG644" s="3"/>
      <c r="AH644" s="3"/>
      <c r="AI644" s="3"/>
      <c r="AJ644" s="3"/>
    </row>
    <row r="645" spans="2:36" x14ac:dyDescent="0.2">
      <c r="B645" s="494">
        <f>'WS8 - Expenditure Program'!B42</f>
        <v>0</v>
      </c>
      <c r="C645" s="3"/>
      <c r="D645" s="3" t="str">
        <f>'WS8 - Expenditure Program'!D42</f>
        <v>$ nominal</v>
      </c>
      <c r="E645" s="54"/>
      <c r="F645" s="3"/>
      <c r="G645" s="3"/>
      <c r="H645" s="3"/>
      <c r="I645" s="3"/>
      <c r="J645" s="54"/>
      <c r="K645" s="112">
        <f>'WS8 - Expenditure Program'!K42</f>
        <v>0</v>
      </c>
      <c r="L645" s="112">
        <f>'WS8 - Expenditure Program'!L42</f>
        <v>0</v>
      </c>
      <c r="M645" s="112">
        <f>'WS8 - Expenditure Program'!M42</f>
        <v>0</v>
      </c>
      <c r="N645" s="112">
        <f>'WS8 - Expenditure Program'!N42</f>
        <v>0</v>
      </c>
      <c r="O645" s="112">
        <f>'WS8 - Expenditure Program'!O42</f>
        <v>0</v>
      </c>
      <c r="P645" s="112">
        <f>'WS8 - Expenditure Program'!P42</f>
        <v>0</v>
      </c>
      <c r="Q645" s="230">
        <f>'WS8 - Expenditure Program'!Q42</f>
        <v>0</v>
      </c>
      <c r="R645" s="112">
        <f>'WS8 - Expenditure Program'!R42</f>
        <v>0</v>
      </c>
      <c r="S645" s="112">
        <f>'WS8 - Expenditure Program'!S42</f>
        <v>0</v>
      </c>
      <c r="T645" s="112">
        <f>'WS8 - Expenditure Program'!T42</f>
        <v>0</v>
      </c>
      <c r="U645" s="242">
        <f>'WS8 - Expenditure Program'!U42</f>
        <v>0</v>
      </c>
      <c r="V645" s="3"/>
      <c r="W645" s="3"/>
      <c r="X645" s="3"/>
      <c r="Y645" s="3"/>
      <c r="Z645" s="3"/>
      <c r="AA645" s="3"/>
      <c r="AB645" s="3"/>
      <c r="AC645" s="3"/>
      <c r="AD645" s="3"/>
      <c r="AE645" s="3"/>
      <c r="AF645" s="3"/>
      <c r="AG645" s="3"/>
      <c r="AH645" s="3"/>
      <c r="AI645" s="3"/>
      <c r="AJ645" s="3"/>
    </row>
    <row r="646" spans="2:36" x14ac:dyDescent="0.2">
      <c r="B646" s="494">
        <f>'WS8 - Expenditure Program'!B43</f>
        <v>0</v>
      </c>
      <c r="C646" s="3"/>
      <c r="D646" s="3" t="str">
        <f>'WS8 - Expenditure Program'!D43</f>
        <v>$ nominal</v>
      </c>
      <c r="E646" s="54"/>
      <c r="F646" s="3"/>
      <c r="G646" s="3"/>
      <c r="H646" s="3"/>
      <c r="I646" s="3"/>
      <c r="J646" s="54"/>
      <c r="K646" s="112">
        <f>'WS8 - Expenditure Program'!K43</f>
        <v>0</v>
      </c>
      <c r="L646" s="112">
        <f>'WS8 - Expenditure Program'!L43</f>
        <v>0</v>
      </c>
      <c r="M646" s="112">
        <f>'WS8 - Expenditure Program'!M43</f>
        <v>0</v>
      </c>
      <c r="N646" s="112">
        <f>'WS8 - Expenditure Program'!N43</f>
        <v>0</v>
      </c>
      <c r="O646" s="112">
        <f>'WS8 - Expenditure Program'!O43</f>
        <v>0</v>
      </c>
      <c r="P646" s="112">
        <f>'WS8 - Expenditure Program'!P43</f>
        <v>0</v>
      </c>
      <c r="Q646" s="230">
        <f>'WS8 - Expenditure Program'!Q43</f>
        <v>0</v>
      </c>
      <c r="R646" s="112">
        <f>'WS8 - Expenditure Program'!R43</f>
        <v>0</v>
      </c>
      <c r="S646" s="112">
        <f>'WS8 - Expenditure Program'!S43</f>
        <v>0</v>
      </c>
      <c r="T646" s="112">
        <f>'WS8 - Expenditure Program'!T43</f>
        <v>0</v>
      </c>
      <c r="U646" s="242">
        <f>'WS8 - Expenditure Program'!U43</f>
        <v>0</v>
      </c>
      <c r="V646" s="3"/>
      <c r="W646" s="3"/>
      <c r="X646" s="3"/>
      <c r="Y646" s="3"/>
      <c r="Z646" s="3"/>
      <c r="AA646" s="3"/>
      <c r="AB646" s="3"/>
      <c r="AC646" s="3"/>
      <c r="AD646" s="3"/>
      <c r="AE646" s="3"/>
      <c r="AF646" s="3"/>
      <c r="AG646" s="3"/>
      <c r="AH646" s="3"/>
      <c r="AI646" s="3"/>
      <c r="AJ646" s="3"/>
    </row>
    <row r="647" spans="2:36" x14ac:dyDescent="0.2">
      <c r="B647" s="494">
        <f>'WS8 - Expenditure Program'!B44</f>
        <v>0</v>
      </c>
      <c r="C647" s="3"/>
      <c r="D647" s="3" t="str">
        <f>'WS8 - Expenditure Program'!D44</f>
        <v>$ nominal</v>
      </c>
      <c r="E647" s="54"/>
      <c r="F647" s="3"/>
      <c r="G647" s="3"/>
      <c r="H647" s="3"/>
      <c r="I647" s="3"/>
      <c r="J647" s="54"/>
      <c r="K647" s="112">
        <f>'WS8 - Expenditure Program'!K44</f>
        <v>0</v>
      </c>
      <c r="L647" s="112">
        <f>'WS8 - Expenditure Program'!L44</f>
        <v>0</v>
      </c>
      <c r="M647" s="112">
        <f>'WS8 - Expenditure Program'!M44</f>
        <v>0</v>
      </c>
      <c r="N647" s="112">
        <f>'WS8 - Expenditure Program'!N44</f>
        <v>0</v>
      </c>
      <c r="O647" s="112">
        <f>'WS8 - Expenditure Program'!O44</f>
        <v>0</v>
      </c>
      <c r="P647" s="112">
        <f>'WS8 - Expenditure Program'!P44</f>
        <v>0</v>
      </c>
      <c r="Q647" s="230">
        <f>'WS8 - Expenditure Program'!Q44</f>
        <v>0</v>
      </c>
      <c r="R647" s="112">
        <f>'WS8 - Expenditure Program'!R44</f>
        <v>0</v>
      </c>
      <c r="S647" s="112">
        <f>'WS8 - Expenditure Program'!S44</f>
        <v>0</v>
      </c>
      <c r="T647" s="112">
        <f>'WS8 - Expenditure Program'!T44</f>
        <v>0</v>
      </c>
      <c r="U647" s="242">
        <f>'WS8 - Expenditure Program'!U44</f>
        <v>0</v>
      </c>
      <c r="V647" s="3"/>
      <c r="W647" s="3"/>
      <c r="X647" s="3"/>
      <c r="Y647" s="3"/>
      <c r="Z647" s="3"/>
      <c r="AA647" s="3"/>
      <c r="AB647" s="3"/>
      <c r="AC647" s="3"/>
      <c r="AD647" s="3"/>
      <c r="AE647" s="3"/>
      <c r="AF647" s="3"/>
      <c r="AG647" s="3"/>
      <c r="AH647" s="3"/>
      <c r="AI647" s="3"/>
      <c r="AJ647" s="3"/>
    </row>
    <row r="648" spans="2:36" x14ac:dyDescent="0.2">
      <c r="B648" s="494">
        <f>'WS8 - Expenditure Program'!B45</f>
        <v>0</v>
      </c>
      <c r="C648" s="3"/>
      <c r="D648" s="3" t="str">
        <f>'WS8 - Expenditure Program'!D45</f>
        <v>$ nominal</v>
      </c>
      <c r="E648" s="54"/>
      <c r="F648" s="3"/>
      <c r="G648" s="3"/>
      <c r="H648" s="3"/>
      <c r="I648" s="3"/>
      <c r="J648" s="54"/>
      <c r="K648" s="112">
        <f>'WS8 - Expenditure Program'!K45</f>
        <v>0</v>
      </c>
      <c r="L648" s="112">
        <f>'WS8 - Expenditure Program'!L45</f>
        <v>0</v>
      </c>
      <c r="M648" s="112">
        <f>'WS8 - Expenditure Program'!M45</f>
        <v>0</v>
      </c>
      <c r="N648" s="112">
        <f>'WS8 - Expenditure Program'!N45</f>
        <v>0</v>
      </c>
      <c r="O648" s="112">
        <f>'WS8 - Expenditure Program'!O45</f>
        <v>0</v>
      </c>
      <c r="P648" s="112">
        <f>'WS8 - Expenditure Program'!P45</f>
        <v>0</v>
      </c>
      <c r="Q648" s="230">
        <f>'WS8 - Expenditure Program'!Q45</f>
        <v>0</v>
      </c>
      <c r="R648" s="112">
        <f>'WS8 - Expenditure Program'!R45</f>
        <v>0</v>
      </c>
      <c r="S648" s="112">
        <f>'WS8 - Expenditure Program'!S45</f>
        <v>0</v>
      </c>
      <c r="T648" s="112">
        <f>'WS8 - Expenditure Program'!T45</f>
        <v>0</v>
      </c>
      <c r="U648" s="242">
        <f>'WS8 - Expenditure Program'!U45</f>
        <v>0</v>
      </c>
      <c r="V648" s="3"/>
      <c r="W648" s="3"/>
      <c r="X648" s="3"/>
      <c r="Y648" s="3"/>
      <c r="Z648" s="3"/>
      <c r="AA648" s="3"/>
      <c r="AB648" s="3"/>
      <c r="AC648" s="3"/>
      <c r="AD648" s="3"/>
      <c r="AE648" s="3"/>
      <c r="AF648" s="3"/>
      <c r="AG648" s="3"/>
      <c r="AH648" s="3"/>
      <c r="AI648" s="3"/>
      <c r="AJ648" s="3"/>
    </row>
    <row r="649" spans="2:36" x14ac:dyDescent="0.2">
      <c r="B649" s="494">
        <f>'WS8 - Expenditure Program'!B46</f>
        <v>0</v>
      </c>
      <c r="C649" s="3"/>
      <c r="D649" s="3" t="str">
        <f>'WS8 - Expenditure Program'!D46</f>
        <v>$ nominal</v>
      </c>
      <c r="E649" s="54"/>
      <c r="F649" s="3"/>
      <c r="G649" s="3"/>
      <c r="H649" s="3"/>
      <c r="I649" s="3"/>
      <c r="J649" s="54"/>
      <c r="K649" s="112">
        <f>'WS8 - Expenditure Program'!K46</f>
        <v>0</v>
      </c>
      <c r="L649" s="112">
        <f>'WS8 - Expenditure Program'!L46</f>
        <v>0</v>
      </c>
      <c r="M649" s="112">
        <f>'WS8 - Expenditure Program'!M46</f>
        <v>0</v>
      </c>
      <c r="N649" s="112">
        <f>'WS8 - Expenditure Program'!N46</f>
        <v>0</v>
      </c>
      <c r="O649" s="112">
        <f>'WS8 - Expenditure Program'!O46</f>
        <v>0</v>
      </c>
      <c r="P649" s="112">
        <f>'WS8 - Expenditure Program'!P46</f>
        <v>0</v>
      </c>
      <c r="Q649" s="230">
        <f>'WS8 - Expenditure Program'!Q46</f>
        <v>0</v>
      </c>
      <c r="R649" s="112">
        <f>'WS8 - Expenditure Program'!R46</f>
        <v>0</v>
      </c>
      <c r="S649" s="112">
        <f>'WS8 - Expenditure Program'!S46</f>
        <v>0</v>
      </c>
      <c r="T649" s="112">
        <f>'WS8 - Expenditure Program'!T46</f>
        <v>0</v>
      </c>
      <c r="U649" s="242">
        <f>'WS8 - Expenditure Program'!U46</f>
        <v>0</v>
      </c>
      <c r="V649" s="3"/>
      <c r="W649" s="3"/>
      <c r="X649" s="3"/>
      <c r="Y649" s="3"/>
      <c r="Z649" s="3"/>
      <c r="AA649" s="3"/>
      <c r="AB649" s="3"/>
      <c r="AC649" s="3"/>
      <c r="AD649" s="3"/>
      <c r="AE649" s="3"/>
      <c r="AF649" s="3"/>
      <c r="AG649" s="3"/>
      <c r="AH649" s="3"/>
      <c r="AI649" s="3"/>
      <c r="AJ649" s="3"/>
    </row>
    <row r="650" spans="2:36" x14ac:dyDescent="0.2">
      <c r="B650" s="494">
        <f>'WS8 - Expenditure Program'!B47</f>
        <v>0</v>
      </c>
      <c r="C650" s="3"/>
      <c r="D650" s="3" t="str">
        <f>'WS8 - Expenditure Program'!D47</f>
        <v>$ nominal</v>
      </c>
      <c r="E650" s="54"/>
      <c r="F650" s="3"/>
      <c r="G650" s="3"/>
      <c r="H650" s="3"/>
      <c r="I650" s="3"/>
      <c r="J650" s="54"/>
      <c r="K650" s="112">
        <f>'WS8 - Expenditure Program'!K47</f>
        <v>0</v>
      </c>
      <c r="L650" s="112">
        <f>'WS8 - Expenditure Program'!L47</f>
        <v>0</v>
      </c>
      <c r="M650" s="112">
        <f>'WS8 - Expenditure Program'!M47</f>
        <v>0</v>
      </c>
      <c r="N650" s="112">
        <f>'WS8 - Expenditure Program'!N47</f>
        <v>0</v>
      </c>
      <c r="O650" s="112">
        <f>'WS8 - Expenditure Program'!O47</f>
        <v>0</v>
      </c>
      <c r="P650" s="112">
        <f>'WS8 - Expenditure Program'!P47</f>
        <v>0</v>
      </c>
      <c r="Q650" s="230">
        <f>'WS8 - Expenditure Program'!Q47</f>
        <v>0</v>
      </c>
      <c r="R650" s="112">
        <f>'WS8 - Expenditure Program'!R47</f>
        <v>0</v>
      </c>
      <c r="S650" s="112">
        <f>'WS8 - Expenditure Program'!S47</f>
        <v>0</v>
      </c>
      <c r="T650" s="112">
        <f>'WS8 - Expenditure Program'!T47</f>
        <v>0</v>
      </c>
      <c r="U650" s="242">
        <f>'WS8 - Expenditure Program'!U47</f>
        <v>0</v>
      </c>
      <c r="V650" s="3"/>
      <c r="W650" s="3"/>
      <c r="X650" s="3"/>
      <c r="Y650" s="3"/>
      <c r="Z650" s="3"/>
      <c r="AA650" s="3"/>
      <c r="AB650" s="3"/>
      <c r="AC650" s="3"/>
      <c r="AD650" s="3"/>
      <c r="AE650" s="3"/>
      <c r="AF650" s="3"/>
      <c r="AG650" s="3"/>
      <c r="AH650" s="3"/>
      <c r="AI650" s="3"/>
      <c r="AJ650" s="3"/>
    </row>
    <row r="651" spans="2:36" x14ac:dyDescent="0.2">
      <c r="B651" s="494">
        <f>'WS8 - Expenditure Program'!B48</f>
        <v>0</v>
      </c>
      <c r="C651" s="3"/>
      <c r="D651" s="3" t="str">
        <f>'WS8 - Expenditure Program'!D48</f>
        <v>$ nominal</v>
      </c>
      <c r="E651" s="54"/>
      <c r="F651" s="3"/>
      <c r="G651" s="3"/>
      <c r="H651" s="3"/>
      <c r="I651" s="3"/>
      <c r="J651" s="54"/>
      <c r="K651" s="112">
        <f>'WS8 - Expenditure Program'!K48</f>
        <v>0</v>
      </c>
      <c r="L651" s="112">
        <f>'WS8 - Expenditure Program'!L48</f>
        <v>0</v>
      </c>
      <c r="M651" s="112">
        <f>'WS8 - Expenditure Program'!M48</f>
        <v>0</v>
      </c>
      <c r="N651" s="112">
        <f>'WS8 - Expenditure Program'!N48</f>
        <v>0</v>
      </c>
      <c r="O651" s="112">
        <f>'WS8 - Expenditure Program'!O48</f>
        <v>0</v>
      </c>
      <c r="P651" s="112">
        <f>'WS8 - Expenditure Program'!P48</f>
        <v>0</v>
      </c>
      <c r="Q651" s="230">
        <f>'WS8 - Expenditure Program'!Q48</f>
        <v>0</v>
      </c>
      <c r="R651" s="112">
        <f>'WS8 - Expenditure Program'!R48</f>
        <v>0</v>
      </c>
      <c r="S651" s="112">
        <f>'WS8 - Expenditure Program'!S48</f>
        <v>0</v>
      </c>
      <c r="T651" s="112">
        <f>'WS8 - Expenditure Program'!T48</f>
        <v>0</v>
      </c>
      <c r="U651" s="242">
        <f>'WS8 - Expenditure Program'!U48</f>
        <v>0</v>
      </c>
      <c r="V651" s="3"/>
      <c r="W651" s="3"/>
      <c r="X651" s="3"/>
      <c r="Y651" s="3"/>
      <c r="Z651" s="3"/>
      <c r="AA651" s="3"/>
      <c r="AB651" s="3"/>
      <c r="AC651" s="3"/>
      <c r="AD651" s="3"/>
      <c r="AE651" s="3"/>
      <c r="AF651" s="3"/>
      <c r="AG651" s="3"/>
      <c r="AH651" s="3"/>
      <c r="AI651" s="3"/>
      <c r="AJ651" s="3"/>
    </row>
    <row r="652" spans="2:36" x14ac:dyDescent="0.2">
      <c r="B652" s="494">
        <f>'WS8 - Expenditure Program'!B49</f>
        <v>0</v>
      </c>
      <c r="C652" s="3"/>
      <c r="D652" s="3" t="str">
        <f>'WS8 - Expenditure Program'!D49</f>
        <v>$ nominal</v>
      </c>
      <c r="E652" s="54"/>
      <c r="F652" s="3"/>
      <c r="G652" s="3"/>
      <c r="H652" s="3"/>
      <c r="I652" s="3"/>
      <c r="J652" s="54"/>
      <c r="K652" s="112">
        <f>'WS8 - Expenditure Program'!K49</f>
        <v>0</v>
      </c>
      <c r="L652" s="112">
        <f>'WS8 - Expenditure Program'!L49</f>
        <v>0</v>
      </c>
      <c r="M652" s="112">
        <f>'WS8 - Expenditure Program'!M49</f>
        <v>0</v>
      </c>
      <c r="N652" s="112">
        <f>'WS8 - Expenditure Program'!N49</f>
        <v>0</v>
      </c>
      <c r="O652" s="112">
        <f>'WS8 - Expenditure Program'!O49</f>
        <v>0</v>
      </c>
      <c r="P652" s="112">
        <f>'WS8 - Expenditure Program'!P49</f>
        <v>0</v>
      </c>
      <c r="Q652" s="230">
        <f>'WS8 - Expenditure Program'!Q49</f>
        <v>0</v>
      </c>
      <c r="R652" s="112">
        <f>'WS8 - Expenditure Program'!R49</f>
        <v>0</v>
      </c>
      <c r="S652" s="112">
        <f>'WS8 - Expenditure Program'!S49</f>
        <v>0</v>
      </c>
      <c r="T652" s="112">
        <f>'WS8 - Expenditure Program'!T49</f>
        <v>0</v>
      </c>
      <c r="U652" s="242">
        <f>'WS8 - Expenditure Program'!U49</f>
        <v>0</v>
      </c>
      <c r="V652" s="3"/>
      <c r="W652" s="3"/>
      <c r="X652" s="3"/>
      <c r="Y652" s="3"/>
      <c r="Z652" s="3"/>
      <c r="AA652" s="3"/>
      <c r="AB652" s="3"/>
      <c r="AC652" s="3"/>
      <c r="AD652" s="3"/>
      <c r="AE652" s="3"/>
      <c r="AF652" s="3"/>
      <c r="AG652" s="3"/>
      <c r="AH652" s="3"/>
      <c r="AI652" s="3"/>
      <c r="AJ652" s="3"/>
    </row>
    <row r="653" spans="2:36" x14ac:dyDescent="0.2">
      <c r="B653" s="494">
        <f>'WS8 - Expenditure Program'!B50</f>
        <v>0</v>
      </c>
      <c r="C653" s="3"/>
      <c r="D653" s="3" t="str">
        <f>'WS8 - Expenditure Program'!D50</f>
        <v>$ nominal</v>
      </c>
      <c r="E653" s="54"/>
      <c r="F653" s="3"/>
      <c r="G653" s="3"/>
      <c r="H653" s="3"/>
      <c r="I653" s="3"/>
      <c r="J653" s="54"/>
      <c r="K653" s="112">
        <f>'WS8 - Expenditure Program'!K50</f>
        <v>0</v>
      </c>
      <c r="L653" s="112">
        <f>'WS8 - Expenditure Program'!L50</f>
        <v>0</v>
      </c>
      <c r="M653" s="112">
        <f>'WS8 - Expenditure Program'!M50</f>
        <v>0</v>
      </c>
      <c r="N653" s="112">
        <f>'WS8 - Expenditure Program'!N50</f>
        <v>0</v>
      </c>
      <c r="O653" s="112">
        <f>'WS8 - Expenditure Program'!O50</f>
        <v>0</v>
      </c>
      <c r="P653" s="112">
        <f>'WS8 - Expenditure Program'!P50</f>
        <v>0</v>
      </c>
      <c r="Q653" s="230">
        <f>'WS8 - Expenditure Program'!Q50</f>
        <v>0</v>
      </c>
      <c r="R653" s="112">
        <f>'WS8 - Expenditure Program'!R50</f>
        <v>0</v>
      </c>
      <c r="S653" s="112">
        <f>'WS8 - Expenditure Program'!S50</f>
        <v>0</v>
      </c>
      <c r="T653" s="112">
        <f>'WS8 - Expenditure Program'!T50</f>
        <v>0</v>
      </c>
      <c r="U653" s="242">
        <f>'WS8 - Expenditure Program'!U50</f>
        <v>0</v>
      </c>
      <c r="V653" s="3"/>
      <c r="W653" s="3"/>
      <c r="X653" s="3"/>
      <c r="Y653" s="3"/>
      <c r="Z653" s="3"/>
      <c r="AA653" s="3"/>
      <c r="AB653" s="3"/>
      <c r="AC653" s="3"/>
      <c r="AD653" s="3"/>
      <c r="AE653" s="3"/>
      <c r="AF653" s="3"/>
      <c r="AG653" s="3"/>
      <c r="AH653" s="3"/>
      <c r="AI653" s="3"/>
      <c r="AJ653" s="3"/>
    </row>
    <row r="654" spans="2:36" x14ac:dyDescent="0.2">
      <c r="B654" s="494">
        <f>'WS8 - Expenditure Program'!B51</f>
        <v>0</v>
      </c>
      <c r="C654" s="3"/>
      <c r="D654" s="3" t="str">
        <f>'WS8 - Expenditure Program'!D51</f>
        <v>$ nominal</v>
      </c>
      <c r="E654" s="54"/>
      <c r="F654" s="3"/>
      <c r="G654" s="3"/>
      <c r="H654" s="3"/>
      <c r="I654" s="3"/>
      <c r="J654" s="54"/>
      <c r="K654" s="112">
        <f>'WS8 - Expenditure Program'!K51</f>
        <v>0</v>
      </c>
      <c r="L654" s="112">
        <f>'WS8 - Expenditure Program'!L51</f>
        <v>0</v>
      </c>
      <c r="M654" s="112">
        <f>'WS8 - Expenditure Program'!M51</f>
        <v>0</v>
      </c>
      <c r="N654" s="112">
        <f>'WS8 - Expenditure Program'!N51</f>
        <v>0</v>
      </c>
      <c r="O654" s="112">
        <f>'WS8 - Expenditure Program'!O51</f>
        <v>0</v>
      </c>
      <c r="P654" s="112">
        <f>'WS8 - Expenditure Program'!P51</f>
        <v>0</v>
      </c>
      <c r="Q654" s="230">
        <f>'WS8 - Expenditure Program'!Q51</f>
        <v>0</v>
      </c>
      <c r="R654" s="112">
        <f>'WS8 - Expenditure Program'!R51</f>
        <v>0</v>
      </c>
      <c r="S654" s="112">
        <f>'WS8 - Expenditure Program'!S51</f>
        <v>0</v>
      </c>
      <c r="T654" s="112">
        <f>'WS8 - Expenditure Program'!T51</f>
        <v>0</v>
      </c>
      <c r="U654" s="242">
        <f>'WS8 - Expenditure Program'!U51</f>
        <v>0</v>
      </c>
      <c r="V654" s="3"/>
      <c r="W654" s="3"/>
      <c r="X654" s="3"/>
      <c r="Y654" s="3"/>
      <c r="Z654" s="3"/>
      <c r="AA654" s="3"/>
      <c r="AB654" s="3"/>
      <c r="AC654" s="3"/>
      <c r="AD654" s="3"/>
      <c r="AE654" s="3"/>
      <c r="AF654" s="3"/>
      <c r="AG654" s="3"/>
      <c r="AH654" s="3"/>
      <c r="AI654" s="3"/>
      <c r="AJ654" s="3"/>
    </row>
    <row r="655" spans="2:36" x14ac:dyDescent="0.2">
      <c r="B655" s="494">
        <f>'WS8 - Expenditure Program'!B52</f>
        <v>0</v>
      </c>
      <c r="C655" s="3"/>
      <c r="D655" s="3" t="str">
        <f>'WS8 - Expenditure Program'!D52</f>
        <v>$ nominal</v>
      </c>
      <c r="E655" s="54"/>
      <c r="F655" s="3"/>
      <c r="G655" s="3"/>
      <c r="H655" s="3"/>
      <c r="I655" s="3"/>
      <c r="J655" s="54"/>
      <c r="K655" s="112">
        <f>'WS8 - Expenditure Program'!K52</f>
        <v>0</v>
      </c>
      <c r="L655" s="112">
        <f>'WS8 - Expenditure Program'!L52</f>
        <v>0</v>
      </c>
      <c r="M655" s="112">
        <f>'WS8 - Expenditure Program'!M52</f>
        <v>0</v>
      </c>
      <c r="N655" s="112">
        <f>'WS8 - Expenditure Program'!N52</f>
        <v>0</v>
      </c>
      <c r="O655" s="112">
        <f>'WS8 - Expenditure Program'!O52</f>
        <v>0</v>
      </c>
      <c r="P655" s="112">
        <f>'WS8 - Expenditure Program'!P52</f>
        <v>0</v>
      </c>
      <c r="Q655" s="230">
        <f>'WS8 - Expenditure Program'!Q52</f>
        <v>0</v>
      </c>
      <c r="R655" s="112">
        <f>'WS8 - Expenditure Program'!R52</f>
        <v>0</v>
      </c>
      <c r="S655" s="112">
        <f>'WS8 - Expenditure Program'!S52</f>
        <v>0</v>
      </c>
      <c r="T655" s="112">
        <f>'WS8 - Expenditure Program'!T52</f>
        <v>0</v>
      </c>
      <c r="U655" s="242">
        <f>'WS8 - Expenditure Program'!U52</f>
        <v>0</v>
      </c>
      <c r="V655" s="3"/>
      <c r="W655" s="3"/>
      <c r="X655" s="3"/>
      <c r="Y655" s="3"/>
      <c r="Z655" s="3"/>
      <c r="AA655" s="3"/>
      <c r="AB655" s="3"/>
      <c r="AC655" s="3"/>
      <c r="AD655" s="3"/>
      <c r="AE655" s="3"/>
      <c r="AF655" s="3"/>
      <c r="AG655" s="3"/>
      <c r="AH655" s="3"/>
      <c r="AI655" s="3"/>
      <c r="AJ655" s="3"/>
    </row>
    <row r="656" spans="2:36" x14ac:dyDescent="0.2">
      <c r="B656" s="494">
        <f>'WS8 - Expenditure Program'!B53</f>
        <v>0</v>
      </c>
      <c r="C656" s="3"/>
      <c r="D656" s="3" t="str">
        <f>'WS8 - Expenditure Program'!D53</f>
        <v>$ nominal</v>
      </c>
      <c r="E656" s="54"/>
      <c r="F656" s="3"/>
      <c r="G656" s="3"/>
      <c r="H656" s="3"/>
      <c r="I656" s="3"/>
      <c r="J656" s="54"/>
      <c r="K656" s="112">
        <f>'WS8 - Expenditure Program'!K53</f>
        <v>0</v>
      </c>
      <c r="L656" s="112">
        <f>'WS8 - Expenditure Program'!L53</f>
        <v>0</v>
      </c>
      <c r="M656" s="112">
        <f>'WS8 - Expenditure Program'!M53</f>
        <v>0</v>
      </c>
      <c r="N656" s="112">
        <f>'WS8 - Expenditure Program'!N53</f>
        <v>0</v>
      </c>
      <c r="O656" s="112">
        <f>'WS8 - Expenditure Program'!O53</f>
        <v>0</v>
      </c>
      <c r="P656" s="112">
        <f>'WS8 - Expenditure Program'!P53</f>
        <v>0</v>
      </c>
      <c r="Q656" s="230">
        <f>'WS8 - Expenditure Program'!Q53</f>
        <v>0</v>
      </c>
      <c r="R656" s="112">
        <f>'WS8 - Expenditure Program'!R53</f>
        <v>0</v>
      </c>
      <c r="S656" s="112">
        <f>'WS8 - Expenditure Program'!S53</f>
        <v>0</v>
      </c>
      <c r="T656" s="112">
        <f>'WS8 - Expenditure Program'!T53</f>
        <v>0</v>
      </c>
      <c r="U656" s="242">
        <f>'WS8 - Expenditure Program'!U53</f>
        <v>0</v>
      </c>
      <c r="V656" s="3"/>
      <c r="W656" s="3"/>
      <c r="X656" s="3"/>
      <c r="Y656" s="3"/>
      <c r="Z656" s="3"/>
      <c r="AA656" s="3"/>
      <c r="AB656" s="3"/>
      <c r="AC656" s="3"/>
      <c r="AD656" s="3"/>
      <c r="AE656" s="3"/>
      <c r="AF656" s="3"/>
      <c r="AG656" s="3"/>
      <c r="AH656" s="3"/>
      <c r="AI656" s="3"/>
      <c r="AJ656" s="3"/>
    </row>
    <row r="657" spans="2:36" x14ac:dyDescent="0.2">
      <c r="B657" s="267" t="str">
        <f>'WS8 - Expenditure Program'!B54</f>
        <v>Fund new/enhanced service levels (eg, sustainability program)</v>
      </c>
      <c r="C657" s="3"/>
      <c r="D657" s="3"/>
      <c r="E657" s="54"/>
      <c r="F657" s="3"/>
      <c r="G657" s="3"/>
      <c r="H657" s="3"/>
      <c r="I657" s="3"/>
      <c r="J657" s="54"/>
      <c r="K657" s="112"/>
      <c r="L657" s="112"/>
      <c r="M657" s="112"/>
      <c r="N657" s="112"/>
      <c r="O657" s="112"/>
      <c r="P657" s="112"/>
      <c r="Q657" s="230"/>
      <c r="R657" s="112"/>
      <c r="S657" s="112"/>
      <c r="T657" s="230"/>
      <c r="U657" s="242"/>
      <c r="V657" s="3"/>
      <c r="W657" s="3"/>
      <c r="X657" s="3"/>
      <c r="Y657" s="3"/>
      <c r="Z657" s="3"/>
      <c r="AA657" s="3"/>
      <c r="AB657" s="3"/>
      <c r="AC657" s="3"/>
      <c r="AD657" s="3"/>
      <c r="AE657" s="3"/>
      <c r="AF657" s="3"/>
      <c r="AG657" s="3"/>
      <c r="AH657" s="3"/>
      <c r="AI657" s="3"/>
      <c r="AJ657" s="3"/>
    </row>
    <row r="658" spans="2:36" x14ac:dyDescent="0.2">
      <c r="B658" s="494" t="str">
        <f>'WS8 - Expenditure Program'!B55</f>
        <v>Public area maintenance and urban tree canopy</v>
      </c>
      <c r="C658" s="3"/>
      <c r="D658" s="3" t="str">
        <f>'WS8 - Expenditure Program'!D55</f>
        <v>$ nominal</v>
      </c>
      <c r="E658" s="54"/>
      <c r="F658" s="3"/>
      <c r="G658" s="3"/>
      <c r="H658" s="3"/>
      <c r="I658" s="3"/>
      <c r="J658" s="54"/>
      <c r="K658" s="112">
        <f>'WS8 - Expenditure Program'!K55</f>
        <v>2000000</v>
      </c>
      <c r="L658" s="112">
        <f>'WS8 - Expenditure Program'!L55</f>
        <v>2060000</v>
      </c>
      <c r="M658" s="112">
        <f>'WS8 - Expenditure Program'!M55</f>
        <v>2121800</v>
      </c>
      <c r="N658" s="112">
        <f>'WS8 - Expenditure Program'!N55</f>
        <v>2185454</v>
      </c>
      <c r="O658" s="112">
        <f>'WS8 - Expenditure Program'!O55</f>
        <v>2251017.62</v>
      </c>
      <c r="P658" s="112">
        <f>'WS8 - Expenditure Program'!P55</f>
        <v>2318548.1486</v>
      </c>
      <c r="Q658" s="230">
        <f>'WS8 - Expenditure Program'!Q55</f>
        <v>2388104.5930579999</v>
      </c>
      <c r="R658" s="112">
        <f>'WS8 - Expenditure Program'!R55</f>
        <v>2459747.7308497401</v>
      </c>
      <c r="S658" s="112">
        <f>'WS8 - Expenditure Program'!S55</f>
        <v>2533540.1627752325</v>
      </c>
      <c r="T658" s="112">
        <f>'WS8 - Expenditure Program'!T55</f>
        <v>2609546.3676584894</v>
      </c>
      <c r="U658" s="242">
        <f>'WS8 - Expenditure Program'!U55</f>
        <v>22927758.622941464</v>
      </c>
      <c r="V658" s="3"/>
      <c r="W658" s="3"/>
      <c r="X658" s="3"/>
      <c r="Y658" s="3"/>
      <c r="Z658" s="3"/>
      <c r="AA658" s="3"/>
      <c r="AB658" s="3"/>
      <c r="AC658" s="3"/>
      <c r="AD658" s="3"/>
      <c r="AE658" s="3"/>
      <c r="AF658" s="3"/>
      <c r="AG658" s="3"/>
      <c r="AH658" s="3"/>
      <c r="AI658" s="3"/>
      <c r="AJ658" s="3"/>
    </row>
    <row r="659" spans="2:36" x14ac:dyDescent="0.2">
      <c r="B659" s="494">
        <f>'WS8 - Expenditure Program'!B56</f>
        <v>0</v>
      </c>
      <c r="C659" s="3"/>
      <c r="D659" s="3" t="str">
        <f>'WS8 - Expenditure Program'!D56</f>
        <v>$ nominal</v>
      </c>
      <c r="E659" s="54"/>
      <c r="F659" s="3"/>
      <c r="G659" s="3"/>
      <c r="H659" s="3"/>
      <c r="I659" s="3"/>
      <c r="J659" s="54"/>
      <c r="K659" s="112">
        <f>'WS8 - Expenditure Program'!K56</f>
        <v>0</v>
      </c>
      <c r="L659" s="112">
        <f>'WS8 - Expenditure Program'!L56</f>
        <v>0</v>
      </c>
      <c r="M659" s="112">
        <f>'WS8 - Expenditure Program'!M56</f>
        <v>0</v>
      </c>
      <c r="N659" s="112">
        <f>'WS8 - Expenditure Program'!N56</f>
        <v>0</v>
      </c>
      <c r="O659" s="112">
        <f>'WS8 - Expenditure Program'!O56</f>
        <v>0</v>
      </c>
      <c r="P659" s="112">
        <f>'WS8 - Expenditure Program'!P56</f>
        <v>0</v>
      </c>
      <c r="Q659" s="230">
        <f>'WS8 - Expenditure Program'!Q56</f>
        <v>0</v>
      </c>
      <c r="R659" s="112">
        <f>'WS8 - Expenditure Program'!R56</f>
        <v>0</v>
      </c>
      <c r="S659" s="112">
        <f>'WS8 - Expenditure Program'!S56</f>
        <v>0</v>
      </c>
      <c r="T659" s="112">
        <f>'WS8 - Expenditure Program'!T56</f>
        <v>0</v>
      </c>
      <c r="U659" s="242">
        <f>'WS8 - Expenditure Program'!U56</f>
        <v>0</v>
      </c>
      <c r="V659" s="3"/>
      <c r="W659" s="3"/>
      <c r="X659" s="3"/>
      <c r="Y659" s="3"/>
      <c r="Z659" s="3"/>
      <c r="AA659" s="3"/>
      <c r="AB659" s="3"/>
      <c r="AC659" s="3"/>
      <c r="AD659" s="3"/>
      <c r="AE659" s="3"/>
      <c r="AF659" s="3"/>
      <c r="AG659" s="3"/>
      <c r="AH659" s="3"/>
      <c r="AI659" s="3"/>
      <c r="AJ659" s="3"/>
    </row>
    <row r="660" spans="2:36" x14ac:dyDescent="0.2">
      <c r="B660" s="494">
        <f>'WS8 - Expenditure Program'!B57</f>
        <v>0</v>
      </c>
      <c r="C660" s="3"/>
      <c r="D660" s="3" t="str">
        <f>'WS8 - Expenditure Program'!D57</f>
        <v>$ nominal</v>
      </c>
      <c r="E660" s="54"/>
      <c r="F660" s="3"/>
      <c r="G660" s="3"/>
      <c r="H660" s="3"/>
      <c r="I660" s="3"/>
      <c r="J660" s="54"/>
      <c r="K660" s="112">
        <f>'WS8 - Expenditure Program'!K57</f>
        <v>0</v>
      </c>
      <c r="L660" s="112">
        <f>'WS8 - Expenditure Program'!L57</f>
        <v>0</v>
      </c>
      <c r="M660" s="112">
        <f>'WS8 - Expenditure Program'!M57</f>
        <v>0</v>
      </c>
      <c r="N660" s="112">
        <f>'WS8 - Expenditure Program'!N57</f>
        <v>0</v>
      </c>
      <c r="O660" s="112">
        <f>'WS8 - Expenditure Program'!O57</f>
        <v>0</v>
      </c>
      <c r="P660" s="112">
        <f>'WS8 - Expenditure Program'!P57</f>
        <v>0</v>
      </c>
      <c r="Q660" s="230">
        <f>'WS8 - Expenditure Program'!Q57</f>
        <v>0</v>
      </c>
      <c r="R660" s="112">
        <f>'WS8 - Expenditure Program'!R57</f>
        <v>0</v>
      </c>
      <c r="S660" s="112">
        <f>'WS8 - Expenditure Program'!S57</f>
        <v>0</v>
      </c>
      <c r="T660" s="112">
        <f>'WS8 - Expenditure Program'!T57</f>
        <v>0</v>
      </c>
      <c r="U660" s="242">
        <f>'WS8 - Expenditure Program'!U57</f>
        <v>0</v>
      </c>
      <c r="V660" s="3"/>
      <c r="W660" s="3"/>
      <c r="X660" s="3"/>
      <c r="Y660" s="3"/>
      <c r="Z660" s="3"/>
      <c r="AA660" s="3"/>
      <c r="AB660" s="3"/>
      <c r="AC660" s="3"/>
      <c r="AD660" s="3"/>
      <c r="AE660" s="3"/>
      <c r="AF660" s="3"/>
      <c r="AG660" s="3"/>
      <c r="AH660" s="3"/>
      <c r="AI660" s="3"/>
      <c r="AJ660" s="3"/>
    </row>
    <row r="661" spans="2:36" x14ac:dyDescent="0.2">
      <c r="B661" s="494">
        <f>'WS8 - Expenditure Program'!B58</f>
        <v>0</v>
      </c>
      <c r="C661" s="3"/>
      <c r="D661" s="3" t="str">
        <f>'WS8 - Expenditure Program'!D58</f>
        <v>$ nominal</v>
      </c>
      <c r="E661" s="54"/>
      <c r="F661" s="3"/>
      <c r="G661" s="3"/>
      <c r="H661" s="3"/>
      <c r="I661" s="3"/>
      <c r="J661" s="54"/>
      <c r="K661" s="112">
        <f>'WS8 - Expenditure Program'!K58</f>
        <v>0</v>
      </c>
      <c r="L661" s="112">
        <f>'WS8 - Expenditure Program'!L58</f>
        <v>0</v>
      </c>
      <c r="M661" s="112">
        <f>'WS8 - Expenditure Program'!M58</f>
        <v>0</v>
      </c>
      <c r="N661" s="112">
        <f>'WS8 - Expenditure Program'!N58</f>
        <v>0</v>
      </c>
      <c r="O661" s="112">
        <f>'WS8 - Expenditure Program'!O58</f>
        <v>0</v>
      </c>
      <c r="P661" s="112">
        <f>'WS8 - Expenditure Program'!P58</f>
        <v>0</v>
      </c>
      <c r="Q661" s="230">
        <f>'WS8 - Expenditure Program'!Q58</f>
        <v>0</v>
      </c>
      <c r="R661" s="112">
        <f>'WS8 - Expenditure Program'!R58</f>
        <v>0</v>
      </c>
      <c r="S661" s="112">
        <f>'WS8 - Expenditure Program'!S58</f>
        <v>0</v>
      </c>
      <c r="T661" s="112">
        <f>'WS8 - Expenditure Program'!T58</f>
        <v>0</v>
      </c>
      <c r="U661" s="242">
        <f>'WS8 - Expenditure Program'!U58</f>
        <v>0</v>
      </c>
      <c r="V661" s="3"/>
      <c r="W661" s="3"/>
      <c r="X661" s="3"/>
      <c r="Y661" s="3"/>
      <c r="Z661" s="3"/>
      <c r="AA661" s="3"/>
      <c r="AB661" s="3"/>
      <c r="AC661" s="3"/>
      <c r="AD661" s="3"/>
      <c r="AE661" s="3"/>
      <c r="AF661" s="3"/>
      <c r="AG661" s="3"/>
      <c r="AH661" s="3"/>
      <c r="AI661" s="3"/>
      <c r="AJ661" s="3"/>
    </row>
    <row r="662" spans="2:36" x14ac:dyDescent="0.2">
      <c r="B662" s="494">
        <f>'WS8 - Expenditure Program'!B59</f>
        <v>0</v>
      </c>
      <c r="C662" s="3"/>
      <c r="D662" s="3" t="str">
        <f>'WS8 - Expenditure Program'!D59</f>
        <v>$ nominal</v>
      </c>
      <c r="E662" s="54"/>
      <c r="F662" s="3"/>
      <c r="G662" s="3"/>
      <c r="H662" s="3"/>
      <c r="I662" s="3"/>
      <c r="J662" s="54"/>
      <c r="K662" s="112">
        <f>'WS8 - Expenditure Program'!K59</f>
        <v>0</v>
      </c>
      <c r="L662" s="112">
        <f>'WS8 - Expenditure Program'!L59</f>
        <v>0</v>
      </c>
      <c r="M662" s="112">
        <f>'WS8 - Expenditure Program'!M59</f>
        <v>0</v>
      </c>
      <c r="N662" s="112">
        <f>'WS8 - Expenditure Program'!N59</f>
        <v>0</v>
      </c>
      <c r="O662" s="112">
        <f>'WS8 - Expenditure Program'!O59</f>
        <v>0</v>
      </c>
      <c r="P662" s="112">
        <f>'WS8 - Expenditure Program'!P59</f>
        <v>0</v>
      </c>
      <c r="Q662" s="230">
        <f>'WS8 - Expenditure Program'!Q59</f>
        <v>0</v>
      </c>
      <c r="R662" s="112">
        <f>'WS8 - Expenditure Program'!R59</f>
        <v>0</v>
      </c>
      <c r="S662" s="112">
        <f>'WS8 - Expenditure Program'!S59</f>
        <v>0</v>
      </c>
      <c r="T662" s="112">
        <f>'WS8 - Expenditure Program'!T59</f>
        <v>0</v>
      </c>
      <c r="U662" s="242">
        <f>'WS8 - Expenditure Program'!U59</f>
        <v>0</v>
      </c>
      <c r="V662" s="3"/>
      <c r="W662" s="3"/>
      <c r="X662" s="3"/>
      <c r="Y662" s="3"/>
      <c r="Z662" s="3"/>
      <c r="AA662" s="3"/>
      <c r="AB662" s="3"/>
      <c r="AC662" s="3"/>
      <c r="AD662" s="3"/>
      <c r="AE662" s="3"/>
      <c r="AF662" s="3"/>
      <c r="AG662" s="3"/>
      <c r="AH662" s="3"/>
      <c r="AI662" s="3"/>
      <c r="AJ662" s="3"/>
    </row>
    <row r="663" spans="2:36" x14ac:dyDescent="0.2">
      <c r="B663" s="494">
        <f>'WS8 - Expenditure Program'!B60</f>
        <v>0</v>
      </c>
      <c r="C663" s="3"/>
      <c r="D663" s="3" t="str">
        <f>'WS8 - Expenditure Program'!D60</f>
        <v>$ nominal</v>
      </c>
      <c r="E663" s="54"/>
      <c r="F663" s="3"/>
      <c r="G663" s="3"/>
      <c r="H663" s="3"/>
      <c r="I663" s="3"/>
      <c r="J663" s="54"/>
      <c r="K663" s="112">
        <f>'WS8 - Expenditure Program'!K60</f>
        <v>0</v>
      </c>
      <c r="L663" s="112">
        <f>'WS8 - Expenditure Program'!L60</f>
        <v>0</v>
      </c>
      <c r="M663" s="112">
        <f>'WS8 - Expenditure Program'!M60</f>
        <v>0</v>
      </c>
      <c r="N663" s="112">
        <f>'WS8 - Expenditure Program'!N60</f>
        <v>0</v>
      </c>
      <c r="O663" s="112">
        <f>'WS8 - Expenditure Program'!O60</f>
        <v>0</v>
      </c>
      <c r="P663" s="112">
        <f>'WS8 - Expenditure Program'!P60</f>
        <v>0</v>
      </c>
      <c r="Q663" s="230">
        <f>'WS8 - Expenditure Program'!Q60</f>
        <v>0</v>
      </c>
      <c r="R663" s="112">
        <f>'WS8 - Expenditure Program'!R60</f>
        <v>0</v>
      </c>
      <c r="S663" s="112">
        <f>'WS8 - Expenditure Program'!S60</f>
        <v>0</v>
      </c>
      <c r="T663" s="112">
        <f>'WS8 - Expenditure Program'!T60</f>
        <v>0</v>
      </c>
      <c r="U663" s="242">
        <f>'WS8 - Expenditure Program'!U60</f>
        <v>0</v>
      </c>
      <c r="V663" s="3"/>
      <c r="W663" s="3"/>
      <c r="X663" s="3"/>
      <c r="Y663" s="3"/>
      <c r="Z663" s="3"/>
      <c r="AA663" s="3"/>
      <c r="AB663" s="3"/>
      <c r="AC663" s="3"/>
      <c r="AD663" s="3"/>
      <c r="AE663" s="3"/>
      <c r="AF663" s="3"/>
      <c r="AG663" s="3"/>
      <c r="AH663" s="3"/>
      <c r="AI663" s="3"/>
      <c r="AJ663" s="3"/>
    </row>
    <row r="664" spans="2:36" x14ac:dyDescent="0.2">
      <c r="B664" s="494">
        <f>'WS8 - Expenditure Program'!B61</f>
        <v>0</v>
      </c>
      <c r="C664" s="3"/>
      <c r="D664" s="3" t="str">
        <f>'WS8 - Expenditure Program'!D61</f>
        <v>$ nominal</v>
      </c>
      <c r="E664" s="54"/>
      <c r="F664" s="3"/>
      <c r="G664" s="3"/>
      <c r="H664" s="3"/>
      <c r="I664" s="3"/>
      <c r="J664" s="54"/>
      <c r="K664" s="112">
        <f>'WS8 - Expenditure Program'!K61</f>
        <v>0</v>
      </c>
      <c r="L664" s="112">
        <f>'WS8 - Expenditure Program'!L61</f>
        <v>0</v>
      </c>
      <c r="M664" s="112">
        <f>'WS8 - Expenditure Program'!M61</f>
        <v>0</v>
      </c>
      <c r="N664" s="112">
        <f>'WS8 - Expenditure Program'!N61</f>
        <v>0</v>
      </c>
      <c r="O664" s="112">
        <f>'WS8 - Expenditure Program'!O61</f>
        <v>0</v>
      </c>
      <c r="P664" s="112">
        <f>'WS8 - Expenditure Program'!P61</f>
        <v>0</v>
      </c>
      <c r="Q664" s="230">
        <f>'WS8 - Expenditure Program'!Q61</f>
        <v>0</v>
      </c>
      <c r="R664" s="112">
        <f>'WS8 - Expenditure Program'!R61</f>
        <v>0</v>
      </c>
      <c r="S664" s="112">
        <f>'WS8 - Expenditure Program'!S61</f>
        <v>0</v>
      </c>
      <c r="T664" s="112">
        <f>'WS8 - Expenditure Program'!T61</f>
        <v>0</v>
      </c>
      <c r="U664" s="242">
        <f>'WS8 - Expenditure Program'!U61</f>
        <v>0</v>
      </c>
      <c r="V664" s="3"/>
      <c r="W664" s="3"/>
      <c r="X664" s="3"/>
      <c r="Y664" s="3"/>
      <c r="Z664" s="3"/>
      <c r="AA664" s="3"/>
      <c r="AB664" s="3"/>
      <c r="AC664" s="3"/>
      <c r="AD664" s="3"/>
      <c r="AE664" s="3"/>
      <c r="AF664" s="3"/>
      <c r="AG664" s="3"/>
      <c r="AH664" s="3"/>
      <c r="AI664" s="3"/>
      <c r="AJ664" s="3"/>
    </row>
    <row r="665" spans="2:36" x14ac:dyDescent="0.2">
      <c r="B665" s="494">
        <f>'WS8 - Expenditure Program'!B62</f>
        <v>0</v>
      </c>
      <c r="C665" s="3"/>
      <c r="D665" s="3" t="str">
        <f>'WS8 - Expenditure Program'!D62</f>
        <v>$ nominal</v>
      </c>
      <c r="E665" s="54"/>
      <c r="F665" s="3"/>
      <c r="G665" s="3"/>
      <c r="H665" s="3"/>
      <c r="I665" s="3"/>
      <c r="J665" s="54"/>
      <c r="K665" s="112">
        <f>'WS8 - Expenditure Program'!K62</f>
        <v>0</v>
      </c>
      <c r="L665" s="112">
        <f>'WS8 - Expenditure Program'!L62</f>
        <v>0</v>
      </c>
      <c r="M665" s="112">
        <f>'WS8 - Expenditure Program'!M62</f>
        <v>0</v>
      </c>
      <c r="N665" s="112">
        <f>'WS8 - Expenditure Program'!N62</f>
        <v>0</v>
      </c>
      <c r="O665" s="112">
        <f>'WS8 - Expenditure Program'!O62</f>
        <v>0</v>
      </c>
      <c r="P665" s="112">
        <f>'WS8 - Expenditure Program'!P62</f>
        <v>0</v>
      </c>
      <c r="Q665" s="230">
        <f>'WS8 - Expenditure Program'!Q62</f>
        <v>0</v>
      </c>
      <c r="R665" s="112">
        <f>'WS8 - Expenditure Program'!R62</f>
        <v>0</v>
      </c>
      <c r="S665" s="112">
        <f>'WS8 - Expenditure Program'!S62</f>
        <v>0</v>
      </c>
      <c r="T665" s="112">
        <f>'WS8 - Expenditure Program'!T62</f>
        <v>0</v>
      </c>
      <c r="U665" s="242">
        <f>'WS8 - Expenditure Program'!U62</f>
        <v>0</v>
      </c>
      <c r="V665" s="3"/>
      <c r="W665" s="3"/>
      <c r="X665" s="3"/>
      <c r="Y665" s="3"/>
      <c r="Z665" s="3"/>
      <c r="AA665" s="3"/>
      <c r="AB665" s="3"/>
      <c r="AC665" s="3"/>
      <c r="AD665" s="3"/>
      <c r="AE665" s="3"/>
      <c r="AF665" s="3"/>
      <c r="AG665" s="3"/>
      <c r="AH665" s="3"/>
      <c r="AI665" s="3"/>
      <c r="AJ665" s="3"/>
    </row>
    <row r="666" spans="2:36" x14ac:dyDescent="0.2">
      <c r="B666" s="494">
        <f>'WS8 - Expenditure Program'!B63</f>
        <v>0</v>
      </c>
      <c r="C666" s="3"/>
      <c r="D666" s="3" t="str">
        <f>'WS8 - Expenditure Program'!D63</f>
        <v>$ nominal</v>
      </c>
      <c r="E666" s="54"/>
      <c r="F666" s="3"/>
      <c r="G666" s="3"/>
      <c r="H666" s="3"/>
      <c r="I666" s="3"/>
      <c r="J666" s="54"/>
      <c r="K666" s="112">
        <f>'WS8 - Expenditure Program'!K63</f>
        <v>0</v>
      </c>
      <c r="L666" s="112">
        <f>'WS8 - Expenditure Program'!L63</f>
        <v>0</v>
      </c>
      <c r="M666" s="112">
        <f>'WS8 - Expenditure Program'!M63</f>
        <v>0</v>
      </c>
      <c r="N666" s="112">
        <f>'WS8 - Expenditure Program'!N63</f>
        <v>0</v>
      </c>
      <c r="O666" s="112">
        <f>'WS8 - Expenditure Program'!O63</f>
        <v>0</v>
      </c>
      <c r="P666" s="112">
        <f>'WS8 - Expenditure Program'!P63</f>
        <v>0</v>
      </c>
      <c r="Q666" s="230">
        <f>'WS8 - Expenditure Program'!Q63</f>
        <v>0</v>
      </c>
      <c r="R666" s="112">
        <f>'WS8 - Expenditure Program'!R63</f>
        <v>0</v>
      </c>
      <c r="S666" s="112">
        <f>'WS8 - Expenditure Program'!S63</f>
        <v>0</v>
      </c>
      <c r="T666" s="112">
        <f>'WS8 - Expenditure Program'!T63</f>
        <v>0</v>
      </c>
      <c r="U666" s="242">
        <f>'WS8 - Expenditure Program'!U63</f>
        <v>0</v>
      </c>
      <c r="V666" s="3"/>
      <c r="W666" s="3"/>
      <c r="X666" s="3"/>
      <c r="Y666" s="3"/>
      <c r="Z666" s="3"/>
      <c r="AA666" s="3"/>
      <c r="AB666" s="3"/>
      <c r="AC666" s="3"/>
      <c r="AD666" s="3"/>
      <c r="AE666" s="3"/>
      <c r="AF666" s="3"/>
      <c r="AG666" s="3"/>
      <c r="AH666" s="3"/>
      <c r="AI666" s="3"/>
      <c r="AJ666" s="3"/>
    </row>
    <row r="667" spans="2:36" x14ac:dyDescent="0.2">
      <c r="B667" s="494">
        <f>'WS8 - Expenditure Program'!B64</f>
        <v>0</v>
      </c>
      <c r="C667" s="3"/>
      <c r="D667" s="3" t="str">
        <f>'WS8 - Expenditure Program'!D64</f>
        <v>$ nominal</v>
      </c>
      <c r="E667" s="54"/>
      <c r="F667" s="3"/>
      <c r="G667" s="3"/>
      <c r="H667" s="3"/>
      <c r="I667" s="3"/>
      <c r="J667" s="54"/>
      <c r="K667" s="112">
        <f>'WS8 - Expenditure Program'!K64</f>
        <v>0</v>
      </c>
      <c r="L667" s="112">
        <f>'WS8 - Expenditure Program'!L64</f>
        <v>0</v>
      </c>
      <c r="M667" s="112">
        <f>'WS8 - Expenditure Program'!M64</f>
        <v>0</v>
      </c>
      <c r="N667" s="112">
        <f>'WS8 - Expenditure Program'!N64</f>
        <v>0</v>
      </c>
      <c r="O667" s="112">
        <f>'WS8 - Expenditure Program'!O64</f>
        <v>0</v>
      </c>
      <c r="P667" s="112">
        <f>'WS8 - Expenditure Program'!P64</f>
        <v>0</v>
      </c>
      <c r="Q667" s="230">
        <f>'WS8 - Expenditure Program'!Q64</f>
        <v>0</v>
      </c>
      <c r="R667" s="112">
        <f>'WS8 - Expenditure Program'!R64</f>
        <v>0</v>
      </c>
      <c r="S667" s="112">
        <f>'WS8 - Expenditure Program'!S64</f>
        <v>0</v>
      </c>
      <c r="T667" s="112">
        <f>'WS8 - Expenditure Program'!T64</f>
        <v>0</v>
      </c>
      <c r="U667" s="242">
        <f>'WS8 - Expenditure Program'!U64</f>
        <v>0</v>
      </c>
      <c r="V667" s="3"/>
      <c r="W667" s="3"/>
      <c r="X667" s="3"/>
      <c r="Y667" s="3"/>
      <c r="Z667" s="3"/>
      <c r="AA667" s="3"/>
      <c r="AB667" s="3"/>
      <c r="AC667" s="3"/>
      <c r="AD667" s="3"/>
      <c r="AE667" s="3"/>
      <c r="AF667" s="3"/>
      <c r="AG667" s="3"/>
      <c r="AH667" s="3"/>
      <c r="AI667" s="3"/>
      <c r="AJ667" s="3"/>
    </row>
    <row r="668" spans="2:36" x14ac:dyDescent="0.2">
      <c r="B668" s="494">
        <f>'WS8 - Expenditure Program'!B65</f>
        <v>0</v>
      </c>
      <c r="C668" s="3"/>
      <c r="D668" s="3" t="str">
        <f>'WS8 - Expenditure Program'!D65</f>
        <v>$ nominal</v>
      </c>
      <c r="E668" s="54"/>
      <c r="F668" s="3"/>
      <c r="G668" s="3"/>
      <c r="H668" s="3"/>
      <c r="I668" s="3"/>
      <c r="J668" s="54"/>
      <c r="K668" s="112">
        <f>'WS8 - Expenditure Program'!K65</f>
        <v>0</v>
      </c>
      <c r="L668" s="112">
        <f>'WS8 - Expenditure Program'!L65</f>
        <v>0</v>
      </c>
      <c r="M668" s="112">
        <f>'WS8 - Expenditure Program'!M65</f>
        <v>0</v>
      </c>
      <c r="N668" s="112">
        <f>'WS8 - Expenditure Program'!N65</f>
        <v>0</v>
      </c>
      <c r="O668" s="112">
        <f>'WS8 - Expenditure Program'!O65</f>
        <v>0</v>
      </c>
      <c r="P668" s="112">
        <f>'WS8 - Expenditure Program'!P65</f>
        <v>0</v>
      </c>
      <c r="Q668" s="230">
        <f>'WS8 - Expenditure Program'!Q65</f>
        <v>0</v>
      </c>
      <c r="R668" s="112">
        <f>'WS8 - Expenditure Program'!R65</f>
        <v>0</v>
      </c>
      <c r="S668" s="112">
        <f>'WS8 - Expenditure Program'!S65</f>
        <v>0</v>
      </c>
      <c r="T668" s="112">
        <f>'WS8 - Expenditure Program'!T65</f>
        <v>0</v>
      </c>
      <c r="U668" s="242">
        <f>'WS8 - Expenditure Program'!U65</f>
        <v>0</v>
      </c>
      <c r="V668" s="3"/>
      <c r="W668" s="3"/>
      <c r="X668" s="3"/>
      <c r="Y668" s="3"/>
      <c r="Z668" s="3"/>
      <c r="AA668" s="3"/>
      <c r="AB668" s="3"/>
      <c r="AC668" s="3"/>
      <c r="AD668" s="3"/>
      <c r="AE668" s="3"/>
      <c r="AF668" s="3"/>
      <c r="AG668" s="3"/>
      <c r="AH668" s="3"/>
      <c r="AI668" s="3"/>
      <c r="AJ668" s="3"/>
    </row>
    <row r="669" spans="2:36" x14ac:dyDescent="0.2">
      <c r="B669" s="494">
        <f>'WS8 - Expenditure Program'!B66</f>
        <v>0</v>
      </c>
      <c r="C669" s="3"/>
      <c r="D669" s="3" t="str">
        <f>'WS8 - Expenditure Program'!D66</f>
        <v>$ nominal</v>
      </c>
      <c r="E669" s="54"/>
      <c r="F669" s="3"/>
      <c r="G669" s="3"/>
      <c r="H669" s="3"/>
      <c r="I669" s="3"/>
      <c r="J669" s="54"/>
      <c r="K669" s="112">
        <f>'WS8 - Expenditure Program'!K66</f>
        <v>0</v>
      </c>
      <c r="L669" s="112">
        <f>'WS8 - Expenditure Program'!L66</f>
        <v>0</v>
      </c>
      <c r="M669" s="112">
        <f>'WS8 - Expenditure Program'!M66</f>
        <v>0</v>
      </c>
      <c r="N669" s="112">
        <f>'WS8 - Expenditure Program'!N66</f>
        <v>0</v>
      </c>
      <c r="O669" s="112">
        <f>'WS8 - Expenditure Program'!O66</f>
        <v>0</v>
      </c>
      <c r="P669" s="112">
        <f>'WS8 - Expenditure Program'!P66</f>
        <v>0</v>
      </c>
      <c r="Q669" s="230">
        <f>'WS8 - Expenditure Program'!Q66</f>
        <v>0</v>
      </c>
      <c r="R669" s="112">
        <f>'WS8 - Expenditure Program'!R66</f>
        <v>0</v>
      </c>
      <c r="S669" s="112">
        <f>'WS8 - Expenditure Program'!S66</f>
        <v>0</v>
      </c>
      <c r="T669" s="112">
        <f>'WS8 - Expenditure Program'!T66</f>
        <v>0</v>
      </c>
      <c r="U669" s="242">
        <f>'WS8 - Expenditure Program'!U66</f>
        <v>0</v>
      </c>
      <c r="V669" s="3"/>
      <c r="W669" s="3"/>
      <c r="X669" s="3"/>
      <c r="Y669" s="3"/>
      <c r="Z669" s="3"/>
      <c r="AA669" s="3"/>
      <c r="AB669" s="3"/>
      <c r="AC669" s="3"/>
      <c r="AD669" s="3"/>
      <c r="AE669" s="3"/>
      <c r="AF669" s="3"/>
      <c r="AG669" s="3"/>
      <c r="AH669" s="3"/>
      <c r="AI669" s="3"/>
      <c r="AJ669" s="3"/>
    </row>
    <row r="670" spans="2:36" x14ac:dyDescent="0.2">
      <c r="B670" s="494">
        <f>'WS8 - Expenditure Program'!B67</f>
        <v>0</v>
      </c>
      <c r="C670" s="3"/>
      <c r="D670" s="3" t="str">
        <f>'WS8 - Expenditure Program'!D67</f>
        <v>$ nominal</v>
      </c>
      <c r="E670" s="54"/>
      <c r="F670" s="3"/>
      <c r="G670" s="3"/>
      <c r="H670" s="3"/>
      <c r="I670" s="3"/>
      <c r="J670" s="54"/>
      <c r="K670" s="112">
        <f>'WS8 - Expenditure Program'!K67</f>
        <v>0</v>
      </c>
      <c r="L670" s="112">
        <f>'WS8 - Expenditure Program'!L67</f>
        <v>0</v>
      </c>
      <c r="M670" s="112">
        <f>'WS8 - Expenditure Program'!M67</f>
        <v>0</v>
      </c>
      <c r="N670" s="112">
        <f>'WS8 - Expenditure Program'!N67</f>
        <v>0</v>
      </c>
      <c r="O670" s="112">
        <f>'WS8 - Expenditure Program'!O67</f>
        <v>0</v>
      </c>
      <c r="P670" s="112">
        <f>'WS8 - Expenditure Program'!P67</f>
        <v>0</v>
      </c>
      <c r="Q670" s="230">
        <f>'WS8 - Expenditure Program'!Q67</f>
        <v>0</v>
      </c>
      <c r="R670" s="112">
        <f>'WS8 - Expenditure Program'!R67</f>
        <v>0</v>
      </c>
      <c r="S670" s="112">
        <f>'WS8 - Expenditure Program'!S67</f>
        <v>0</v>
      </c>
      <c r="T670" s="112">
        <f>'WS8 - Expenditure Program'!T67</f>
        <v>0</v>
      </c>
      <c r="U670" s="242">
        <f>'WS8 - Expenditure Program'!U67</f>
        <v>0</v>
      </c>
      <c r="V670" s="3"/>
      <c r="W670" s="3"/>
      <c r="X670" s="3"/>
      <c r="Y670" s="3"/>
      <c r="Z670" s="3"/>
      <c r="AA670" s="3"/>
      <c r="AB670" s="3"/>
      <c r="AC670" s="3"/>
      <c r="AD670" s="3"/>
      <c r="AE670" s="3"/>
      <c r="AF670" s="3"/>
      <c r="AG670" s="3"/>
      <c r="AH670" s="3"/>
      <c r="AI670" s="3"/>
      <c r="AJ670" s="3"/>
    </row>
    <row r="671" spans="2:36" x14ac:dyDescent="0.2">
      <c r="B671" s="494">
        <f>'WS8 - Expenditure Program'!B68</f>
        <v>0</v>
      </c>
      <c r="C671" s="3"/>
      <c r="D671" s="3" t="str">
        <f>'WS8 - Expenditure Program'!D68</f>
        <v>$ nominal</v>
      </c>
      <c r="E671" s="54"/>
      <c r="F671" s="3"/>
      <c r="G671" s="3"/>
      <c r="H671" s="3"/>
      <c r="I671" s="3"/>
      <c r="J671" s="54"/>
      <c r="K671" s="112">
        <f>'WS8 - Expenditure Program'!K68</f>
        <v>0</v>
      </c>
      <c r="L671" s="112">
        <f>'WS8 - Expenditure Program'!L68</f>
        <v>0</v>
      </c>
      <c r="M671" s="112">
        <f>'WS8 - Expenditure Program'!M68</f>
        <v>0</v>
      </c>
      <c r="N671" s="112">
        <f>'WS8 - Expenditure Program'!N68</f>
        <v>0</v>
      </c>
      <c r="O671" s="112">
        <f>'WS8 - Expenditure Program'!O68</f>
        <v>0</v>
      </c>
      <c r="P671" s="112">
        <f>'WS8 - Expenditure Program'!P68</f>
        <v>0</v>
      </c>
      <c r="Q671" s="230">
        <f>'WS8 - Expenditure Program'!Q68</f>
        <v>0</v>
      </c>
      <c r="R671" s="112">
        <f>'WS8 - Expenditure Program'!R68</f>
        <v>0</v>
      </c>
      <c r="S671" s="112">
        <f>'WS8 - Expenditure Program'!S68</f>
        <v>0</v>
      </c>
      <c r="T671" s="112">
        <f>'WS8 - Expenditure Program'!T68</f>
        <v>0</v>
      </c>
      <c r="U671" s="242">
        <f>'WS8 - Expenditure Program'!U68</f>
        <v>0</v>
      </c>
      <c r="V671" s="3"/>
      <c r="W671" s="3"/>
      <c r="X671" s="3"/>
      <c r="Y671" s="3"/>
      <c r="Z671" s="3"/>
      <c r="AA671" s="3"/>
      <c r="AB671" s="3"/>
      <c r="AC671" s="3"/>
      <c r="AD671" s="3"/>
      <c r="AE671" s="3"/>
      <c r="AF671" s="3"/>
      <c r="AG671" s="3"/>
      <c r="AH671" s="3"/>
      <c r="AI671" s="3"/>
      <c r="AJ671" s="3"/>
    </row>
    <row r="672" spans="2:36" x14ac:dyDescent="0.2">
      <c r="B672" s="494">
        <f>'WS8 - Expenditure Program'!B69</f>
        <v>0</v>
      </c>
      <c r="C672" s="3"/>
      <c r="D672" s="3" t="str">
        <f>'WS8 - Expenditure Program'!D69</f>
        <v>$ nominal</v>
      </c>
      <c r="E672" s="54"/>
      <c r="F672" s="3"/>
      <c r="G672" s="3"/>
      <c r="H672" s="3"/>
      <c r="I672" s="3"/>
      <c r="J672" s="54"/>
      <c r="K672" s="112">
        <f>'WS8 - Expenditure Program'!K69</f>
        <v>0</v>
      </c>
      <c r="L672" s="112">
        <f>'WS8 - Expenditure Program'!L69</f>
        <v>0</v>
      </c>
      <c r="M672" s="112">
        <f>'WS8 - Expenditure Program'!M69</f>
        <v>0</v>
      </c>
      <c r="N672" s="112">
        <f>'WS8 - Expenditure Program'!N69</f>
        <v>0</v>
      </c>
      <c r="O672" s="112">
        <f>'WS8 - Expenditure Program'!O69</f>
        <v>0</v>
      </c>
      <c r="P672" s="112">
        <f>'WS8 - Expenditure Program'!P69</f>
        <v>0</v>
      </c>
      <c r="Q672" s="230">
        <f>'WS8 - Expenditure Program'!Q69</f>
        <v>0</v>
      </c>
      <c r="R672" s="112">
        <f>'WS8 - Expenditure Program'!R69</f>
        <v>0</v>
      </c>
      <c r="S672" s="112">
        <f>'WS8 - Expenditure Program'!S69</f>
        <v>0</v>
      </c>
      <c r="T672" s="112">
        <f>'WS8 - Expenditure Program'!T69</f>
        <v>0</v>
      </c>
      <c r="U672" s="242">
        <f>'WS8 - Expenditure Program'!U69</f>
        <v>0</v>
      </c>
      <c r="V672" s="3"/>
      <c r="W672" s="3"/>
      <c r="X672" s="3"/>
      <c r="Y672" s="3"/>
      <c r="Z672" s="3"/>
      <c r="AA672" s="3"/>
      <c r="AB672" s="3"/>
      <c r="AC672" s="3"/>
      <c r="AD672" s="3"/>
      <c r="AE672" s="3"/>
      <c r="AF672" s="3"/>
      <c r="AG672" s="3"/>
      <c r="AH672" s="3"/>
      <c r="AI672" s="3"/>
      <c r="AJ672" s="3"/>
    </row>
    <row r="673" spans="2:36" ht="12.75" thickBot="1" x14ac:dyDescent="0.25">
      <c r="B673" s="267" t="str">
        <f>'WS8 - Expenditure Program'!B70</f>
        <v>Annual total</v>
      </c>
      <c r="C673" s="3"/>
      <c r="D673" s="3"/>
      <c r="E673" s="54"/>
      <c r="F673" s="3"/>
      <c r="G673" s="3"/>
      <c r="H673" s="3"/>
      <c r="I673" s="3"/>
      <c r="J673" s="54"/>
      <c r="K673" s="339">
        <f>'WS8 - Expenditure Program'!K70</f>
        <v>2000000</v>
      </c>
      <c r="L673" s="339">
        <f>'WS8 - Expenditure Program'!L70</f>
        <v>2060000</v>
      </c>
      <c r="M673" s="339">
        <f>'WS8 - Expenditure Program'!M70</f>
        <v>2121800</v>
      </c>
      <c r="N673" s="339">
        <f>'WS8 - Expenditure Program'!N70</f>
        <v>2185454</v>
      </c>
      <c r="O673" s="339">
        <f>'WS8 - Expenditure Program'!O70</f>
        <v>2251017.62</v>
      </c>
      <c r="P673" s="339">
        <f>'WS8 - Expenditure Program'!P70</f>
        <v>2318548.1486</v>
      </c>
      <c r="Q673" s="341">
        <f>'WS8 - Expenditure Program'!Q70</f>
        <v>2388104.5930579999</v>
      </c>
      <c r="R673" s="339">
        <f>'WS8 - Expenditure Program'!R70</f>
        <v>2459747.7308497401</v>
      </c>
      <c r="S673" s="339">
        <f>'WS8 - Expenditure Program'!S70</f>
        <v>2533540.1627752325</v>
      </c>
      <c r="T673" s="339">
        <f>'WS8 - Expenditure Program'!T70</f>
        <v>2609546.3676584894</v>
      </c>
      <c r="U673" s="242">
        <f>'WS8 - Expenditure Program'!U70</f>
        <v>22927758.622941464</v>
      </c>
      <c r="V673" s="3"/>
      <c r="W673" s="3"/>
      <c r="X673" s="3"/>
      <c r="Y673" s="3"/>
      <c r="Z673" s="3"/>
      <c r="AA673" s="3"/>
      <c r="AB673" s="3"/>
      <c r="AC673" s="3"/>
      <c r="AD673" s="3"/>
      <c r="AE673" s="3"/>
      <c r="AF673" s="3"/>
      <c r="AG673" s="3"/>
      <c r="AH673" s="3"/>
      <c r="AI673" s="3"/>
      <c r="AJ673" s="3"/>
    </row>
    <row r="674" spans="2:36" ht="12.75" thickTop="1" x14ac:dyDescent="0.2">
      <c r="B674" s="218" t="str">
        <f>'WS8 - Expenditure Program'!B71</f>
        <v>Cumulative totals by year</v>
      </c>
      <c r="C674" s="3"/>
      <c r="D674" s="3"/>
      <c r="E674" s="54"/>
      <c r="F674" s="3"/>
      <c r="G674" s="3"/>
      <c r="H674" s="3"/>
      <c r="I674" s="3"/>
      <c r="J674" s="54"/>
      <c r="K674" s="112">
        <f>'WS8 - Expenditure Program'!K71</f>
        <v>2000000</v>
      </c>
      <c r="L674" s="112">
        <f>'WS8 - Expenditure Program'!L71</f>
        <v>4060000</v>
      </c>
      <c r="M674" s="112">
        <f>'WS8 - Expenditure Program'!M71</f>
        <v>6181800</v>
      </c>
      <c r="N674" s="112">
        <f>'WS8 - Expenditure Program'!N71</f>
        <v>8367254</v>
      </c>
      <c r="O674" s="112">
        <f>'WS8 - Expenditure Program'!O71</f>
        <v>10618271.620000001</v>
      </c>
      <c r="P674" s="112">
        <f>'WS8 - Expenditure Program'!P71</f>
        <v>12936819.768600002</v>
      </c>
      <c r="Q674" s="230">
        <f>'WS8 - Expenditure Program'!Q71</f>
        <v>15324924.361658001</v>
      </c>
      <c r="R674" s="112">
        <f>'WS8 - Expenditure Program'!R71</f>
        <v>17784672.092507742</v>
      </c>
      <c r="S674" s="112">
        <f>'WS8 - Expenditure Program'!S71</f>
        <v>20318212.255282976</v>
      </c>
      <c r="T674" s="230">
        <f>'WS8 - Expenditure Program'!T71</f>
        <v>22927758.622941464</v>
      </c>
      <c r="U674" s="157"/>
      <c r="V674" s="3"/>
      <c r="W674" s="3"/>
      <c r="X674" s="3"/>
      <c r="Y674" s="3"/>
      <c r="Z674" s="3"/>
      <c r="AA674" s="3"/>
      <c r="AB674" s="3"/>
      <c r="AC674" s="3"/>
      <c r="AD674" s="3"/>
      <c r="AE674" s="3"/>
      <c r="AF674" s="3"/>
      <c r="AG674" s="3"/>
      <c r="AH674" s="3"/>
      <c r="AI674" s="3"/>
      <c r="AJ674" s="3"/>
    </row>
    <row r="675" spans="2:36" x14ac:dyDescent="0.2">
      <c r="B675" s="202" t="s">
        <v>77</v>
      </c>
      <c r="C675" s="3"/>
      <c r="D675" s="3"/>
      <c r="E675" s="54"/>
      <c r="F675" s="3"/>
      <c r="G675" s="3"/>
      <c r="H675" s="3"/>
      <c r="I675" s="3"/>
      <c r="J675" s="54"/>
      <c r="K675" s="222">
        <f>SUM($K641:K672)-K674</f>
        <v>0</v>
      </c>
      <c r="L675" s="222">
        <f>SUM($K641:L672)-L674</f>
        <v>0</v>
      </c>
      <c r="M675" s="222">
        <f>SUM($K641:M672)-M674</f>
        <v>0</v>
      </c>
      <c r="N675" s="222">
        <f>SUM($K641:N672)-N674</f>
        <v>0</v>
      </c>
      <c r="O675" s="222">
        <f>SUM($K641:O672)-O674</f>
        <v>0</v>
      </c>
      <c r="P675" s="222">
        <f>SUM($K641:P672)-P674</f>
        <v>0</v>
      </c>
      <c r="Q675" s="340">
        <f>SUM($K641:Q672)-Q674</f>
        <v>0</v>
      </c>
      <c r="R675" s="222">
        <f>SUM($K641:R672)-R674</f>
        <v>0</v>
      </c>
      <c r="S675" s="222">
        <f>SUM($K641:S672)-S674</f>
        <v>0</v>
      </c>
      <c r="T675" s="222">
        <f>SUM($K641:T672)-T674</f>
        <v>0</v>
      </c>
      <c r="U675" s="244">
        <f>T674-U673</f>
        <v>0</v>
      </c>
      <c r="V675" s="3"/>
      <c r="W675" s="3"/>
      <c r="X675" s="3"/>
      <c r="Y675" s="3"/>
      <c r="Z675" s="3"/>
      <c r="AA675" s="3"/>
      <c r="AB675" s="3"/>
      <c r="AC675" s="3"/>
      <c r="AD675" s="3"/>
      <c r="AE675" s="3"/>
      <c r="AF675" s="3"/>
      <c r="AG675" s="3"/>
      <c r="AH675" s="3"/>
      <c r="AI675" s="3"/>
      <c r="AJ675" s="3"/>
    </row>
    <row r="676" spans="2:36" x14ac:dyDescent="0.2">
      <c r="B676" s="54"/>
      <c r="C676" s="3"/>
      <c r="D676" s="3"/>
      <c r="E676" s="54"/>
      <c r="F676" s="3"/>
      <c r="G676" s="3"/>
      <c r="H676" s="3"/>
      <c r="I676" s="3"/>
      <c r="J676" s="54"/>
      <c r="K676" s="16"/>
      <c r="L676" s="16"/>
      <c r="M676" s="16"/>
      <c r="N676" s="16"/>
      <c r="O676" s="16"/>
      <c r="P676" s="16"/>
      <c r="Q676" s="200"/>
      <c r="R676" s="16"/>
      <c r="S676" s="16"/>
      <c r="T676" s="200"/>
      <c r="U676" s="107"/>
      <c r="V676" s="3"/>
      <c r="W676" s="3"/>
      <c r="X676" s="3"/>
      <c r="Y676" s="3"/>
      <c r="Z676" s="3"/>
      <c r="AA676" s="3"/>
      <c r="AB676" s="3"/>
      <c r="AC676" s="3"/>
      <c r="AD676" s="3"/>
      <c r="AE676" s="3"/>
      <c r="AF676" s="3"/>
      <c r="AG676" s="3"/>
      <c r="AH676" s="3"/>
      <c r="AI676" s="3"/>
      <c r="AJ676" s="3"/>
    </row>
    <row r="677" spans="2:36" x14ac:dyDescent="0.2">
      <c r="B677" s="219" t="str">
        <f>'WS8 - Expenditure Program'!B74</f>
        <v xml:space="preserve">Table 8.3: Capital expenditure ($ nominal) </v>
      </c>
      <c r="C677" s="3"/>
      <c r="D677" s="3"/>
      <c r="E677" s="54"/>
      <c r="F677" s="3"/>
      <c r="G677" s="3"/>
      <c r="H677" s="3"/>
      <c r="I677" s="3"/>
      <c r="J677" s="54"/>
      <c r="K677" s="16"/>
      <c r="L677" s="16"/>
      <c r="M677" s="16"/>
      <c r="N677" s="16"/>
      <c r="O677" s="16"/>
      <c r="P677" s="16"/>
      <c r="Q677" s="200"/>
      <c r="R677" s="16"/>
      <c r="S677" s="16"/>
      <c r="T677" s="200"/>
      <c r="U677" s="107"/>
      <c r="V677" s="3"/>
      <c r="W677" s="3"/>
      <c r="X677" s="3"/>
      <c r="Y677" s="3"/>
      <c r="Z677" s="3"/>
      <c r="AA677" s="3"/>
      <c r="AB677" s="3"/>
      <c r="AC677" s="3"/>
      <c r="AD677" s="3"/>
      <c r="AE677" s="3"/>
      <c r="AF677" s="3"/>
      <c r="AG677" s="3"/>
      <c r="AH677" s="3"/>
      <c r="AI677" s="3"/>
      <c r="AJ677" s="3"/>
    </row>
    <row r="678" spans="2:36" x14ac:dyDescent="0.2">
      <c r="B678" s="218" t="str">
        <f>'WS8 - Expenditure Program'!B77</f>
        <v>Renewals:</v>
      </c>
      <c r="C678" s="3"/>
      <c r="D678" s="3"/>
      <c r="E678" s="54"/>
      <c r="F678" s="3"/>
      <c r="G678" s="3"/>
      <c r="H678" s="3"/>
      <c r="I678" s="3"/>
      <c r="J678" s="54"/>
      <c r="K678" s="112"/>
      <c r="L678" s="112"/>
      <c r="M678" s="112"/>
      <c r="N678" s="112"/>
      <c r="O678" s="112"/>
      <c r="P678" s="112"/>
      <c r="Q678" s="230"/>
      <c r="R678" s="112"/>
      <c r="S678" s="112"/>
      <c r="T678" s="230"/>
      <c r="U678" s="242"/>
      <c r="V678" s="3"/>
      <c r="W678" s="3"/>
      <c r="X678" s="3"/>
      <c r="Y678" s="3"/>
      <c r="Z678" s="3"/>
      <c r="AA678" s="3"/>
      <c r="AB678" s="3"/>
      <c r="AC678" s="3"/>
      <c r="AD678" s="3"/>
      <c r="AE678" s="3"/>
      <c r="AF678" s="3"/>
      <c r="AG678" s="3"/>
      <c r="AH678" s="3"/>
      <c r="AI678" s="3"/>
      <c r="AJ678" s="3"/>
    </row>
    <row r="679" spans="2:36" x14ac:dyDescent="0.2">
      <c r="B679" s="495">
        <f>'WS8 - Expenditure Program'!B78</f>
        <v>0</v>
      </c>
      <c r="C679" s="3"/>
      <c r="D679" s="3" t="str">
        <f>'WS8 - Expenditure Program'!D78</f>
        <v>$ nominal</v>
      </c>
      <c r="E679" s="54"/>
      <c r="F679" s="3"/>
      <c r="G679" s="3"/>
      <c r="H679" s="3"/>
      <c r="I679" s="3"/>
      <c r="J679" s="54"/>
      <c r="K679" s="112">
        <f>'WS8 - Expenditure Program'!K78</f>
        <v>0</v>
      </c>
      <c r="L679" s="112">
        <f>'WS8 - Expenditure Program'!L78</f>
        <v>0</v>
      </c>
      <c r="M679" s="112">
        <f>'WS8 - Expenditure Program'!M78</f>
        <v>0</v>
      </c>
      <c r="N679" s="112">
        <f>'WS8 - Expenditure Program'!N78</f>
        <v>0</v>
      </c>
      <c r="O679" s="112">
        <f>'WS8 - Expenditure Program'!O78</f>
        <v>0</v>
      </c>
      <c r="P679" s="112">
        <f>'WS8 - Expenditure Program'!P78</f>
        <v>0</v>
      </c>
      <c r="Q679" s="230">
        <f>'WS8 - Expenditure Program'!Q78</f>
        <v>0</v>
      </c>
      <c r="R679" s="112">
        <f>'WS8 - Expenditure Program'!R78</f>
        <v>0</v>
      </c>
      <c r="S679" s="112">
        <f>'WS8 - Expenditure Program'!S78</f>
        <v>0</v>
      </c>
      <c r="T679" s="112">
        <f>'WS8 - Expenditure Program'!T78</f>
        <v>0</v>
      </c>
      <c r="U679" s="242">
        <f>'WS8 - Expenditure Program'!U78</f>
        <v>0</v>
      </c>
      <c r="V679" s="3"/>
      <c r="W679" s="3"/>
      <c r="X679" s="3"/>
      <c r="Y679" s="3"/>
      <c r="Z679" s="3"/>
      <c r="AA679" s="3"/>
      <c r="AB679" s="3"/>
      <c r="AC679" s="3"/>
      <c r="AD679" s="3"/>
      <c r="AE679" s="3"/>
      <c r="AF679" s="3"/>
      <c r="AG679" s="3"/>
      <c r="AH679" s="3"/>
      <c r="AI679" s="3"/>
      <c r="AJ679" s="3"/>
    </row>
    <row r="680" spans="2:36" x14ac:dyDescent="0.2">
      <c r="B680" s="495">
        <f>'WS8 - Expenditure Program'!B79</f>
        <v>0</v>
      </c>
      <c r="C680" s="3"/>
      <c r="D680" s="3" t="str">
        <f>'WS8 - Expenditure Program'!D79</f>
        <v>$ nominal</v>
      </c>
      <c r="E680" s="54"/>
      <c r="F680" s="3"/>
      <c r="G680" s="3"/>
      <c r="H680" s="3"/>
      <c r="I680" s="3"/>
      <c r="J680" s="54"/>
      <c r="K680" s="112">
        <f>'WS8 - Expenditure Program'!K79</f>
        <v>0</v>
      </c>
      <c r="L680" s="112">
        <f>'WS8 - Expenditure Program'!L79</f>
        <v>0</v>
      </c>
      <c r="M680" s="112">
        <f>'WS8 - Expenditure Program'!M79</f>
        <v>0</v>
      </c>
      <c r="N680" s="112">
        <f>'WS8 - Expenditure Program'!N79</f>
        <v>0</v>
      </c>
      <c r="O680" s="112">
        <f>'WS8 - Expenditure Program'!O79</f>
        <v>0</v>
      </c>
      <c r="P680" s="112">
        <f>'WS8 - Expenditure Program'!P79</f>
        <v>0</v>
      </c>
      <c r="Q680" s="230">
        <f>'WS8 - Expenditure Program'!Q79</f>
        <v>0</v>
      </c>
      <c r="R680" s="112">
        <f>'WS8 - Expenditure Program'!R79</f>
        <v>0</v>
      </c>
      <c r="S680" s="112">
        <f>'WS8 - Expenditure Program'!S79</f>
        <v>0</v>
      </c>
      <c r="T680" s="112">
        <f>'WS8 - Expenditure Program'!T79</f>
        <v>0</v>
      </c>
      <c r="U680" s="242">
        <f>'WS8 - Expenditure Program'!U79</f>
        <v>0</v>
      </c>
      <c r="V680" s="3"/>
      <c r="W680" s="3"/>
      <c r="X680" s="3"/>
      <c r="Y680" s="3"/>
      <c r="Z680" s="3"/>
      <c r="AA680" s="3"/>
      <c r="AB680" s="3"/>
      <c r="AC680" s="3"/>
      <c r="AD680" s="3"/>
      <c r="AE680" s="3"/>
      <c r="AF680" s="3"/>
      <c r="AG680" s="3"/>
      <c r="AH680" s="3"/>
      <c r="AI680" s="3"/>
      <c r="AJ680" s="3"/>
    </row>
    <row r="681" spans="2:36" x14ac:dyDescent="0.2">
      <c r="B681" s="495">
        <f>'WS8 - Expenditure Program'!B80</f>
        <v>0</v>
      </c>
      <c r="C681" s="3"/>
      <c r="D681" s="3" t="str">
        <f>'WS8 - Expenditure Program'!D80</f>
        <v>$ nominal</v>
      </c>
      <c r="E681" s="54"/>
      <c r="F681" s="3"/>
      <c r="G681" s="3"/>
      <c r="H681" s="3"/>
      <c r="I681" s="3"/>
      <c r="J681" s="54"/>
      <c r="K681" s="112">
        <f>'WS8 - Expenditure Program'!K80</f>
        <v>0</v>
      </c>
      <c r="L681" s="112">
        <f>'WS8 - Expenditure Program'!L80</f>
        <v>0</v>
      </c>
      <c r="M681" s="112">
        <f>'WS8 - Expenditure Program'!M80</f>
        <v>0</v>
      </c>
      <c r="N681" s="112">
        <f>'WS8 - Expenditure Program'!N80</f>
        <v>0</v>
      </c>
      <c r="O681" s="112">
        <f>'WS8 - Expenditure Program'!O80</f>
        <v>0</v>
      </c>
      <c r="P681" s="112">
        <f>'WS8 - Expenditure Program'!P80</f>
        <v>0</v>
      </c>
      <c r="Q681" s="230">
        <f>'WS8 - Expenditure Program'!Q80</f>
        <v>0</v>
      </c>
      <c r="R681" s="112">
        <f>'WS8 - Expenditure Program'!R80</f>
        <v>0</v>
      </c>
      <c r="S681" s="112">
        <f>'WS8 - Expenditure Program'!S80</f>
        <v>0</v>
      </c>
      <c r="T681" s="112">
        <f>'WS8 - Expenditure Program'!T80</f>
        <v>0</v>
      </c>
      <c r="U681" s="242">
        <f>'WS8 - Expenditure Program'!U80</f>
        <v>0</v>
      </c>
      <c r="V681" s="3"/>
      <c r="W681" s="3"/>
      <c r="X681" s="3"/>
      <c r="Y681" s="3"/>
      <c r="Z681" s="3"/>
      <c r="AA681" s="3"/>
      <c r="AB681" s="3"/>
      <c r="AC681" s="3"/>
      <c r="AD681" s="3"/>
      <c r="AE681" s="3"/>
      <c r="AF681" s="3"/>
      <c r="AG681" s="3"/>
      <c r="AH681" s="3"/>
      <c r="AI681" s="3"/>
      <c r="AJ681" s="3"/>
    </row>
    <row r="682" spans="2:36" x14ac:dyDescent="0.2">
      <c r="B682" s="495">
        <f>'WS8 - Expenditure Program'!B81</f>
        <v>0</v>
      </c>
      <c r="C682" s="3"/>
      <c r="D682" s="3" t="str">
        <f>'WS8 - Expenditure Program'!D81</f>
        <v>$ nominal</v>
      </c>
      <c r="E682" s="54"/>
      <c r="F682" s="3"/>
      <c r="G682" s="3"/>
      <c r="H682" s="3"/>
      <c r="I682" s="3"/>
      <c r="J682" s="54"/>
      <c r="K682" s="112">
        <f>'WS8 - Expenditure Program'!K81</f>
        <v>0</v>
      </c>
      <c r="L682" s="112">
        <f>'WS8 - Expenditure Program'!L81</f>
        <v>0</v>
      </c>
      <c r="M682" s="112">
        <f>'WS8 - Expenditure Program'!M81</f>
        <v>0</v>
      </c>
      <c r="N682" s="112">
        <f>'WS8 - Expenditure Program'!N81</f>
        <v>0</v>
      </c>
      <c r="O682" s="112">
        <f>'WS8 - Expenditure Program'!O81</f>
        <v>0</v>
      </c>
      <c r="P682" s="112">
        <f>'WS8 - Expenditure Program'!P81</f>
        <v>0</v>
      </c>
      <c r="Q682" s="230">
        <f>'WS8 - Expenditure Program'!Q81</f>
        <v>0</v>
      </c>
      <c r="R682" s="112">
        <f>'WS8 - Expenditure Program'!R81</f>
        <v>0</v>
      </c>
      <c r="S682" s="112">
        <f>'WS8 - Expenditure Program'!S81</f>
        <v>0</v>
      </c>
      <c r="T682" s="112">
        <f>'WS8 - Expenditure Program'!T81</f>
        <v>0</v>
      </c>
      <c r="U682" s="242">
        <f>'WS8 - Expenditure Program'!U81</f>
        <v>0</v>
      </c>
      <c r="V682" s="3"/>
      <c r="W682" s="3"/>
      <c r="X682" s="3"/>
      <c r="Y682" s="3"/>
      <c r="Z682" s="3"/>
      <c r="AA682" s="3"/>
      <c r="AB682" s="3"/>
      <c r="AC682" s="3"/>
      <c r="AD682" s="3"/>
      <c r="AE682" s="3"/>
      <c r="AF682" s="3"/>
      <c r="AG682" s="3"/>
      <c r="AH682" s="3"/>
      <c r="AI682" s="3"/>
      <c r="AJ682" s="3"/>
    </row>
    <row r="683" spans="2:36" x14ac:dyDescent="0.2">
      <c r="B683" s="495">
        <f>'WS8 - Expenditure Program'!B82</f>
        <v>0</v>
      </c>
      <c r="C683" s="3"/>
      <c r="D683" s="3" t="str">
        <f>'WS8 - Expenditure Program'!D82</f>
        <v>$ nominal</v>
      </c>
      <c r="E683" s="54"/>
      <c r="F683" s="3"/>
      <c r="G683" s="3"/>
      <c r="H683" s="3"/>
      <c r="I683" s="3"/>
      <c r="J683" s="54"/>
      <c r="K683" s="112">
        <f>'WS8 - Expenditure Program'!K82</f>
        <v>0</v>
      </c>
      <c r="L683" s="112">
        <f>'WS8 - Expenditure Program'!L82</f>
        <v>0</v>
      </c>
      <c r="M683" s="112">
        <f>'WS8 - Expenditure Program'!M82</f>
        <v>0</v>
      </c>
      <c r="N683" s="112">
        <f>'WS8 - Expenditure Program'!N82</f>
        <v>0</v>
      </c>
      <c r="O683" s="112">
        <f>'WS8 - Expenditure Program'!O82</f>
        <v>0</v>
      </c>
      <c r="P683" s="112">
        <f>'WS8 - Expenditure Program'!P82</f>
        <v>0</v>
      </c>
      <c r="Q683" s="230">
        <f>'WS8 - Expenditure Program'!Q82</f>
        <v>0</v>
      </c>
      <c r="R683" s="112">
        <f>'WS8 - Expenditure Program'!R82</f>
        <v>0</v>
      </c>
      <c r="S683" s="112">
        <f>'WS8 - Expenditure Program'!S82</f>
        <v>0</v>
      </c>
      <c r="T683" s="112">
        <f>'WS8 - Expenditure Program'!T82</f>
        <v>0</v>
      </c>
      <c r="U683" s="242">
        <f>'WS8 - Expenditure Program'!U82</f>
        <v>0</v>
      </c>
      <c r="V683" s="3"/>
      <c r="W683" s="3"/>
      <c r="X683" s="3"/>
      <c r="Y683" s="3"/>
      <c r="Z683" s="3"/>
      <c r="AA683" s="3"/>
      <c r="AB683" s="3"/>
      <c r="AC683" s="3"/>
      <c r="AD683" s="3"/>
      <c r="AE683" s="3"/>
      <c r="AF683" s="3"/>
      <c r="AG683" s="3"/>
      <c r="AH683" s="3"/>
      <c r="AI683" s="3"/>
      <c r="AJ683" s="3"/>
    </row>
    <row r="684" spans="2:36" x14ac:dyDescent="0.2">
      <c r="B684" s="495">
        <f>'WS8 - Expenditure Program'!B83</f>
        <v>0</v>
      </c>
      <c r="C684" s="3"/>
      <c r="D684" s="3" t="str">
        <f>'WS8 - Expenditure Program'!D83</f>
        <v>$ nominal</v>
      </c>
      <c r="E684" s="54"/>
      <c r="F684" s="3"/>
      <c r="G684" s="3"/>
      <c r="H684" s="3"/>
      <c r="I684" s="3"/>
      <c r="J684" s="54"/>
      <c r="K684" s="112">
        <f>'WS8 - Expenditure Program'!K83</f>
        <v>0</v>
      </c>
      <c r="L684" s="112">
        <f>'WS8 - Expenditure Program'!L83</f>
        <v>0</v>
      </c>
      <c r="M684" s="112">
        <f>'WS8 - Expenditure Program'!M83</f>
        <v>0</v>
      </c>
      <c r="N684" s="112">
        <f>'WS8 - Expenditure Program'!N83</f>
        <v>0</v>
      </c>
      <c r="O684" s="112">
        <f>'WS8 - Expenditure Program'!O83</f>
        <v>0</v>
      </c>
      <c r="P684" s="112">
        <f>'WS8 - Expenditure Program'!P83</f>
        <v>0</v>
      </c>
      <c r="Q684" s="230">
        <f>'WS8 - Expenditure Program'!Q83</f>
        <v>0</v>
      </c>
      <c r="R684" s="112">
        <f>'WS8 - Expenditure Program'!R83</f>
        <v>0</v>
      </c>
      <c r="S684" s="112">
        <f>'WS8 - Expenditure Program'!S83</f>
        <v>0</v>
      </c>
      <c r="T684" s="112">
        <f>'WS8 - Expenditure Program'!T83</f>
        <v>0</v>
      </c>
      <c r="U684" s="242">
        <f>'WS8 - Expenditure Program'!U83</f>
        <v>0</v>
      </c>
      <c r="V684" s="3"/>
      <c r="W684" s="3"/>
      <c r="X684" s="3"/>
      <c r="Y684" s="3"/>
      <c r="Z684" s="3"/>
      <c r="AA684" s="3"/>
      <c r="AB684" s="3"/>
      <c r="AC684" s="3"/>
      <c r="AD684" s="3"/>
      <c r="AE684" s="3"/>
      <c r="AF684" s="3"/>
      <c r="AG684" s="3"/>
      <c r="AH684" s="3"/>
      <c r="AI684" s="3"/>
      <c r="AJ684" s="3"/>
    </row>
    <row r="685" spans="2:36" x14ac:dyDescent="0.2">
      <c r="B685" s="495">
        <f>'WS8 - Expenditure Program'!B84</f>
        <v>0</v>
      </c>
      <c r="C685" s="3"/>
      <c r="D685" s="3" t="str">
        <f>'WS8 - Expenditure Program'!D84</f>
        <v>$ nominal</v>
      </c>
      <c r="E685" s="54"/>
      <c r="F685" s="3"/>
      <c r="G685" s="3"/>
      <c r="H685" s="3"/>
      <c r="I685" s="3"/>
      <c r="J685" s="54"/>
      <c r="K685" s="112">
        <f>'WS8 - Expenditure Program'!K84</f>
        <v>0</v>
      </c>
      <c r="L685" s="112">
        <f>'WS8 - Expenditure Program'!L84</f>
        <v>0</v>
      </c>
      <c r="M685" s="112">
        <f>'WS8 - Expenditure Program'!M84</f>
        <v>0</v>
      </c>
      <c r="N685" s="112">
        <f>'WS8 - Expenditure Program'!N84</f>
        <v>0</v>
      </c>
      <c r="O685" s="112">
        <f>'WS8 - Expenditure Program'!O84</f>
        <v>0</v>
      </c>
      <c r="P685" s="112">
        <f>'WS8 - Expenditure Program'!P84</f>
        <v>0</v>
      </c>
      <c r="Q685" s="230">
        <f>'WS8 - Expenditure Program'!Q84</f>
        <v>0</v>
      </c>
      <c r="R685" s="112">
        <f>'WS8 - Expenditure Program'!R84</f>
        <v>0</v>
      </c>
      <c r="S685" s="112">
        <f>'WS8 - Expenditure Program'!S84</f>
        <v>0</v>
      </c>
      <c r="T685" s="112">
        <f>'WS8 - Expenditure Program'!T84</f>
        <v>0</v>
      </c>
      <c r="U685" s="242">
        <f>'WS8 - Expenditure Program'!U84</f>
        <v>0</v>
      </c>
      <c r="V685" s="3"/>
      <c r="W685" s="3"/>
      <c r="X685" s="3"/>
      <c r="Y685" s="3"/>
      <c r="Z685" s="3"/>
      <c r="AA685" s="3"/>
      <c r="AB685" s="3"/>
      <c r="AC685" s="3"/>
      <c r="AD685" s="3"/>
      <c r="AE685" s="3"/>
      <c r="AF685" s="3"/>
      <c r="AG685" s="3"/>
      <c r="AH685" s="3"/>
      <c r="AI685" s="3"/>
      <c r="AJ685" s="3"/>
    </row>
    <row r="686" spans="2:36" x14ac:dyDescent="0.2">
      <c r="B686" s="495">
        <f>'WS8 - Expenditure Program'!B85</f>
        <v>0</v>
      </c>
      <c r="C686" s="3"/>
      <c r="D686" s="3" t="str">
        <f>'WS8 - Expenditure Program'!D85</f>
        <v>$ nominal</v>
      </c>
      <c r="E686" s="54"/>
      <c r="F686" s="3"/>
      <c r="G686" s="3"/>
      <c r="H686" s="3"/>
      <c r="I686" s="3"/>
      <c r="J686" s="54"/>
      <c r="K686" s="112">
        <f>'WS8 - Expenditure Program'!K85</f>
        <v>0</v>
      </c>
      <c r="L686" s="112">
        <f>'WS8 - Expenditure Program'!L85</f>
        <v>0</v>
      </c>
      <c r="M686" s="112">
        <f>'WS8 - Expenditure Program'!M85</f>
        <v>0</v>
      </c>
      <c r="N686" s="112">
        <f>'WS8 - Expenditure Program'!N85</f>
        <v>0</v>
      </c>
      <c r="O686" s="112">
        <f>'WS8 - Expenditure Program'!O85</f>
        <v>0</v>
      </c>
      <c r="P686" s="112">
        <f>'WS8 - Expenditure Program'!P85</f>
        <v>0</v>
      </c>
      <c r="Q686" s="230">
        <f>'WS8 - Expenditure Program'!Q85</f>
        <v>0</v>
      </c>
      <c r="R686" s="112">
        <f>'WS8 - Expenditure Program'!R85</f>
        <v>0</v>
      </c>
      <c r="S686" s="112">
        <f>'WS8 - Expenditure Program'!S85</f>
        <v>0</v>
      </c>
      <c r="T686" s="112">
        <f>'WS8 - Expenditure Program'!T85</f>
        <v>0</v>
      </c>
      <c r="U686" s="242">
        <f>'WS8 - Expenditure Program'!U85</f>
        <v>0</v>
      </c>
      <c r="V686" s="3"/>
      <c r="W686" s="3"/>
      <c r="X686" s="3"/>
      <c r="Y686" s="3"/>
      <c r="Z686" s="3"/>
      <c r="AA686" s="3"/>
      <c r="AB686" s="3"/>
      <c r="AC686" s="3"/>
      <c r="AD686" s="3"/>
      <c r="AE686" s="3"/>
      <c r="AF686" s="3"/>
      <c r="AG686" s="3"/>
      <c r="AH686" s="3"/>
      <c r="AI686" s="3"/>
      <c r="AJ686" s="3"/>
    </row>
    <row r="687" spans="2:36" x14ac:dyDescent="0.2">
      <c r="B687" s="495">
        <f>'WS8 - Expenditure Program'!B86</f>
        <v>0</v>
      </c>
      <c r="C687" s="3"/>
      <c r="D687" s="3" t="str">
        <f>'WS8 - Expenditure Program'!D86</f>
        <v>$ nominal</v>
      </c>
      <c r="E687" s="54"/>
      <c r="F687" s="3"/>
      <c r="G687" s="3"/>
      <c r="H687" s="3"/>
      <c r="I687" s="3"/>
      <c r="J687" s="54"/>
      <c r="K687" s="112">
        <f>'WS8 - Expenditure Program'!K86</f>
        <v>0</v>
      </c>
      <c r="L687" s="112">
        <f>'WS8 - Expenditure Program'!L86</f>
        <v>0</v>
      </c>
      <c r="M687" s="112">
        <f>'WS8 - Expenditure Program'!M86</f>
        <v>0</v>
      </c>
      <c r="N687" s="112">
        <f>'WS8 - Expenditure Program'!N86</f>
        <v>0</v>
      </c>
      <c r="O687" s="112">
        <f>'WS8 - Expenditure Program'!O86</f>
        <v>0</v>
      </c>
      <c r="P687" s="112">
        <f>'WS8 - Expenditure Program'!P86</f>
        <v>0</v>
      </c>
      <c r="Q687" s="230">
        <f>'WS8 - Expenditure Program'!Q86</f>
        <v>0</v>
      </c>
      <c r="R687" s="112">
        <f>'WS8 - Expenditure Program'!R86</f>
        <v>0</v>
      </c>
      <c r="S687" s="112">
        <f>'WS8 - Expenditure Program'!S86</f>
        <v>0</v>
      </c>
      <c r="T687" s="112">
        <f>'WS8 - Expenditure Program'!T86</f>
        <v>0</v>
      </c>
      <c r="U687" s="242">
        <f>'WS8 - Expenditure Program'!U86</f>
        <v>0</v>
      </c>
      <c r="V687" s="3"/>
      <c r="W687" s="3"/>
      <c r="X687" s="3"/>
      <c r="Y687" s="3"/>
      <c r="Z687" s="3"/>
      <c r="AA687" s="3"/>
      <c r="AB687" s="3"/>
      <c r="AC687" s="3"/>
      <c r="AD687" s="3"/>
      <c r="AE687" s="3"/>
      <c r="AF687" s="3"/>
      <c r="AG687" s="3"/>
      <c r="AH687" s="3"/>
      <c r="AI687" s="3"/>
      <c r="AJ687" s="3"/>
    </row>
    <row r="688" spans="2:36" x14ac:dyDescent="0.2">
      <c r="B688" s="495">
        <f>'WS8 - Expenditure Program'!B87</f>
        <v>0</v>
      </c>
      <c r="C688" s="3"/>
      <c r="D688" s="3" t="str">
        <f>'WS8 - Expenditure Program'!D87</f>
        <v>$ nominal</v>
      </c>
      <c r="E688" s="54"/>
      <c r="F688" s="3"/>
      <c r="G688" s="3"/>
      <c r="H688" s="3"/>
      <c r="I688" s="3"/>
      <c r="J688" s="54"/>
      <c r="K688" s="112">
        <f>'WS8 - Expenditure Program'!K87</f>
        <v>0</v>
      </c>
      <c r="L688" s="112">
        <f>'WS8 - Expenditure Program'!L87</f>
        <v>0</v>
      </c>
      <c r="M688" s="112">
        <f>'WS8 - Expenditure Program'!M87</f>
        <v>0</v>
      </c>
      <c r="N688" s="112">
        <f>'WS8 - Expenditure Program'!N87</f>
        <v>0</v>
      </c>
      <c r="O688" s="112">
        <f>'WS8 - Expenditure Program'!O87</f>
        <v>0</v>
      </c>
      <c r="P688" s="112">
        <f>'WS8 - Expenditure Program'!P87</f>
        <v>0</v>
      </c>
      <c r="Q688" s="230">
        <f>'WS8 - Expenditure Program'!Q87</f>
        <v>0</v>
      </c>
      <c r="R688" s="112">
        <f>'WS8 - Expenditure Program'!R87</f>
        <v>0</v>
      </c>
      <c r="S688" s="112">
        <f>'WS8 - Expenditure Program'!S87</f>
        <v>0</v>
      </c>
      <c r="T688" s="112">
        <f>'WS8 - Expenditure Program'!T87</f>
        <v>0</v>
      </c>
      <c r="U688" s="242">
        <f>'WS8 - Expenditure Program'!U87</f>
        <v>0</v>
      </c>
      <c r="V688" s="3"/>
      <c r="W688" s="3"/>
      <c r="X688" s="3"/>
      <c r="Y688" s="3"/>
      <c r="Z688" s="3"/>
      <c r="AA688" s="3"/>
      <c r="AB688" s="3"/>
      <c r="AC688" s="3"/>
      <c r="AD688" s="3"/>
      <c r="AE688" s="3"/>
      <c r="AF688" s="3"/>
      <c r="AG688" s="3"/>
      <c r="AH688" s="3"/>
      <c r="AI688" s="3"/>
      <c r="AJ688" s="3"/>
    </row>
    <row r="689" spans="2:36" x14ac:dyDescent="0.2">
      <c r="B689" s="495">
        <f>'WS8 - Expenditure Program'!B88</f>
        <v>0</v>
      </c>
      <c r="C689" s="3"/>
      <c r="D689" s="3" t="str">
        <f>'WS8 - Expenditure Program'!D88</f>
        <v>$ nominal</v>
      </c>
      <c r="E689" s="54"/>
      <c r="F689" s="3"/>
      <c r="G689" s="3"/>
      <c r="H689" s="3"/>
      <c r="I689" s="3"/>
      <c r="J689" s="54"/>
      <c r="K689" s="112">
        <f>'WS8 - Expenditure Program'!K88</f>
        <v>0</v>
      </c>
      <c r="L689" s="112">
        <f>'WS8 - Expenditure Program'!L88</f>
        <v>0</v>
      </c>
      <c r="M689" s="112">
        <f>'WS8 - Expenditure Program'!M88</f>
        <v>0</v>
      </c>
      <c r="N689" s="112">
        <f>'WS8 - Expenditure Program'!N88</f>
        <v>0</v>
      </c>
      <c r="O689" s="112">
        <f>'WS8 - Expenditure Program'!O88</f>
        <v>0</v>
      </c>
      <c r="P689" s="112">
        <f>'WS8 - Expenditure Program'!P88</f>
        <v>0</v>
      </c>
      <c r="Q689" s="230">
        <f>'WS8 - Expenditure Program'!Q88</f>
        <v>0</v>
      </c>
      <c r="R689" s="112">
        <f>'WS8 - Expenditure Program'!R88</f>
        <v>0</v>
      </c>
      <c r="S689" s="112">
        <f>'WS8 - Expenditure Program'!S88</f>
        <v>0</v>
      </c>
      <c r="T689" s="112">
        <f>'WS8 - Expenditure Program'!T88</f>
        <v>0</v>
      </c>
      <c r="U689" s="242">
        <f>'WS8 - Expenditure Program'!U88</f>
        <v>0</v>
      </c>
      <c r="V689" s="3"/>
      <c r="W689" s="3"/>
      <c r="X689" s="3"/>
      <c r="Y689" s="3"/>
      <c r="Z689" s="3"/>
      <c r="AA689" s="3"/>
      <c r="AB689" s="3"/>
      <c r="AC689" s="3"/>
      <c r="AD689" s="3"/>
      <c r="AE689" s="3"/>
      <c r="AF689" s="3"/>
      <c r="AG689" s="3"/>
      <c r="AH689" s="3"/>
      <c r="AI689" s="3"/>
      <c r="AJ689" s="3"/>
    </row>
    <row r="690" spans="2:36" x14ac:dyDescent="0.2">
      <c r="B690" s="495">
        <f>'WS8 - Expenditure Program'!B89</f>
        <v>0</v>
      </c>
      <c r="C690" s="3"/>
      <c r="D690" s="3" t="str">
        <f>'WS8 - Expenditure Program'!D89</f>
        <v>$ nominal</v>
      </c>
      <c r="E690" s="54"/>
      <c r="F690" s="3"/>
      <c r="G690" s="3"/>
      <c r="H690" s="3"/>
      <c r="I690" s="3"/>
      <c r="J690" s="54"/>
      <c r="K690" s="112">
        <f>'WS8 - Expenditure Program'!K89</f>
        <v>0</v>
      </c>
      <c r="L690" s="112">
        <f>'WS8 - Expenditure Program'!L89</f>
        <v>0</v>
      </c>
      <c r="M690" s="112">
        <f>'WS8 - Expenditure Program'!M89</f>
        <v>0</v>
      </c>
      <c r="N690" s="112">
        <f>'WS8 - Expenditure Program'!N89</f>
        <v>0</v>
      </c>
      <c r="O690" s="112">
        <f>'WS8 - Expenditure Program'!O89</f>
        <v>0</v>
      </c>
      <c r="P690" s="112">
        <f>'WS8 - Expenditure Program'!P89</f>
        <v>0</v>
      </c>
      <c r="Q690" s="230">
        <f>'WS8 - Expenditure Program'!Q89</f>
        <v>0</v>
      </c>
      <c r="R690" s="112">
        <f>'WS8 - Expenditure Program'!R89</f>
        <v>0</v>
      </c>
      <c r="S690" s="112">
        <f>'WS8 - Expenditure Program'!S89</f>
        <v>0</v>
      </c>
      <c r="T690" s="112">
        <f>'WS8 - Expenditure Program'!T89</f>
        <v>0</v>
      </c>
      <c r="U690" s="242">
        <f>'WS8 - Expenditure Program'!U89</f>
        <v>0</v>
      </c>
      <c r="V690" s="3"/>
      <c r="W690" s="3"/>
      <c r="X690" s="3"/>
      <c r="Y690" s="3"/>
      <c r="Z690" s="3"/>
      <c r="AA690" s="3"/>
      <c r="AB690" s="3"/>
      <c r="AC690" s="3"/>
      <c r="AD690" s="3"/>
      <c r="AE690" s="3"/>
      <c r="AF690" s="3"/>
      <c r="AG690" s="3"/>
      <c r="AH690" s="3"/>
      <c r="AI690" s="3"/>
      <c r="AJ690" s="3"/>
    </row>
    <row r="691" spans="2:36" x14ac:dyDescent="0.2">
      <c r="B691" s="495">
        <f>'WS8 - Expenditure Program'!B90</f>
        <v>0</v>
      </c>
      <c r="C691" s="3"/>
      <c r="D691" s="3" t="str">
        <f>'WS8 - Expenditure Program'!D90</f>
        <v>$ nominal</v>
      </c>
      <c r="E691" s="54"/>
      <c r="F691" s="3"/>
      <c r="G691" s="3"/>
      <c r="H691" s="3"/>
      <c r="I691" s="3"/>
      <c r="J691" s="54"/>
      <c r="K691" s="112">
        <f>'WS8 - Expenditure Program'!K90</f>
        <v>0</v>
      </c>
      <c r="L691" s="112">
        <f>'WS8 - Expenditure Program'!L90</f>
        <v>0</v>
      </c>
      <c r="M691" s="112">
        <f>'WS8 - Expenditure Program'!M90</f>
        <v>0</v>
      </c>
      <c r="N691" s="112">
        <f>'WS8 - Expenditure Program'!N90</f>
        <v>0</v>
      </c>
      <c r="O691" s="112">
        <f>'WS8 - Expenditure Program'!O90</f>
        <v>0</v>
      </c>
      <c r="P691" s="112">
        <f>'WS8 - Expenditure Program'!P90</f>
        <v>0</v>
      </c>
      <c r="Q691" s="230">
        <f>'WS8 - Expenditure Program'!Q90</f>
        <v>0</v>
      </c>
      <c r="R691" s="112">
        <f>'WS8 - Expenditure Program'!R90</f>
        <v>0</v>
      </c>
      <c r="S691" s="112">
        <f>'WS8 - Expenditure Program'!S90</f>
        <v>0</v>
      </c>
      <c r="T691" s="112">
        <f>'WS8 - Expenditure Program'!T90</f>
        <v>0</v>
      </c>
      <c r="U691" s="242">
        <f>'WS8 - Expenditure Program'!U90</f>
        <v>0</v>
      </c>
      <c r="V691" s="3"/>
      <c r="W691" s="3"/>
      <c r="X691" s="3"/>
      <c r="Y691" s="3"/>
      <c r="Z691" s="3"/>
      <c r="AA691" s="3"/>
      <c r="AB691" s="3"/>
      <c r="AC691" s="3"/>
      <c r="AD691" s="3"/>
      <c r="AE691" s="3"/>
      <c r="AF691" s="3"/>
      <c r="AG691" s="3"/>
      <c r="AH691" s="3"/>
      <c r="AI691" s="3"/>
      <c r="AJ691" s="3"/>
    </row>
    <row r="692" spans="2:36" x14ac:dyDescent="0.2">
      <c r="B692" s="495">
        <f>'WS8 - Expenditure Program'!B91</f>
        <v>0</v>
      </c>
      <c r="C692" s="3"/>
      <c r="D692" s="3" t="str">
        <f>'WS8 - Expenditure Program'!D91</f>
        <v>$ nominal</v>
      </c>
      <c r="E692" s="54"/>
      <c r="F692" s="3"/>
      <c r="G692" s="3"/>
      <c r="H692" s="3"/>
      <c r="I692" s="3"/>
      <c r="J692" s="54"/>
      <c r="K692" s="112">
        <f>'WS8 - Expenditure Program'!K91</f>
        <v>0</v>
      </c>
      <c r="L692" s="112">
        <f>'WS8 - Expenditure Program'!L91</f>
        <v>0</v>
      </c>
      <c r="M692" s="112">
        <f>'WS8 - Expenditure Program'!M91</f>
        <v>0</v>
      </c>
      <c r="N692" s="112">
        <f>'WS8 - Expenditure Program'!N91</f>
        <v>0</v>
      </c>
      <c r="O692" s="112">
        <f>'WS8 - Expenditure Program'!O91</f>
        <v>0</v>
      </c>
      <c r="P692" s="112">
        <f>'WS8 - Expenditure Program'!P91</f>
        <v>0</v>
      </c>
      <c r="Q692" s="230">
        <f>'WS8 - Expenditure Program'!Q91</f>
        <v>0</v>
      </c>
      <c r="R692" s="112">
        <f>'WS8 - Expenditure Program'!R91</f>
        <v>0</v>
      </c>
      <c r="S692" s="112">
        <f>'WS8 - Expenditure Program'!S91</f>
        <v>0</v>
      </c>
      <c r="T692" s="112">
        <f>'WS8 - Expenditure Program'!T91</f>
        <v>0</v>
      </c>
      <c r="U692" s="242">
        <f>'WS8 - Expenditure Program'!U91</f>
        <v>0</v>
      </c>
      <c r="V692" s="3"/>
      <c r="W692" s="3"/>
      <c r="X692" s="3"/>
      <c r="Y692" s="3"/>
      <c r="Z692" s="3"/>
      <c r="AA692" s="3"/>
      <c r="AB692" s="3"/>
      <c r="AC692" s="3"/>
      <c r="AD692" s="3"/>
      <c r="AE692" s="3"/>
      <c r="AF692" s="3"/>
      <c r="AG692" s="3"/>
      <c r="AH692" s="3"/>
      <c r="AI692" s="3"/>
      <c r="AJ692" s="3"/>
    </row>
    <row r="693" spans="2:36" x14ac:dyDescent="0.2">
      <c r="B693" s="495">
        <f>'WS8 - Expenditure Program'!B92</f>
        <v>0</v>
      </c>
      <c r="C693" s="3"/>
      <c r="D693" s="3" t="str">
        <f>'WS8 - Expenditure Program'!D92</f>
        <v>$ nominal</v>
      </c>
      <c r="E693" s="54"/>
      <c r="F693" s="3"/>
      <c r="G693" s="3"/>
      <c r="H693" s="3"/>
      <c r="I693" s="3"/>
      <c r="J693" s="54"/>
      <c r="K693" s="112">
        <f>'WS8 - Expenditure Program'!K92</f>
        <v>0</v>
      </c>
      <c r="L693" s="112">
        <f>'WS8 - Expenditure Program'!L92</f>
        <v>0</v>
      </c>
      <c r="M693" s="112">
        <f>'WS8 - Expenditure Program'!M92</f>
        <v>0</v>
      </c>
      <c r="N693" s="112">
        <f>'WS8 - Expenditure Program'!N92</f>
        <v>0</v>
      </c>
      <c r="O693" s="112">
        <f>'WS8 - Expenditure Program'!O92</f>
        <v>0</v>
      </c>
      <c r="P693" s="112">
        <f>'WS8 - Expenditure Program'!P92</f>
        <v>0</v>
      </c>
      <c r="Q693" s="230">
        <f>'WS8 - Expenditure Program'!Q92</f>
        <v>0</v>
      </c>
      <c r="R693" s="112">
        <f>'WS8 - Expenditure Program'!R92</f>
        <v>0</v>
      </c>
      <c r="S693" s="112">
        <f>'WS8 - Expenditure Program'!S92</f>
        <v>0</v>
      </c>
      <c r="T693" s="112">
        <f>'WS8 - Expenditure Program'!T92</f>
        <v>0</v>
      </c>
      <c r="U693" s="242">
        <f>'WS8 - Expenditure Program'!U92</f>
        <v>0</v>
      </c>
      <c r="V693" s="3"/>
      <c r="W693" s="3"/>
      <c r="X693" s="3"/>
      <c r="Y693" s="3"/>
      <c r="Z693" s="3"/>
      <c r="AA693" s="3"/>
      <c r="AB693" s="3"/>
      <c r="AC693" s="3"/>
      <c r="AD693" s="3"/>
      <c r="AE693" s="3"/>
      <c r="AF693" s="3"/>
      <c r="AG693" s="3"/>
      <c r="AH693" s="3"/>
      <c r="AI693" s="3"/>
      <c r="AJ693" s="3"/>
    </row>
    <row r="694" spans="2:36" x14ac:dyDescent="0.2">
      <c r="B694" s="495">
        <f>'WS8 - Expenditure Program'!B93</f>
        <v>0</v>
      </c>
      <c r="C694" s="3"/>
      <c r="D694" s="3" t="str">
        <f>'WS8 - Expenditure Program'!D93</f>
        <v>$ nominal</v>
      </c>
      <c r="E694" s="54"/>
      <c r="F694" s="3"/>
      <c r="G694" s="3"/>
      <c r="H694" s="3"/>
      <c r="I694" s="3"/>
      <c r="J694" s="54"/>
      <c r="K694" s="112">
        <f>'WS8 - Expenditure Program'!K93</f>
        <v>0</v>
      </c>
      <c r="L694" s="112">
        <f>'WS8 - Expenditure Program'!L93</f>
        <v>0</v>
      </c>
      <c r="M694" s="112">
        <f>'WS8 - Expenditure Program'!M93</f>
        <v>0</v>
      </c>
      <c r="N694" s="112">
        <f>'WS8 - Expenditure Program'!N93</f>
        <v>0</v>
      </c>
      <c r="O694" s="112">
        <f>'WS8 - Expenditure Program'!O93</f>
        <v>0</v>
      </c>
      <c r="P694" s="112">
        <f>'WS8 - Expenditure Program'!P93</f>
        <v>0</v>
      </c>
      <c r="Q694" s="230">
        <f>'WS8 - Expenditure Program'!Q93</f>
        <v>0</v>
      </c>
      <c r="R694" s="112">
        <f>'WS8 - Expenditure Program'!R93</f>
        <v>0</v>
      </c>
      <c r="S694" s="112">
        <f>'WS8 - Expenditure Program'!S93</f>
        <v>0</v>
      </c>
      <c r="T694" s="112">
        <f>'WS8 - Expenditure Program'!T93</f>
        <v>0</v>
      </c>
      <c r="U694" s="242">
        <f>'WS8 - Expenditure Program'!U93</f>
        <v>0</v>
      </c>
      <c r="V694" s="3"/>
      <c r="W694" s="3"/>
      <c r="X694" s="3"/>
      <c r="Y694" s="3"/>
      <c r="Z694" s="3"/>
      <c r="AA694" s="3"/>
      <c r="AB694" s="3"/>
      <c r="AC694" s="3"/>
      <c r="AD694" s="3"/>
      <c r="AE694" s="3"/>
      <c r="AF694" s="3"/>
      <c r="AG694" s="3"/>
      <c r="AH694" s="3"/>
      <c r="AI694" s="3"/>
      <c r="AJ694" s="3"/>
    </row>
    <row r="695" spans="2:36" x14ac:dyDescent="0.2">
      <c r="B695" s="495">
        <f>'WS8 - Expenditure Program'!B94</f>
        <v>0</v>
      </c>
      <c r="C695" s="3"/>
      <c r="D695" s="3" t="str">
        <f>'WS8 - Expenditure Program'!D94</f>
        <v>$ nominal</v>
      </c>
      <c r="E695" s="54"/>
      <c r="F695" s="3"/>
      <c r="G695" s="3"/>
      <c r="H695" s="3"/>
      <c r="I695" s="3"/>
      <c r="J695" s="54"/>
      <c r="K695" s="112">
        <f>'WS8 - Expenditure Program'!K94</f>
        <v>0</v>
      </c>
      <c r="L695" s="112">
        <f>'WS8 - Expenditure Program'!L94</f>
        <v>0</v>
      </c>
      <c r="M695" s="112">
        <f>'WS8 - Expenditure Program'!M94</f>
        <v>0</v>
      </c>
      <c r="N695" s="112">
        <f>'WS8 - Expenditure Program'!N94</f>
        <v>0</v>
      </c>
      <c r="O695" s="112">
        <f>'WS8 - Expenditure Program'!O94</f>
        <v>0</v>
      </c>
      <c r="P695" s="112">
        <f>'WS8 - Expenditure Program'!P94</f>
        <v>0</v>
      </c>
      <c r="Q695" s="230">
        <f>'WS8 - Expenditure Program'!Q94</f>
        <v>0</v>
      </c>
      <c r="R695" s="112">
        <f>'WS8 - Expenditure Program'!R94</f>
        <v>0</v>
      </c>
      <c r="S695" s="112">
        <f>'WS8 - Expenditure Program'!S94</f>
        <v>0</v>
      </c>
      <c r="T695" s="112">
        <f>'WS8 - Expenditure Program'!T94</f>
        <v>0</v>
      </c>
      <c r="U695" s="242">
        <f>'WS8 - Expenditure Program'!U94</f>
        <v>0</v>
      </c>
      <c r="V695" s="3"/>
      <c r="W695" s="3"/>
      <c r="X695" s="3"/>
      <c r="Y695" s="3"/>
      <c r="Z695" s="3"/>
      <c r="AA695" s="3"/>
      <c r="AB695" s="3"/>
      <c r="AC695" s="3"/>
      <c r="AD695" s="3"/>
      <c r="AE695" s="3"/>
      <c r="AF695" s="3"/>
      <c r="AG695" s="3"/>
      <c r="AH695" s="3"/>
      <c r="AI695" s="3"/>
      <c r="AJ695" s="3"/>
    </row>
    <row r="696" spans="2:36" x14ac:dyDescent="0.2">
      <c r="B696" s="495">
        <f>'WS8 - Expenditure Program'!B95</f>
        <v>0</v>
      </c>
      <c r="C696" s="3"/>
      <c r="D696" s="3" t="str">
        <f>'WS8 - Expenditure Program'!D95</f>
        <v>$ nominal</v>
      </c>
      <c r="E696" s="54"/>
      <c r="F696" s="3"/>
      <c r="G696" s="3"/>
      <c r="H696" s="3"/>
      <c r="I696" s="3"/>
      <c r="J696" s="54"/>
      <c r="K696" s="112">
        <f>'WS8 - Expenditure Program'!K95</f>
        <v>0</v>
      </c>
      <c r="L696" s="112">
        <f>'WS8 - Expenditure Program'!L95</f>
        <v>0</v>
      </c>
      <c r="M696" s="112">
        <f>'WS8 - Expenditure Program'!M95</f>
        <v>0</v>
      </c>
      <c r="N696" s="112">
        <f>'WS8 - Expenditure Program'!N95</f>
        <v>0</v>
      </c>
      <c r="O696" s="112">
        <f>'WS8 - Expenditure Program'!O95</f>
        <v>0</v>
      </c>
      <c r="P696" s="112">
        <f>'WS8 - Expenditure Program'!P95</f>
        <v>0</v>
      </c>
      <c r="Q696" s="230">
        <f>'WS8 - Expenditure Program'!Q95</f>
        <v>0</v>
      </c>
      <c r="R696" s="112">
        <f>'WS8 - Expenditure Program'!R95</f>
        <v>0</v>
      </c>
      <c r="S696" s="112">
        <f>'WS8 - Expenditure Program'!S95</f>
        <v>0</v>
      </c>
      <c r="T696" s="112">
        <f>'WS8 - Expenditure Program'!T95</f>
        <v>0</v>
      </c>
      <c r="U696" s="242">
        <f>'WS8 - Expenditure Program'!U95</f>
        <v>0</v>
      </c>
      <c r="V696" s="3"/>
      <c r="W696" s="3"/>
      <c r="X696" s="3"/>
      <c r="Y696" s="3"/>
      <c r="Z696" s="3"/>
      <c r="AA696" s="3"/>
      <c r="AB696" s="3"/>
      <c r="AC696" s="3"/>
      <c r="AD696" s="3"/>
      <c r="AE696" s="3"/>
      <c r="AF696" s="3"/>
      <c r="AG696" s="3"/>
      <c r="AH696" s="3"/>
      <c r="AI696" s="3"/>
      <c r="AJ696" s="3"/>
    </row>
    <row r="697" spans="2:36" x14ac:dyDescent="0.2">
      <c r="B697" s="495">
        <f>'WS8 - Expenditure Program'!B96</f>
        <v>0</v>
      </c>
      <c r="C697" s="3"/>
      <c r="D697" s="3" t="str">
        <f>'WS8 - Expenditure Program'!D96</f>
        <v>$ nominal</v>
      </c>
      <c r="E697" s="54"/>
      <c r="F697" s="3"/>
      <c r="G697" s="3"/>
      <c r="H697" s="3"/>
      <c r="I697" s="3"/>
      <c r="J697" s="54"/>
      <c r="K697" s="112">
        <f>'WS8 - Expenditure Program'!K96</f>
        <v>0</v>
      </c>
      <c r="L697" s="112">
        <f>'WS8 - Expenditure Program'!L96</f>
        <v>0</v>
      </c>
      <c r="M697" s="112">
        <f>'WS8 - Expenditure Program'!M96</f>
        <v>0</v>
      </c>
      <c r="N697" s="112">
        <f>'WS8 - Expenditure Program'!N96</f>
        <v>0</v>
      </c>
      <c r="O697" s="112">
        <f>'WS8 - Expenditure Program'!O96</f>
        <v>0</v>
      </c>
      <c r="P697" s="112">
        <f>'WS8 - Expenditure Program'!P96</f>
        <v>0</v>
      </c>
      <c r="Q697" s="230">
        <f>'WS8 - Expenditure Program'!Q96</f>
        <v>0</v>
      </c>
      <c r="R697" s="112">
        <f>'WS8 - Expenditure Program'!R96</f>
        <v>0</v>
      </c>
      <c r="S697" s="112">
        <f>'WS8 - Expenditure Program'!S96</f>
        <v>0</v>
      </c>
      <c r="T697" s="112">
        <f>'WS8 - Expenditure Program'!T96</f>
        <v>0</v>
      </c>
      <c r="U697" s="242">
        <f>'WS8 - Expenditure Program'!U96</f>
        <v>0</v>
      </c>
      <c r="V697" s="3"/>
      <c r="W697" s="3"/>
      <c r="X697" s="3"/>
      <c r="Y697" s="3"/>
      <c r="Z697" s="3"/>
      <c r="AA697" s="3"/>
      <c r="AB697" s="3"/>
      <c r="AC697" s="3"/>
      <c r="AD697" s="3"/>
      <c r="AE697" s="3"/>
      <c r="AF697" s="3"/>
      <c r="AG697" s="3"/>
      <c r="AH697" s="3"/>
      <c r="AI697" s="3"/>
      <c r="AJ697" s="3"/>
    </row>
    <row r="698" spans="2:36" x14ac:dyDescent="0.2">
      <c r="B698" s="495">
        <f>'WS8 - Expenditure Program'!B97</f>
        <v>0</v>
      </c>
      <c r="C698" s="3"/>
      <c r="D698" s="3" t="str">
        <f>'WS8 - Expenditure Program'!D97</f>
        <v>$ nominal</v>
      </c>
      <c r="E698" s="54"/>
      <c r="F698" s="3"/>
      <c r="G698" s="3"/>
      <c r="H698" s="3"/>
      <c r="I698" s="3"/>
      <c r="J698" s="54"/>
      <c r="K698" s="112">
        <f>'WS8 - Expenditure Program'!K97</f>
        <v>0</v>
      </c>
      <c r="L698" s="112">
        <f>'WS8 - Expenditure Program'!L97</f>
        <v>0</v>
      </c>
      <c r="M698" s="112">
        <f>'WS8 - Expenditure Program'!M97</f>
        <v>0</v>
      </c>
      <c r="N698" s="112">
        <f>'WS8 - Expenditure Program'!N97</f>
        <v>0</v>
      </c>
      <c r="O698" s="112">
        <f>'WS8 - Expenditure Program'!O97</f>
        <v>0</v>
      </c>
      <c r="P698" s="112">
        <f>'WS8 - Expenditure Program'!P97</f>
        <v>0</v>
      </c>
      <c r="Q698" s="230">
        <f>'WS8 - Expenditure Program'!Q97</f>
        <v>0</v>
      </c>
      <c r="R698" s="112">
        <f>'WS8 - Expenditure Program'!R97</f>
        <v>0</v>
      </c>
      <c r="S698" s="112">
        <f>'WS8 - Expenditure Program'!S97</f>
        <v>0</v>
      </c>
      <c r="T698" s="112">
        <f>'WS8 - Expenditure Program'!T97</f>
        <v>0</v>
      </c>
      <c r="U698" s="242">
        <f>'WS8 - Expenditure Program'!U97</f>
        <v>0</v>
      </c>
      <c r="V698" s="3"/>
      <c r="W698" s="3"/>
      <c r="X698" s="3"/>
      <c r="Y698" s="3"/>
      <c r="Z698" s="3"/>
      <c r="AA698" s="3"/>
      <c r="AB698" s="3"/>
      <c r="AC698" s="3"/>
      <c r="AD698" s="3"/>
      <c r="AE698" s="3"/>
      <c r="AF698" s="3"/>
      <c r="AG698" s="3"/>
      <c r="AH698" s="3"/>
      <c r="AI698" s="3"/>
      <c r="AJ698" s="3"/>
    </row>
    <row r="699" spans="2:36" x14ac:dyDescent="0.2">
      <c r="B699" s="495">
        <f>'WS8 - Expenditure Program'!B98</f>
        <v>0</v>
      </c>
      <c r="C699" s="3"/>
      <c r="D699" s="3" t="str">
        <f>'WS8 - Expenditure Program'!D98</f>
        <v>$ nominal</v>
      </c>
      <c r="E699" s="54"/>
      <c r="F699" s="3"/>
      <c r="G699" s="3"/>
      <c r="H699" s="3"/>
      <c r="I699" s="3"/>
      <c r="J699" s="54"/>
      <c r="K699" s="112">
        <f>'WS8 - Expenditure Program'!K98</f>
        <v>0</v>
      </c>
      <c r="L699" s="112">
        <f>'WS8 - Expenditure Program'!L98</f>
        <v>0</v>
      </c>
      <c r="M699" s="112">
        <f>'WS8 - Expenditure Program'!M98</f>
        <v>0</v>
      </c>
      <c r="N699" s="112">
        <f>'WS8 - Expenditure Program'!N98</f>
        <v>0</v>
      </c>
      <c r="O699" s="112">
        <f>'WS8 - Expenditure Program'!O98</f>
        <v>0</v>
      </c>
      <c r="P699" s="112">
        <f>'WS8 - Expenditure Program'!P98</f>
        <v>0</v>
      </c>
      <c r="Q699" s="230">
        <f>'WS8 - Expenditure Program'!Q98</f>
        <v>0</v>
      </c>
      <c r="R699" s="112">
        <f>'WS8 - Expenditure Program'!R98</f>
        <v>0</v>
      </c>
      <c r="S699" s="112">
        <f>'WS8 - Expenditure Program'!S98</f>
        <v>0</v>
      </c>
      <c r="T699" s="112">
        <f>'WS8 - Expenditure Program'!T98</f>
        <v>0</v>
      </c>
      <c r="U699" s="242">
        <f>'WS8 - Expenditure Program'!U98</f>
        <v>0</v>
      </c>
      <c r="V699" s="3"/>
      <c r="W699" s="3"/>
      <c r="X699" s="3"/>
      <c r="Y699" s="3"/>
      <c r="Z699" s="3"/>
      <c r="AA699" s="3"/>
      <c r="AB699" s="3"/>
      <c r="AC699" s="3"/>
      <c r="AD699" s="3"/>
      <c r="AE699" s="3"/>
      <c r="AF699" s="3"/>
      <c r="AG699" s="3"/>
      <c r="AH699" s="3"/>
      <c r="AI699" s="3"/>
      <c r="AJ699" s="3"/>
    </row>
    <row r="700" spans="2:36" x14ac:dyDescent="0.2">
      <c r="B700" s="495">
        <f>'WS8 - Expenditure Program'!B99</f>
        <v>0</v>
      </c>
      <c r="C700" s="3"/>
      <c r="D700" s="3" t="str">
        <f>'WS8 - Expenditure Program'!D99</f>
        <v>$ nominal</v>
      </c>
      <c r="E700" s="54"/>
      <c r="F700" s="3"/>
      <c r="G700" s="3"/>
      <c r="H700" s="3"/>
      <c r="I700" s="3"/>
      <c r="J700" s="54"/>
      <c r="K700" s="112">
        <f>'WS8 - Expenditure Program'!K99</f>
        <v>0</v>
      </c>
      <c r="L700" s="112">
        <f>'WS8 - Expenditure Program'!L99</f>
        <v>0</v>
      </c>
      <c r="M700" s="112">
        <f>'WS8 - Expenditure Program'!M99</f>
        <v>0</v>
      </c>
      <c r="N700" s="112">
        <f>'WS8 - Expenditure Program'!N99</f>
        <v>0</v>
      </c>
      <c r="O700" s="112">
        <f>'WS8 - Expenditure Program'!O99</f>
        <v>0</v>
      </c>
      <c r="P700" s="112">
        <f>'WS8 - Expenditure Program'!P99</f>
        <v>0</v>
      </c>
      <c r="Q700" s="230">
        <f>'WS8 - Expenditure Program'!Q99</f>
        <v>0</v>
      </c>
      <c r="R700" s="112">
        <f>'WS8 - Expenditure Program'!R99</f>
        <v>0</v>
      </c>
      <c r="S700" s="112">
        <f>'WS8 - Expenditure Program'!S99</f>
        <v>0</v>
      </c>
      <c r="T700" s="112">
        <f>'WS8 - Expenditure Program'!T99</f>
        <v>0</v>
      </c>
      <c r="U700" s="242">
        <f>'WS8 - Expenditure Program'!U99</f>
        <v>0</v>
      </c>
      <c r="V700" s="3"/>
      <c r="W700" s="3"/>
      <c r="X700" s="3"/>
      <c r="Y700" s="3"/>
      <c r="Z700" s="3"/>
      <c r="AA700" s="3"/>
      <c r="AB700" s="3"/>
      <c r="AC700" s="3"/>
      <c r="AD700" s="3"/>
      <c r="AE700" s="3"/>
      <c r="AF700" s="3"/>
      <c r="AG700" s="3"/>
      <c r="AH700" s="3"/>
      <c r="AI700" s="3"/>
      <c r="AJ700" s="3"/>
    </row>
    <row r="701" spans="2:36" x14ac:dyDescent="0.2">
      <c r="B701" s="495">
        <f>'WS8 - Expenditure Program'!B100</f>
        <v>0</v>
      </c>
      <c r="C701" s="3"/>
      <c r="D701" s="3" t="str">
        <f>'WS8 - Expenditure Program'!D100</f>
        <v>$ nominal</v>
      </c>
      <c r="E701" s="54"/>
      <c r="F701" s="3"/>
      <c r="G701" s="3"/>
      <c r="H701" s="3"/>
      <c r="I701" s="3"/>
      <c r="J701" s="54"/>
      <c r="K701" s="112">
        <f>'WS8 - Expenditure Program'!K100</f>
        <v>0</v>
      </c>
      <c r="L701" s="112">
        <f>'WS8 - Expenditure Program'!L100</f>
        <v>0</v>
      </c>
      <c r="M701" s="112">
        <f>'WS8 - Expenditure Program'!M100</f>
        <v>0</v>
      </c>
      <c r="N701" s="112">
        <f>'WS8 - Expenditure Program'!N100</f>
        <v>0</v>
      </c>
      <c r="O701" s="112">
        <f>'WS8 - Expenditure Program'!O100</f>
        <v>0</v>
      </c>
      <c r="P701" s="112">
        <f>'WS8 - Expenditure Program'!P100</f>
        <v>0</v>
      </c>
      <c r="Q701" s="230">
        <f>'WS8 - Expenditure Program'!Q100</f>
        <v>0</v>
      </c>
      <c r="R701" s="112">
        <f>'WS8 - Expenditure Program'!R100</f>
        <v>0</v>
      </c>
      <c r="S701" s="112">
        <f>'WS8 - Expenditure Program'!S100</f>
        <v>0</v>
      </c>
      <c r="T701" s="112">
        <f>'WS8 - Expenditure Program'!T100</f>
        <v>0</v>
      </c>
      <c r="U701" s="242">
        <f>'WS8 - Expenditure Program'!U100</f>
        <v>0</v>
      </c>
      <c r="V701" s="3"/>
      <c r="W701" s="3"/>
      <c r="X701" s="3"/>
      <c r="Y701" s="3"/>
      <c r="Z701" s="3"/>
      <c r="AA701" s="3"/>
      <c r="AB701" s="3"/>
      <c r="AC701" s="3"/>
      <c r="AD701" s="3"/>
      <c r="AE701" s="3"/>
      <c r="AF701" s="3"/>
      <c r="AG701" s="3"/>
      <c r="AH701" s="3"/>
      <c r="AI701" s="3"/>
      <c r="AJ701" s="3"/>
    </row>
    <row r="702" spans="2:36" x14ac:dyDescent="0.2">
      <c r="B702" s="495">
        <f>'WS8 - Expenditure Program'!B101</f>
        <v>0</v>
      </c>
      <c r="C702" s="3"/>
      <c r="D702" s="3" t="str">
        <f>'WS8 - Expenditure Program'!D101</f>
        <v>$ nominal</v>
      </c>
      <c r="E702" s="54"/>
      <c r="F702" s="3"/>
      <c r="G702" s="3"/>
      <c r="H702" s="3"/>
      <c r="I702" s="3"/>
      <c r="J702" s="54"/>
      <c r="K702" s="112">
        <f>'WS8 - Expenditure Program'!K101</f>
        <v>0</v>
      </c>
      <c r="L702" s="112">
        <f>'WS8 - Expenditure Program'!L101</f>
        <v>0</v>
      </c>
      <c r="M702" s="112">
        <f>'WS8 - Expenditure Program'!M101</f>
        <v>0</v>
      </c>
      <c r="N702" s="112">
        <f>'WS8 - Expenditure Program'!N101</f>
        <v>0</v>
      </c>
      <c r="O702" s="112">
        <f>'WS8 - Expenditure Program'!O101</f>
        <v>0</v>
      </c>
      <c r="P702" s="112">
        <f>'WS8 - Expenditure Program'!P101</f>
        <v>0</v>
      </c>
      <c r="Q702" s="230">
        <f>'WS8 - Expenditure Program'!Q101</f>
        <v>0</v>
      </c>
      <c r="R702" s="112">
        <f>'WS8 - Expenditure Program'!R101</f>
        <v>0</v>
      </c>
      <c r="S702" s="112">
        <f>'WS8 - Expenditure Program'!S101</f>
        <v>0</v>
      </c>
      <c r="T702" s="112">
        <f>'WS8 - Expenditure Program'!T101</f>
        <v>0</v>
      </c>
      <c r="U702" s="242">
        <f>'WS8 - Expenditure Program'!U101</f>
        <v>0</v>
      </c>
      <c r="V702" s="3"/>
      <c r="W702" s="3"/>
      <c r="X702" s="3"/>
      <c r="Y702" s="3"/>
      <c r="Z702" s="3"/>
      <c r="AA702" s="3"/>
      <c r="AB702" s="3"/>
      <c r="AC702" s="3"/>
      <c r="AD702" s="3"/>
      <c r="AE702" s="3"/>
      <c r="AF702" s="3"/>
      <c r="AG702" s="3"/>
      <c r="AH702" s="3"/>
      <c r="AI702" s="3"/>
      <c r="AJ702" s="3"/>
    </row>
    <row r="703" spans="2:36" x14ac:dyDescent="0.2">
      <c r="B703" s="495">
        <f>'WS8 - Expenditure Program'!B102</f>
        <v>0</v>
      </c>
      <c r="C703" s="3"/>
      <c r="D703" s="3" t="str">
        <f>'WS8 - Expenditure Program'!D102</f>
        <v>$ nominal</v>
      </c>
      <c r="E703" s="54"/>
      <c r="F703" s="3"/>
      <c r="G703" s="3"/>
      <c r="H703" s="3"/>
      <c r="I703" s="3"/>
      <c r="J703" s="54"/>
      <c r="K703" s="112">
        <f>'WS8 - Expenditure Program'!K102</f>
        <v>0</v>
      </c>
      <c r="L703" s="112">
        <f>'WS8 - Expenditure Program'!L102</f>
        <v>0</v>
      </c>
      <c r="M703" s="112">
        <f>'WS8 - Expenditure Program'!M102</f>
        <v>0</v>
      </c>
      <c r="N703" s="112">
        <f>'WS8 - Expenditure Program'!N102</f>
        <v>0</v>
      </c>
      <c r="O703" s="112">
        <f>'WS8 - Expenditure Program'!O102</f>
        <v>0</v>
      </c>
      <c r="P703" s="112">
        <f>'WS8 - Expenditure Program'!P102</f>
        <v>0</v>
      </c>
      <c r="Q703" s="230">
        <f>'WS8 - Expenditure Program'!Q102</f>
        <v>0</v>
      </c>
      <c r="R703" s="112">
        <f>'WS8 - Expenditure Program'!R102</f>
        <v>0</v>
      </c>
      <c r="S703" s="112">
        <f>'WS8 - Expenditure Program'!S102</f>
        <v>0</v>
      </c>
      <c r="T703" s="112">
        <f>'WS8 - Expenditure Program'!T102</f>
        <v>0</v>
      </c>
      <c r="U703" s="242">
        <f>'WS8 - Expenditure Program'!U102</f>
        <v>0</v>
      </c>
      <c r="V703" s="3"/>
      <c r="W703" s="3"/>
      <c r="X703" s="3"/>
      <c r="Y703" s="3"/>
      <c r="Z703" s="3"/>
      <c r="AA703" s="3"/>
      <c r="AB703" s="3"/>
      <c r="AC703" s="3"/>
      <c r="AD703" s="3"/>
      <c r="AE703" s="3"/>
      <c r="AF703" s="3"/>
      <c r="AG703" s="3"/>
      <c r="AH703" s="3"/>
      <c r="AI703" s="3"/>
      <c r="AJ703" s="3"/>
    </row>
    <row r="704" spans="2:36" x14ac:dyDescent="0.2">
      <c r="B704" s="495">
        <f>'WS8 - Expenditure Program'!B103</f>
        <v>0</v>
      </c>
      <c r="C704" s="3"/>
      <c r="D704" s="3" t="str">
        <f>'WS8 - Expenditure Program'!D103</f>
        <v>$ nominal</v>
      </c>
      <c r="E704" s="54"/>
      <c r="F704" s="3"/>
      <c r="G704" s="3"/>
      <c r="H704" s="3"/>
      <c r="I704" s="3"/>
      <c r="J704" s="54"/>
      <c r="K704" s="112">
        <f>'WS8 - Expenditure Program'!K103</f>
        <v>0</v>
      </c>
      <c r="L704" s="112">
        <f>'WS8 - Expenditure Program'!L103</f>
        <v>0</v>
      </c>
      <c r="M704" s="112">
        <f>'WS8 - Expenditure Program'!M103</f>
        <v>0</v>
      </c>
      <c r="N704" s="112">
        <f>'WS8 - Expenditure Program'!N103</f>
        <v>0</v>
      </c>
      <c r="O704" s="112">
        <f>'WS8 - Expenditure Program'!O103</f>
        <v>0</v>
      </c>
      <c r="P704" s="112">
        <f>'WS8 - Expenditure Program'!P103</f>
        <v>0</v>
      </c>
      <c r="Q704" s="230">
        <f>'WS8 - Expenditure Program'!Q103</f>
        <v>0</v>
      </c>
      <c r="R704" s="112">
        <f>'WS8 - Expenditure Program'!R103</f>
        <v>0</v>
      </c>
      <c r="S704" s="112">
        <f>'WS8 - Expenditure Program'!S103</f>
        <v>0</v>
      </c>
      <c r="T704" s="112">
        <f>'WS8 - Expenditure Program'!T103</f>
        <v>0</v>
      </c>
      <c r="U704" s="242">
        <f>'WS8 - Expenditure Program'!U103</f>
        <v>0</v>
      </c>
      <c r="V704" s="3"/>
      <c r="W704" s="3"/>
      <c r="X704" s="3"/>
      <c r="Y704" s="3"/>
      <c r="Z704" s="3"/>
      <c r="AA704" s="3"/>
      <c r="AB704" s="3"/>
      <c r="AC704" s="3"/>
      <c r="AD704" s="3"/>
      <c r="AE704" s="3"/>
      <c r="AF704" s="3"/>
      <c r="AG704" s="3"/>
      <c r="AH704" s="3"/>
      <c r="AI704" s="3"/>
      <c r="AJ704" s="3"/>
    </row>
    <row r="705" spans="2:36" x14ac:dyDescent="0.2">
      <c r="B705" s="495">
        <f>'WS8 - Expenditure Program'!B104</f>
        <v>0</v>
      </c>
      <c r="C705" s="3"/>
      <c r="D705" s="3" t="str">
        <f>'WS8 - Expenditure Program'!D104</f>
        <v>$ nominal</v>
      </c>
      <c r="E705" s="54"/>
      <c r="F705" s="3"/>
      <c r="G705" s="3"/>
      <c r="H705" s="3"/>
      <c r="I705" s="3"/>
      <c r="J705" s="54"/>
      <c r="K705" s="112">
        <f>'WS8 - Expenditure Program'!K104</f>
        <v>0</v>
      </c>
      <c r="L705" s="112">
        <f>'WS8 - Expenditure Program'!L104</f>
        <v>0</v>
      </c>
      <c r="M705" s="112">
        <f>'WS8 - Expenditure Program'!M104</f>
        <v>0</v>
      </c>
      <c r="N705" s="112">
        <f>'WS8 - Expenditure Program'!N104</f>
        <v>0</v>
      </c>
      <c r="O705" s="112">
        <f>'WS8 - Expenditure Program'!O104</f>
        <v>0</v>
      </c>
      <c r="P705" s="112">
        <f>'WS8 - Expenditure Program'!P104</f>
        <v>0</v>
      </c>
      <c r="Q705" s="230">
        <f>'WS8 - Expenditure Program'!Q104</f>
        <v>0</v>
      </c>
      <c r="R705" s="112">
        <f>'WS8 - Expenditure Program'!R104</f>
        <v>0</v>
      </c>
      <c r="S705" s="112">
        <f>'WS8 - Expenditure Program'!S104</f>
        <v>0</v>
      </c>
      <c r="T705" s="112">
        <f>'WS8 - Expenditure Program'!T104</f>
        <v>0</v>
      </c>
      <c r="U705" s="242">
        <f>'WS8 - Expenditure Program'!U104</f>
        <v>0</v>
      </c>
      <c r="V705" s="3"/>
      <c r="W705" s="3"/>
      <c r="X705" s="3"/>
      <c r="Y705" s="3"/>
      <c r="Z705" s="3"/>
      <c r="AA705" s="3"/>
      <c r="AB705" s="3"/>
      <c r="AC705" s="3"/>
      <c r="AD705" s="3"/>
      <c r="AE705" s="3"/>
      <c r="AF705" s="3"/>
      <c r="AG705" s="3"/>
      <c r="AH705" s="3"/>
      <c r="AI705" s="3"/>
      <c r="AJ705" s="3"/>
    </row>
    <row r="706" spans="2:36" x14ac:dyDescent="0.2">
      <c r="B706" s="495">
        <f>'WS8 - Expenditure Program'!B105</f>
        <v>0</v>
      </c>
      <c r="C706" s="3"/>
      <c r="D706" s="3" t="str">
        <f>'WS8 - Expenditure Program'!D105</f>
        <v>$ nominal</v>
      </c>
      <c r="E706" s="54"/>
      <c r="F706" s="3"/>
      <c r="G706" s="3"/>
      <c r="H706" s="3"/>
      <c r="I706" s="3"/>
      <c r="J706" s="54"/>
      <c r="K706" s="112">
        <f>'WS8 - Expenditure Program'!K105</f>
        <v>0</v>
      </c>
      <c r="L706" s="112">
        <f>'WS8 - Expenditure Program'!L105</f>
        <v>0</v>
      </c>
      <c r="M706" s="112">
        <f>'WS8 - Expenditure Program'!M105</f>
        <v>0</v>
      </c>
      <c r="N706" s="112">
        <f>'WS8 - Expenditure Program'!N105</f>
        <v>0</v>
      </c>
      <c r="O706" s="112">
        <f>'WS8 - Expenditure Program'!O105</f>
        <v>0</v>
      </c>
      <c r="P706" s="112">
        <f>'WS8 - Expenditure Program'!P105</f>
        <v>0</v>
      </c>
      <c r="Q706" s="230">
        <f>'WS8 - Expenditure Program'!Q105</f>
        <v>0</v>
      </c>
      <c r="R706" s="112">
        <f>'WS8 - Expenditure Program'!R105</f>
        <v>0</v>
      </c>
      <c r="S706" s="112">
        <f>'WS8 - Expenditure Program'!S105</f>
        <v>0</v>
      </c>
      <c r="T706" s="112">
        <f>'WS8 - Expenditure Program'!T105</f>
        <v>0</v>
      </c>
      <c r="U706" s="242">
        <f>'WS8 - Expenditure Program'!U105</f>
        <v>0</v>
      </c>
      <c r="V706" s="3"/>
      <c r="W706" s="3"/>
      <c r="X706" s="3"/>
      <c r="Y706" s="3"/>
      <c r="Z706" s="3"/>
      <c r="AA706" s="3"/>
      <c r="AB706" s="3"/>
      <c r="AC706" s="3"/>
      <c r="AD706" s="3"/>
      <c r="AE706" s="3"/>
      <c r="AF706" s="3"/>
      <c r="AG706" s="3"/>
      <c r="AH706" s="3"/>
      <c r="AI706" s="3"/>
      <c r="AJ706" s="3"/>
    </row>
    <row r="707" spans="2:36" x14ac:dyDescent="0.2">
      <c r="B707" s="495">
        <f>'WS8 - Expenditure Program'!B106</f>
        <v>0</v>
      </c>
      <c r="C707" s="3"/>
      <c r="D707" s="3" t="str">
        <f>'WS8 - Expenditure Program'!D106</f>
        <v>$ nominal</v>
      </c>
      <c r="E707" s="54"/>
      <c r="F707" s="3"/>
      <c r="G707" s="3"/>
      <c r="H707" s="3"/>
      <c r="I707" s="3"/>
      <c r="J707" s="54"/>
      <c r="K707" s="112">
        <f>'WS8 - Expenditure Program'!K106</f>
        <v>0</v>
      </c>
      <c r="L707" s="112">
        <f>'WS8 - Expenditure Program'!L106</f>
        <v>0</v>
      </c>
      <c r="M707" s="112">
        <f>'WS8 - Expenditure Program'!M106</f>
        <v>0</v>
      </c>
      <c r="N707" s="112">
        <f>'WS8 - Expenditure Program'!N106</f>
        <v>0</v>
      </c>
      <c r="O707" s="112">
        <f>'WS8 - Expenditure Program'!O106</f>
        <v>0</v>
      </c>
      <c r="P707" s="112">
        <f>'WS8 - Expenditure Program'!P106</f>
        <v>0</v>
      </c>
      <c r="Q707" s="230">
        <f>'WS8 - Expenditure Program'!Q106</f>
        <v>0</v>
      </c>
      <c r="R707" s="112">
        <f>'WS8 - Expenditure Program'!R106</f>
        <v>0</v>
      </c>
      <c r="S707" s="112">
        <f>'WS8 - Expenditure Program'!S106</f>
        <v>0</v>
      </c>
      <c r="T707" s="112">
        <f>'WS8 - Expenditure Program'!T106</f>
        <v>0</v>
      </c>
      <c r="U707" s="242">
        <f>'WS8 - Expenditure Program'!U106</f>
        <v>0</v>
      </c>
      <c r="V707" s="3"/>
      <c r="W707" s="3"/>
      <c r="X707" s="3"/>
      <c r="Y707" s="3"/>
      <c r="Z707" s="3"/>
      <c r="AA707" s="3"/>
      <c r="AB707" s="3"/>
      <c r="AC707" s="3"/>
      <c r="AD707" s="3"/>
      <c r="AE707" s="3"/>
      <c r="AF707" s="3"/>
      <c r="AG707" s="3"/>
      <c r="AH707" s="3"/>
      <c r="AI707" s="3"/>
      <c r="AJ707" s="3"/>
    </row>
    <row r="708" spans="2:36" x14ac:dyDescent="0.2">
      <c r="B708" s="495">
        <f>'WS8 - Expenditure Program'!B107</f>
        <v>0</v>
      </c>
      <c r="C708" s="3"/>
      <c r="D708" s="3" t="str">
        <f>'WS8 - Expenditure Program'!D107</f>
        <v>$ nominal</v>
      </c>
      <c r="E708" s="54"/>
      <c r="F708" s="3"/>
      <c r="G708" s="3"/>
      <c r="H708" s="3"/>
      <c r="I708" s="3"/>
      <c r="J708" s="54"/>
      <c r="K708" s="112">
        <f>'WS8 - Expenditure Program'!K107</f>
        <v>0</v>
      </c>
      <c r="L708" s="112">
        <f>'WS8 - Expenditure Program'!L107</f>
        <v>0</v>
      </c>
      <c r="M708" s="112">
        <f>'WS8 - Expenditure Program'!M107</f>
        <v>0</v>
      </c>
      <c r="N708" s="112">
        <f>'WS8 - Expenditure Program'!N107</f>
        <v>0</v>
      </c>
      <c r="O708" s="112">
        <f>'WS8 - Expenditure Program'!O107</f>
        <v>0</v>
      </c>
      <c r="P708" s="112">
        <f>'WS8 - Expenditure Program'!P107</f>
        <v>0</v>
      </c>
      <c r="Q708" s="230">
        <f>'WS8 - Expenditure Program'!Q107</f>
        <v>0</v>
      </c>
      <c r="R708" s="112">
        <f>'WS8 - Expenditure Program'!R107</f>
        <v>0</v>
      </c>
      <c r="S708" s="112">
        <f>'WS8 - Expenditure Program'!S107</f>
        <v>0</v>
      </c>
      <c r="T708" s="112">
        <f>'WS8 - Expenditure Program'!T107</f>
        <v>0</v>
      </c>
      <c r="U708" s="242">
        <f>'WS8 - Expenditure Program'!U107</f>
        <v>0</v>
      </c>
      <c r="V708" s="3"/>
      <c r="W708" s="3"/>
      <c r="X708" s="3"/>
      <c r="Y708" s="3"/>
      <c r="Z708" s="3"/>
      <c r="AA708" s="3"/>
      <c r="AB708" s="3"/>
      <c r="AC708" s="3"/>
      <c r="AD708" s="3"/>
      <c r="AE708" s="3"/>
      <c r="AF708" s="3"/>
      <c r="AG708" s="3"/>
      <c r="AH708" s="3"/>
      <c r="AI708" s="3"/>
      <c r="AJ708" s="3"/>
    </row>
    <row r="709" spans="2:36" x14ac:dyDescent="0.2">
      <c r="B709" s="495">
        <f>'WS8 - Expenditure Program'!B108</f>
        <v>0</v>
      </c>
      <c r="C709" s="3"/>
      <c r="D709" s="3" t="str">
        <f>'WS8 - Expenditure Program'!D108</f>
        <v>$ nominal</v>
      </c>
      <c r="E709" s="54"/>
      <c r="F709" s="3"/>
      <c r="G709" s="3"/>
      <c r="H709" s="3"/>
      <c r="I709" s="3"/>
      <c r="J709" s="54"/>
      <c r="K709" s="112">
        <f>'WS8 - Expenditure Program'!K108</f>
        <v>0</v>
      </c>
      <c r="L709" s="112">
        <f>'WS8 - Expenditure Program'!L108</f>
        <v>0</v>
      </c>
      <c r="M709" s="112">
        <f>'WS8 - Expenditure Program'!M108</f>
        <v>0</v>
      </c>
      <c r="N709" s="112">
        <f>'WS8 - Expenditure Program'!N108</f>
        <v>0</v>
      </c>
      <c r="O709" s="112">
        <f>'WS8 - Expenditure Program'!O108</f>
        <v>0</v>
      </c>
      <c r="P709" s="112">
        <f>'WS8 - Expenditure Program'!P108</f>
        <v>0</v>
      </c>
      <c r="Q709" s="230">
        <f>'WS8 - Expenditure Program'!Q108</f>
        <v>0</v>
      </c>
      <c r="R709" s="112">
        <f>'WS8 - Expenditure Program'!R108</f>
        <v>0</v>
      </c>
      <c r="S709" s="112">
        <f>'WS8 - Expenditure Program'!S108</f>
        <v>0</v>
      </c>
      <c r="T709" s="112">
        <f>'WS8 - Expenditure Program'!T108</f>
        <v>0</v>
      </c>
      <c r="U709" s="242">
        <f>'WS8 - Expenditure Program'!U108</f>
        <v>0</v>
      </c>
      <c r="V709" s="3"/>
      <c r="W709" s="3"/>
      <c r="X709" s="3"/>
      <c r="Y709" s="3"/>
      <c r="Z709" s="3"/>
      <c r="AA709" s="3"/>
      <c r="AB709" s="3"/>
      <c r="AC709" s="3"/>
      <c r="AD709" s="3"/>
      <c r="AE709" s="3"/>
      <c r="AF709" s="3"/>
      <c r="AG709" s="3"/>
      <c r="AH709" s="3"/>
      <c r="AI709" s="3"/>
      <c r="AJ709" s="3"/>
    </row>
    <row r="710" spans="2:36" x14ac:dyDescent="0.2">
      <c r="B710" s="495">
        <f>'WS8 - Expenditure Program'!B109</f>
        <v>0</v>
      </c>
      <c r="C710" s="3"/>
      <c r="D710" s="3" t="str">
        <f>'WS8 - Expenditure Program'!D109</f>
        <v>$ nominal</v>
      </c>
      <c r="E710" s="54"/>
      <c r="F710" s="3"/>
      <c r="G710" s="3"/>
      <c r="H710" s="3"/>
      <c r="I710" s="3"/>
      <c r="J710" s="54"/>
      <c r="K710" s="112">
        <f>'WS8 - Expenditure Program'!K109</f>
        <v>0</v>
      </c>
      <c r="L710" s="112">
        <f>'WS8 - Expenditure Program'!L109</f>
        <v>0</v>
      </c>
      <c r="M710" s="112">
        <f>'WS8 - Expenditure Program'!M109</f>
        <v>0</v>
      </c>
      <c r="N710" s="112">
        <f>'WS8 - Expenditure Program'!N109</f>
        <v>0</v>
      </c>
      <c r="O710" s="112">
        <f>'WS8 - Expenditure Program'!O109</f>
        <v>0</v>
      </c>
      <c r="P710" s="112">
        <f>'WS8 - Expenditure Program'!P109</f>
        <v>0</v>
      </c>
      <c r="Q710" s="230">
        <f>'WS8 - Expenditure Program'!Q109</f>
        <v>0</v>
      </c>
      <c r="R710" s="112">
        <f>'WS8 - Expenditure Program'!R109</f>
        <v>0</v>
      </c>
      <c r="S710" s="112">
        <f>'WS8 - Expenditure Program'!S109</f>
        <v>0</v>
      </c>
      <c r="T710" s="112">
        <f>'WS8 - Expenditure Program'!T109</f>
        <v>0</v>
      </c>
      <c r="U710" s="242">
        <f>'WS8 - Expenditure Program'!U109</f>
        <v>0</v>
      </c>
      <c r="V710" s="3"/>
      <c r="W710" s="3"/>
      <c r="X710" s="3"/>
      <c r="Y710" s="3"/>
      <c r="Z710" s="3"/>
      <c r="AA710" s="3"/>
      <c r="AB710" s="3"/>
      <c r="AC710" s="3"/>
      <c r="AD710" s="3"/>
      <c r="AE710" s="3"/>
      <c r="AF710" s="3"/>
      <c r="AG710" s="3"/>
      <c r="AH710" s="3"/>
      <c r="AI710" s="3"/>
      <c r="AJ710" s="3"/>
    </row>
    <row r="711" spans="2:36" x14ac:dyDescent="0.2">
      <c r="B711" s="495">
        <f>'WS8 - Expenditure Program'!B110</f>
        <v>0</v>
      </c>
      <c r="C711" s="3"/>
      <c r="D711" s="3" t="str">
        <f>'WS8 - Expenditure Program'!D110</f>
        <v>$ nominal</v>
      </c>
      <c r="E711" s="54"/>
      <c r="F711" s="3"/>
      <c r="G711" s="3"/>
      <c r="H711" s="3"/>
      <c r="I711" s="3"/>
      <c r="J711" s="54"/>
      <c r="K711" s="112">
        <f>'WS8 - Expenditure Program'!K110</f>
        <v>0</v>
      </c>
      <c r="L711" s="112">
        <f>'WS8 - Expenditure Program'!L110</f>
        <v>0</v>
      </c>
      <c r="M711" s="112">
        <f>'WS8 - Expenditure Program'!M110</f>
        <v>0</v>
      </c>
      <c r="N711" s="112">
        <f>'WS8 - Expenditure Program'!N110</f>
        <v>0</v>
      </c>
      <c r="O711" s="112">
        <f>'WS8 - Expenditure Program'!O110</f>
        <v>0</v>
      </c>
      <c r="P711" s="112">
        <f>'WS8 - Expenditure Program'!P110</f>
        <v>0</v>
      </c>
      <c r="Q711" s="230">
        <f>'WS8 - Expenditure Program'!Q110</f>
        <v>0</v>
      </c>
      <c r="R711" s="112">
        <f>'WS8 - Expenditure Program'!R110</f>
        <v>0</v>
      </c>
      <c r="S711" s="112">
        <f>'WS8 - Expenditure Program'!S110</f>
        <v>0</v>
      </c>
      <c r="T711" s="112">
        <f>'WS8 - Expenditure Program'!T110</f>
        <v>0</v>
      </c>
      <c r="U711" s="242">
        <f>'WS8 - Expenditure Program'!U110</f>
        <v>0</v>
      </c>
      <c r="V711" s="3"/>
      <c r="W711" s="3"/>
      <c r="X711" s="3"/>
      <c r="Y711" s="3"/>
      <c r="Z711" s="3"/>
      <c r="AA711" s="3"/>
      <c r="AB711" s="3"/>
      <c r="AC711" s="3"/>
      <c r="AD711" s="3"/>
      <c r="AE711" s="3"/>
      <c r="AF711" s="3"/>
      <c r="AG711" s="3"/>
      <c r="AH711" s="3"/>
      <c r="AI711" s="3"/>
      <c r="AJ711" s="3"/>
    </row>
    <row r="712" spans="2:36" x14ac:dyDescent="0.2">
      <c r="B712" s="495">
        <f>'WS8 - Expenditure Program'!B111</f>
        <v>0</v>
      </c>
      <c r="C712" s="3"/>
      <c r="D712" s="3" t="str">
        <f>'WS8 - Expenditure Program'!D111</f>
        <v>$ nominal</v>
      </c>
      <c r="E712" s="54"/>
      <c r="F712" s="3"/>
      <c r="G712" s="3"/>
      <c r="H712" s="3"/>
      <c r="I712" s="3"/>
      <c r="J712" s="54"/>
      <c r="K712" s="112">
        <f>'WS8 - Expenditure Program'!K111</f>
        <v>0</v>
      </c>
      <c r="L712" s="112">
        <f>'WS8 - Expenditure Program'!L111</f>
        <v>0</v>
      </c>
      <c r="M712" s="112">
        <f>'WS8 - Expenditure Program'!M111</f>
        <v>0</v>
      </c>
      <c r="N712" s="112">
        <f>'WS8 - Expenditure Program'!N111</f>
        <v>0</v>
      </c>
      <c r="O712" s="112">
        <f>'WS8 - Expenditure Program'!O111</f>
        <v>0</v>
      </c>
      <c r="P712" s="112">
        <f>'WS8 - Expenditure Program'!P111</f>
        <v>0</v>
      </c>
      <c r="Q712" s="230">
        <f>'WS8 - Expenditure Program'!Q111</f>
        <v>0</v>
      </c>
      <c r="R712" s="112">
        <f>'WS8 - Expenditure Program'!R111</f>
        <v>0</v>
      </c>
      <c r="S712" s="112">
        <f>'WS8 - Expenditure Program'!S111</f>
        <v>0</v>
      </c>
      <c r="T712" s="112">
        <f>'WS8 - Expenditure Program'!T111</f>
        <v>0</v>
      </c>
      <c r="U712" s="242">
        <f>'WS8 - Expenditure Program'!U111</f>
        <v>0</v>
      </c>
      <c r="V712" s="3"/>
      <c r="W712" s="3"/>
      <c r="X712" s="3"/>
      <c r="Y712" s="3"/>
      <c r="Z712" s="3"/>
      <c r="AA712" s="3"/>
      <c r="AB712" s="3"/>
      <c r="AC712" s="3"/>
      <c r="AD712" s="3"/>
      <c r="AE712" s="3"/>
      <c r="AF712" s="3"/>
      <c r="AG712" s="3"/>
      <c r="AH712" s="3"/>
      <c r="AI712" s="3"/>
      <c r="AJ712" s="3"/>
    </row>
    <row r="713" spans="2:36" x14ac:dyDescent="0.2">
      <c r="B713" s="495">
        <f>'WS8 - Expenditure Program'!B112</f>
        <v>0</v>
      </c>
      <c r="C713" s="3"/>
      <c r="D713" s="3" t="str">
        <f>'WS8 - Expenditure Program'!D112</f>
        <v>$ nominal</v>
      </c>
      <c r="E713" s="54"/>
      <c r="F713" s="3"/>
      <c r="G713" s="3"/>
      <c r="H713" s="3"/>
      <c r="I713" s="3"/>
      <c r="J713" s="54"/>
      <c r="K713" s="112">
        <f>'WS8 - Expenditure Program'!K112</f>
        <v>0</v>
      </c>
      <c r="L713" s="112">
        <f>'WS8 - Expenditure Program'!L112</f>
        <v>0</v>
      </c>
      <c r="M713" s="112">
        <f>'WS8 - Expenditure Program'!M112</f>
        <v>0</v>
      </c>
      <c r="N713" s="112">
        <f>'WS8 - Expenditure Program'!N112</f>
        <v>0</v>
      </c>
      <c r="O713" s="112">
        <f>'WS8 - Expenditure Program'!O112</f>
        <v>0</v>
      </c>
      <c r="P713" s="112">
        <f>'WS8 - Expenditure Program'!P112</f>
        <v>0</v>
      </c>
      <c r="Q713" s="230">
        <f>'WS8 - Expenditure Program'!Q112</f>
        <v>0</v>
      </c>
      <c r="R713" s="112">
        <f>'WS8 - Expenditure Program'!R112</f>
        <v>0</v>
      </c>
      <c r="S713" s="112">
        <f>'WS8 - Expenditure Program'!S112</f>
        <v>0</v>
      </c>
      <c r="T713" s="112">
        <f>'WS8 - Expenditure Program'!T112</f>
        <v>0</v>
      </c>
      <c r="U713" s="242">
        <f>'WS8 - Expenditure Program'!U112</f>
        <v>0</v>
      </c>
      <c r="V713" s="3"/>
      <c r="W713" s="3"/>
      <c r="X713" s="3"/>
      <c r="Y713" s="3"/>
      <c r="Z713" s="3"/>
      <c r="AA713" s="3"/>
      <c r="AB713" s="3"/>
      <c r="AC713" s="3"/>
      <c r="AD713" s="3"/>
      <c r="AE713" s="3"/>
      <c r="AF713" s="3"/>
      <c r="AG713" s="3"/>
      <c r="AH713" s="3"/>
      <c r="AI713" s="3"/>
      <c r="AJ713" s="3"/>
    </row>
    <row r="714" spans="2:36" x14ac:dyDescent="0.2">
      <c r="B714" s="495">
        <f>'WS8 - Expenditure Program'!B113</f>
        <v>0</v>
      </c>
      <c r="C714" s="3"/>
      <c r="D714" s="3" t="str">
        <f>'WS8 - Expenditure Program'!D113</f>
        <v>$ nominal</v>
      </c>
      <c r="E714" s="54"/>
      <c r="F714" s="3"/>
      <c r="G714" s="3"/>
      <c r="H714" s="3"/>
      <c r="I714" s="3"/>
      <c r="J714" s="54"/>
      <c r="K714" s="112">
        <f>'WS8 - Expenditure Program'!K113</f>
        <v>0</v>
      </c>
      <c r="L714" s="112">
        <f>'WS8 - Expenditure Program'!L113</f>
        <v>0</v>
      </c>
      <c r="M714" s="112">
        <f>'WS8 - Expenditure Program'!M113</f>
        <v>0</v>
      </c>
      <c r="N714" s="112">
        <f>'WS8 - Expenditure Program'!N113</f>
        <v>0</v>
      </c>
      <c r="O714" s="112">
        <f>'WS8 - Expenditure Program'!O113</f>
        <v>0</v>
      </c>
      <c r="P714" s="112">
        <f>'WS8 - Expenditure Program'!P113</f>
        <v>0</v>
      </c>
      <c r="Q714" s="230">
        <f>'WS8 - Expenditure Program'!Q113</f>
        <v>0</v>
      </c>
      <c r="R714" s="112">
        <f>'WS8 - Expenditure Program'!R113</f>
        <v>0</v>
      </c>
      <c r="S714" s="112">
        <f>'WS8 - Expenditure Program'!S113</f>
        <v>0</v>
      </c>
      <c r="T714" s="112">
        <f>'WS8 - Expenditure Program'!T113</f>
        <v>0</v>
      </c>
      <c r="U714" s="242">
        <f>'WS8 - Expenditure Program'!U113</f>
        <v>0</v>
      </c>
      <c r="V714" s="3"/>
      <c r="W714" s="3"/>
      <c r="X714" s="3"/>
      <c r="Y714" s="3"/>
      <c r="Z714" s="3"/>
      <c r="AA714" s="3"/>
      <c r="AB714" s="3"/>
      <c r="AC714" s="3"/>
      <c r="AD714" s="3"/>
      <c r="AE714" s="3"/>
      <c r="AF714" s="3"/>
      <c r="AG714" s="3"/>
      <c r="AH714" s="3"/>
      <c r="AI714" s="3"/>
      <c r="AJ714" s="3"/>
    </row>
    <row r="715" spans="2:36" x14ac:dyDescent="0.2">
      <c r="B715" s="495">
        <f>'WS8 - Expenditure Program'!B114</f>
        <v>0</v>
      </c>
      <c r="C715" s="3"/>
      <c r="D715" s="3" t="str">
        <f>'WS8 - Expenditure Program'!D114</f>
        <v>$ nominal</v>
      </c>
      <c r="E715" s="54"/>
      <c r="F715" s="3"/>
      <c r="G715" s="3"/>
      <c r="H715" s="3"/>
      <c r="I715" s="3"/>
      <c r="J715" s="54"/>
      <c r="K715" s="112">
        <f>'WS8 - Expenditure Program'!K114</f>
        <v>0</v>
      </c>
      <c r="L715" s="112">
        <f>'WS8 - Expenditure Program'!L114</f>
        <v>0</v>
      </c>
      <c r="M715" s="112">
        <f>'WS8 - Expenditure Program'!M114</f>
        <v>0</v>
      </c>
      <c r="N715" s="112">
        <f>'WS8 - Expenditure Program'!N114</f>
        <v>0</v>
      </c>
      <c r="O715" s="112">
        <f>'WS8 - Expenditure Program'!O114</f>
        <v>0</v>
      </c>
      <c r="P715" s="112">
        <f>'WS8 - Expenditure Program'!P114</f>
        <v>0</v>
      </c>
      <c r="Q715" s="230">
        <f>'WS8 - Expenditure Program'!Q114</f>
        <v>0</v>
      </c>
      <c r="R715" s="112">
        <f>'WS8 - Expenditure Program'!R114</f>
        <v>0</v>
      </c>
      <c r="S715" s="112">
        <f>'WS8 - Expenditure Program'!S114</f>
        <v>0</v>
      </c>
      <c r="T715" s="112">
        <f>'WS8 - Expenditure Program'!T114</f>
        <v>0</v>
      </c>
      <c r="U715" s="242">
        <f>'WS8 - Expenditure Program'!U114</f>
        <v>0</v>
      </c>
      <c r="V715" s="3"/>
      <c r="W715" s="3"/>
      <c r="X715" s="3"/>
      <c r="Y715" s="3"/>
      <c r="Z715" s="3"/>
      <c r="AA715" s="3"/>
      <c r="AB715" s="3"/>
      <c r="AC715" s="3"/>
      <c r="AD715" s="3"/>
      <c r="AE715" s="3"/>
      <c r="AF715" s="3"/>
      <c r="AG715" s="3"/>
      <c r="AH715" s="3"/>
      <c r="AI715" s="3"/>
      <c r="AJ715" s="3"/>
    </row>
    <row r="716" spans="2:36" x14ac:dyDescent="0.2">
      <c r="B716" s="495">
        <f>'WS8 - Expenditure Program'!B115</f>
        <v>0</v>
      </c>
      <c r="C716" s="3"/>
      <c r="D716" s="3" t="str">
        <f>'WS8 - Expenditure Program'!D115</f>
        <v>$ nominal</v>
      </c>
      <c r="E716" s="54"/>
      <c r="F716" s="3"/>
      <c r="G716" s="3"/>
      <c r="H716" s="3"/>
      <c r="I716" s="3"/>
      <c r="J716" s="54"/>
      <c r="K716" s="112">
        <f>'WS8 - Expenditure Program'!K115</f>
        <v>0</v>
      </c>
      <c r="L716" s="112">
        <f>'WS8 - Expenditure Program'!L115</f>
        <v>0</v>
      </c>
      <c r="M716" s="112">
        <f>'WS8 - Expenditure Program'!M115</f>
        <v>0</v>
      </c>
      <c r="N716" s="112">
        <f>'WS8 - Expenditure Program'!N115</f>
        <v>0</v>
      </c>
      <c r="O716" s="112">
        <f>'WS8 - Expenditure Program'!O115</f>
        <v>0</v>
      </c>
      <c r="P716" s="112">
        <f>'WS8 - Expenditure Program'!P115</f>
        <v>0</v>
      </c>
      <c r="Q716" s="230">
        <f>'WS8 - Expenditure Program'!Q115</f>
        <v>0</v>
      </c>
      <c r="R716" s="112">
        <f>'WS8 - Expenditure Program'!R115</f>
        <v>0</v>
      </c>
      <c r="S716" s="112">
        <f>'WS8 - Expenditure Program'!S115</f>
        <v>0</v>
      </c>
      <c r="T716" s="112">
        <f>'WS8 - Expenditure Program'!T115</f>
        <v>0</v>
      </c>
      <c r="U716" s="242">
        <f>'WS8 - Expenditure Program'!U115</f>
        <v>0</v>
      </c>
      <c r="V716" s="3"/>
      <c r="W716" s="3"/>
      <c r="X716" s="3"/>
      <c r="Y716" s="3"/>
      <c r="Z716" s="3"/>
      <c r="AA716" s="3"/>
      <c r="AB716" s="3"/>
      <c r="AC716" s="3"/>
      <c r="AD716" s="3"/>
      <c r="AE716" s="3"/>
      <c r="AF716" s="3"/>
      <c r="AG716" s="3"/>
      <c r="AH716" s="3"/>
      <c r="AI716" s="3"/>
      <c r="AJ716" s="3"/>
    </row>
    <row r="717" spans="2:36" x14ac:dyDescent="0.2">
      <c r="B717" s="495">
        <f>'WS8 - Expenditure Program'!B116</f>
        <v>0</v>
      </c>
      <c r="C717" s="3"/>
      <c r="D717" s="3" t="str">
        <f>'WS8 - Expenditure Program'!D116</f>
        <v>$ nominal</v>
      </c>
      <c r="E717" s="54"/>
      <c r="F717" s="3"/>
      <c r="G717" s="3"/>
      <c r="H717" s="3"/>
      <c r="I717" s="3"/>
      <c r="J717" s="54"/>
      <c r="K717" s="112">
        <f>'WS8 - Expenditure Program'!K116</f>
        <v>0</v>
      </c>
      <c r="L717" s="112">
        <f>'WS8 - Expenditure Program'!L116</f>
        <v>0</v>
      </c>
      <c r="M717" s="112">
        <f>'WS8 - Expenditure Program'!M116</f>
        <v>0</v>
      </c>
      <c r="N717" s="112">
        <f>'WS8 - Expenditure Program'!N116</f>
        <v>0</v>
      </c>
      <c r="O717" s="112">
        <f>'WS8 - Expenditure Program'!O116</f>
        <v>0</v>
      </c>
      <c r="P717" s="112">
        <f>'WS8 - Expenditure Program'!P116</f>
        <v>0</v>
      </c>
      <c r="Q717" s="230">
        <f>'WS8 - Expenditure Program'!Q116</f>
        <v>0</v>
      </c>
      <c r="R717" s="112">
        <f>'WS8 - Expenditure Program'!R116</f>
        <v>0</v>
      </c>
      <c r="S717" s="112">
        <f>'WS8 - Expenditure Program'!S116</f>
        <v>0</v>
      </c>
      <c r="T717" s="112">
        <f>'WS8 - Expenditure Program'!T116</f>
        <v>0</v>
      </c>
      <c r="U717" s="242">
        <f>'WS8 - Expenditure Program'!U116</f>
        <v>0</v>
      </c>
      <c r="V717" s="3"/>
      <c r="W717" s="3"/>
      <c r="X717" s="3"/>
      <c r="Y717" s="3"/>
      <c r="Z717" s="3"/>
      <c r="AA717" s="3"/>
      <c r="AB717" s="3"/>
      <c r="AC717" s="3"/>
      <c r="AD717" s="3"/>
      <c r="AE717" s="3"/>
      <c r="AF717" s="3"/>
      <c r="AG717" s="3"/>
      <c r="AH717" s="3"/>
      <c r="AI717" s="3"/>
      <c r="AJ717" s="3"/>
    </row>
    <row r="718" spans="2:36" x14ac:dyDescent="0.2">
      <c r="B718" s="495">
        <f>'WS8 - Expenditure Program'!B117</f>
        <v>0</v>
      </c>
      <c r="C718" s="3"/>
      <c r="D718" s="3" t="str">
        <f>'WS8 - Expenditure Program'!D117</f>
        <v>$ nominal</v>
      </c>
      <c r="E718" s="54"/>
      <c r="F718" s="3"/>
      <c r="G718" s="3"/>
      <c r="H718" s="3"/>
      <c r="I718" s="3"/>
      <c r="J718" s="54"/>
      <c r="K718" s="112">
        <f>'WS8 - Expenditure Program'!K117</f>
        <v>0</v>
      </c>
      <c r="L718" s="112">
        <f>'WS8 - Expenditure Program'!L117</f>
        <v>0</v>
      </c>
      <c r="M718" s="112">
        <f>'WS8 - Expenditure Program'!M117</f>
        <v>0</v>
      </c>
      <c r="N718" s="112">
        <f>'WS8 - Expenditure Program'!N117</f>
        <v>0</v>
      </c>
      <c r="O718" s="112">
        <f>'WS8 - Expenditure Program'!O117</f>
        <v>0</v>
      </c>
      <c r="P718" s="112">
        <f>'WS8 - Expenditure Program'!P117</f>
        <v>0</v>
      </c>
      <c r="Q718" s="230">
        <f>'WS8 - Expenditure Program'!Q117</f>
        <v>0</v>
      </c>
      <c r="R718" s="112">
        <f>'WS8 - Expenditure Program'!R117</f>
        <v>0</v>
      </c>
      <c r="S718" s="112">
        <f>'WS8 - Expenditure Program'!S117</f>
        <v>0</v>
      </c>
      <c r="T718" s="112">
        <f>'WS8 - Expenditure Program'!T117</f>
        <v>0</v>
      </c>
      <c r="U718" s="242">
        <f>'WS8 - Expenditure Program'!U117</f>
        <v>0</v>
      </c>
      <c r="V718" s="3"/>
      <c r="W718" s="3"/>
      <c r="X718" s="3"/>
      <c r="Y718" s="3"/>
      <c r="Z718" s="3"/>
      <c r="AA718" s="3"/>
      <c r="AB718" s="3"/>
      <c r="AC718" s="3"/>
      <c r="AD718" s="3"/>
      <c r="AE718" s="3"/>
      <c r="AF718" s="3"/>
      <c r="AG718" s="3"/>
      <c r="AH718" s="3"/>
      <c r="AI718" s="3"/>
      <c r="AJ718" s="3"/>
    </row>
    <row r="719" spans="2:36" x14ac:dyDescent="0.2">
      <c r="B719" s="495">
        <f>'WS8 - Expenditure Program'!B118</f>
        <v>0</v>
      </c>
      <c r="C719" s="3"/>
      <c r="D719" s="3" t="str">
        <f>'WS8 - Expenditure Program'!D118</f>
        <v>$ nominal</v>
      </c>
      <c r="E719" s="54"/>
      <c r="F719" s="3"/>
      <c r="G719" s="3"/>
      <c r="H719" s="3"/>
      <c r="I719" s="3"/>
      <c r="J719" s="54"/>
      <c r="K719" s="112">
        <f>'WS8 - Expenditure Program'!K118</f>
        <v>0</v>
      </c>
      <c r="L719" s="112">
        <f>'WS8 - Expenditure Program'!L118</f>
        <v>0</v>
      </c>
      <c r="M719" s="112">
        <f>'WS8 - Expenditure Program'!M118</f>
        <v>0</v>
      </c>
      <c r="N719" s="112">
        <f>'WS8 - Expenditure Program'!N118</f>
        <v>0</v>
      </c>
      <c r="O719" s="112">
        <f>'WS8 - Expenditure Program'!O118</f>
        <v>0</v>
      </c>
      <c r="P719" s="112">
        <f>'WS8 - Expenditure Program'!P118</f>
        <v>0</v>
      </c>
      <c r="Q719" s="230">
        <f>'WS8 - Expenditure Program'!Q118</f>
        <v>0</v>
      </c>
      <c r="R719" s="112">
        <f>'WS8 - Expenditure Program'!R118</f>
        <v>0</v>
      </c>
      <c r="S719" s="112">
        <f>'WS8 - Expenditure Program'!S118</f>
        <v>0</v>
      </c>
      <c r="T719" s="112">
        <f>'WS8 - Expenditure Program'!T118</f>
        <v>0</v>
      </c>
      <c r="U719" s="242">
        <f>'WS8 - Expenditure Program'!U118</f>
        <v>0</v>
      </c>
      <c r="V719" s="3"/>
      <c r="W719" s="3"/>
      <c r="X719" s="3"/>
      <c r="Y719" s="3"/>
      <c r="Z719" s="3"/>
      <c r="AA719" s="3"/>
      <c r="AB719" s="3"/>
      <c r="AC719" s="3"/>
      <c r="AD719" s="3"/>
      <c r="AE719" s="3"/>
      <c r="AF719" s="3"/>
      <c r="AG719" s="3"/>
      <c r="AH719" s="3"/>
      <c r="AI719" s="3"/>
      <c r="AJ719" s="3"/>
    </row>
    <row r="720" spans="2:36" x14ac:dyDescent="0.2">
      <c r="B720" s="495">
        <f>'WS8 - Expenditure Program'!B119</f>
        <v>0</v>
      </c>
      <c r="C720" s="3"/>
      <c r="D720" s="3" t="str">
        <f>'WS8 - Expenditure Program'!D119</f>
        <v>$ nominal</v>
      </c>
      <c r="E720" s="54"/>
      <c r="F720" s="3"/>
      <c r="G720" s="3"/>
      <c r="H720" s="3"/>
      <c r="I720" s="3"/>
      <c r="J720" s="54"/>
      <c r="K720" s="112">
        <f>'WS8 - Expenditure Program'!K119</f>
        <v>0</v>
      </c>
      <c r="L720" s="112">
        <f>'WS8 - Expenditure Program'!L119</f>
        <v>0</v>
      </c>
      <c r="M720" s="112">
        <f>'WS8 - Expenditure Program'!M119</f>
        <v>0</v>
      </c>
      <c r="N720" s="112">
        <f>'WS8 - Expenditure Program'!N119</f>
        <v>0</v>
      </c>
      <c r="O720" s="112">
        <f>'WS8 - Expenditure Program'!O119</f>
        <v>0</v>
      </c>
      <c r="P720" s="112">
        <f>'WS8 - Expenditure Program'!P119</f>
        <v>0</v>
      </c>
      <c r="Q720" s="230">
        <f>'WS8 - Expenditure Program'!Q119</f>
        <v>0</v>
      </c>
      <c r="R720" s="112">
        <f>'WS8 - Expenditure Program'!R119</f>
        <v>0</v>
      </c>
      <c r="S720" s="112">
        <f>'WS8 - Expenditure Program'!S119</f>
        <v>0</v>
      </c>
      <c r="T720" s="112">
        <f>'WS8 - Expenditure Program'!T119</f>
        <v>0</v>
      </c>
      <c r="U720" s="242">
        <f>'WS8 - Expenditure Program'!U119</f>
        <v>0</v>
      </c>
      <c r="V720" s="3"/>
      <c r="W720" s="3"/>
      <c r="X720" s="3"/>
      <c r="Y720" s="3"/>
      <c r="Z720" s="3"/>
      <c r="AA720" s="3"/>
      <c r="AB720" s="3"/>
      <c r="AC720" s="3"/>
      <c r="AD720" s="3"/>
      <c r="AE720" s="3"/>
      <c r="AF720" s="3"/>
      <c r="AG720" s="3"/>
      <c r="AH720" s="3"/>
      <c r="AI720" s="3"/>
      <c r="AJ720" s="3"/>
    </row>
    <row r="721" spans="2:36" x14ac:dyDescent="0.2">
      <c r="B721" s="239" t="str">
        <f>'WS8 - Expenditure Program'!B120</f>
        <v>New assets</v>
      </c>
      <c r="C721" s="3"/>
      <c r="D721" s="3"/>
      <c r="E721" s="54"/>
      <c r="F721" s="3"/>
      <c r="G721" s="3"/>
      <c r="H721" s="3"/>
      <c r="I721" s="3"/>
      <c r="J721" s="54"/>
      <c r="K721" s="112"/>
      <c r="L721" s="112"/>
      <c r="M721" s="112"/>
      <c r="N721" s="112"/>
      <c r="O721" s="112"/>
      <c r="P721" s="112"/>
      <c r="Q721" s="230"/>
      <c r="R721" s="112"/>
      <c r="S721" s="112"/>
      <c r="T721" s="112"/>
      <c r="U721" s="242"/>
      <c r="V721" s="3"/>
      <c r="W721" s="3"/>
      <c r="X721" s="3"/>
      <c r="Y721" s="3"/>
      <c r="Z721" s="3"/>
      <c r="AA721" s="3"/>
      <c r="AB721" s="3"/>
      <c r="AC721" s="3"/>
      <c r="AD721" s="3"/>
      <c r="AE721" s="3"/>
      <c r="AF721" s="3"/>
      <c r="AG721" s="3"/>
      <c r="AH721" s="3"/>
      <c r="AI721" s="3"/>
      <c r="AJ721" s="3"/>
    </row>
    <row r="722" spans="2:36" x14ac:dyDescent="0.2">
      <c r="B722" s="495">
        <f>'WS8 - Expenditure Program'!B121</f>
        <v>0</v>
      </c>
      <c r="C722" s="3"/>
      <c r="D722" s="3" t="str">
        <f>'WS8 - Expenditure Program'!D121</f>
        <v>$ nominal</v>
      </c>
      <c r="E722" s="54"/>
      <c r="F722" s="3"/>
      <c r="G722" s="3"/>
      <c r="H722" s="3"/>
      <c r="I722" s="3"/>
      <c r="J722" s="54"/>
      <c r="K722" s="112">
        <f>'WS8 - Expenditure Program'!K121</f>
        <v>0</v>
      </c>
      <c r="L722" s="112">
        <f>'WS8 - Expenditure Program'!L121</f>
        <v>0</v>
      </c>
      <c r="M722" s="112">
        <f>'WS8 - Expenditure Program'!M121</f>
        <v>0</v>
      </c>
      <c r="N722" s="112">
        <f>'WS8 - Expenditure Program'!N121</f>
        <v>0</v>
      </c>
      <c r="O722" s="112">
        <f>'WS8 - Expenditure Program'!O121</f>
        <v>0</v>
      </c>
      <c r="P722" s="112">
        <f>'WS8 - Expenditure Program'!P121</f>
        <v>0</v>
      </c>
      <c r="Q722" s="230">
        <f>'WS8 - Expenditure Program'!Q121</f>
        <v>0</v>
      </c>
      <c r="R722" s="112">
        <f>'WS8 - Expenditure Program'!R121</f>
        <v>0</v>
      </c>
      <c r="S722" s="112">
        <f>'WS8 - Expenditure Program'!S121</f>
        <v>0</v>
      </c>
      <c r="T722" s="112">
        <f>'WS8 - Expenditure Program'!T121</f>
        <v>0</v>
      </c>
      <c r="U722" s="242">
        <f>'WS8 - Expenditure Program'!U121</f>
        <v>0</v>
      </c>
      <c r="V722" s="3"/>
      <c r="W722" s="3"/>
      <c r="X722" s="3"/>
      <c r="Y722" s="3"/>
      <c r="Z722" s="3"/>
      <c r="AA722" s="3"/>
      <c r="AB722" s="3"/>
      <c r="AC722" s="3"/>
      <c r="AD722" s="3"/>
      <c r="AE722" s="3"/>
      <c r="AF722" s="3"/>
      <c r="AG722" s="3"/>
      <c r="AH722" s="3"/>
      <c r="AI722" s="3"/>
      <c r="AJ722" s="3"/>
    </row>
    <row r="723" spans="2:36" x14ac:dyDescent="0.2">
      <c r="B723" s="495">
        <f>'WS8 - Expenditure Program'!B122</f>
        <v>0</v>
      </c>
      <c r="C723" s="3"/>
      <c r="D723" s="3" t="str">
        <f>'WS8 - Expenditure Program'!D122</f>
        <v>$ nominal</v>
      </c>
      <c r="E723" s="54"/>
      <c r="F723" s="3"/>
      <c r="G723" s="3"/>
      <c r="H723" s="3"/>
      <c r="I723" s="3"/>
      <c r="J723" s="54"/>
      <c r="K723" s="112">
        <f>'WS8 - Expenditure Program'!K122</f>
        <v>0</v>
      </c>
      <c r="L723" s="112">
        <f>'WS8 - Expenditure Program'!L122</f>
        <v>0</v>
      </c>
      <c r="M723" s="112">
        <f>'WS8 - Expenditure Program'!M122</f>
        <v>0</v>
      </c>
      <c r="N723" s="112">
        <f>'WS8 - Expenditure Program'!N122</f>
        <v>0</v>
      </c>
      <c r="O723" s="112">
        <f>'WS8 - Expenditure Program'!O122</f>
        <v>0</v>
      </c>
      <c r="P723" s="112">
        <f>'WS8 - Expenditure Program'!P122</f>
        <v>0</v>
      </c>
      <c r="Q723" s="230">
        <f>'WS8 - Expenditure Program'!Q122</f>
        <v>0</v>
      </c>
      <c r="R723" s="112">
        <f>'WS8 - Expenditure Program'!R122</f>
        <v>0</v>
      </c>
      <c r="S723" s="112">
        <f>'WS8 - Expenditure Program'!S122</f>
        <v>0</v>
      </c>
      <c r="T723" s="112">
        <f>'WS8 - Expenditure Program'!T122</f>
        <v>0</v>
      </c>
      <c r="U723" s="242">
        <f>'WS8 - Expenditure Program'!U122</f>
        <v>0</v>
      </c>
      <c r="V723" s="3"/>
      <c r="W723" s="3"/>
      <c r="X723" s="3"/>
      <c r="Y723" s="3"/>
      <c r="Z723" s="3"/>
      <c r="AA723" s="3"/>
      <c r="AB723" s="3"/>
      <c r="AC723" s="3"/>
      <c r="AD723" s="3"/>
      <c r="AE723" s="3"/>
      <c r="AF723" s="3"/>
      <c r="AG723" s="3"/>
      <c r="AH723" s="3"/>
      <c r="AI723" s="3"/>
      <c r="AJ723" s="3"/>
    </row>
    <row r="724" spans="2:36" x14ac:dyDescent="0.2">
      <c r="B724" s="495">
        <f>'WS8 - Expenditure Program'!B123</f>
        <v>0</v>
      </c>
      <c r="C724" s="3"/>
      <c r="D724" s="3" t="str">
        <f>'WS8 - Expenditure Program'!D123</f>
        <v>$ nominal</v>
      </c>
      <c r="E724" s="54"/>
      <c r="F724" s="3"/>
      <c r="G724" s="3"/>
      <c r="H724" s="3"/>
      <c r="I724" s="3"/>
      <c r="J724" s="54"/>
      <c r="K724" s="112">
        <f>'WS8 - Expenditure Program'!K123</f>
        <v>0</v>
      </c>
      <c r="L724" s="112">
        <f>'WS8 - Expenditure Program'!L123</f>
        <v>0</v>
      </c>
      <c r="M724" s="112">
        <f>'WS8 - Expenditure Program'!M123</f>
        <v>0</v>
      </c>
      <c r="N724" s="112">
        <f>'WS8 - Expenditure Program'!N123</f>
        <v>0</v>
      </c>
      <c r="O724" s="112">
        <f>'WS8 - Expenditure Program'!O123</f>
        <v>0</v>
      </c>
      <c r="P724" s="112">
        <f>'WS8 - Expenditure Program'!P123</f>
        <v>0</v>
      </c>
      <c r="Q724" s="230">
        <f>'WS8 - Expenditure Program'!Q123</f>
        <v>0</v>
      </c>
      <c r="R724" s="112">
        <f>'WS8 - Expenditure Program'!R123</f>
        <v>0</v>
      </c>
      <c r="S724" s="112">
        <f>'WS8 - Expenditure Program'!S123</f>
        <v>0</v>
      </c>
      <c r="T724" s="112">
        <f>'WS8 - Expenditure Program'!T123</f>
        <v>0</v>
      </c>
      <c r="U724" s="242">
        <f>'WS8 - Expenditure Program'!U123</f>
        <v>0</v>
      </c>
      <c r="V724" s="3"/>
      <c r="W724" s="3"/>
      <c r="X724" s="3"/>
      <c r="Y724" s="3"/>
      <c r="Z724" s="3"/>
      <c r="AA724" s="3"/>
      <c r="AB724" s="3"/>
      <c r="AC724" s="3"/>
      <c r="AD724" s="3"/>
      <c r="AE724" s="3"/>
      <c r="AF724" s="3"/>
      <c r="AG724" s="3"/>
      <c r="AH724" s="3"/>
      <c r="AI724" s="3"/>
      <c r="AJ724" s="3"/>
    </row>
    <row r="725" spans="2:36" x14ac:dyDescent="0.2">
      <c r="B725" s="495">
        <f>'WS8 - Expenditure Program'!B124</f>
        <v>0</v>
      </c>
      <c r="C725" s="3"/>
      <c r="D725" s="3" t="str">
        <f>'WS8 - Expenditure Program'!D124</f>
        <v>$ nominal</v>
      </c>
      <c r="E725" s="54"/>
      <c r="F725" s="3"/>
      <c r="G725" s="3"/>
      <c r="H725" s="3"/>
      <c r="I725" s="3"/>
      <c r="J725" s="54"/>
      <c r="K725" s="112">
        <f>'WS8 - Expenditure Program'!K124</f>
        <v>0</v>
      </c>
      <c r="L725" s="112">
        <f>'WS8 - Expenditure Program'!L124</f>
        <v>0</v>
      </c>
      <c r="M725" s="112">
        <f>'WS8 - Expenditure Program'!M124</f>
        <v>0</v>
      </c>
      <c r="N725" s="112">
        <f>'WS8 - Expenditure Program'!N124</f>
        <v>0</v>
      </c>
      <c r="O725" s="112">
        <f>'WS8 - Expenditure Program'!O124</f>
        <v>0</v>
      </c>
      <c r="P725" s="112">
        <f>'WS8 - Expenditure Program'!P124</f>
        <v>0</v>
      </c>
      <c r="Q725" s="230">
        <f>'WS8 - Expenditure Program'!Q124</f>
        <v>0</v>
      </c>
      <c r="R725" s="112">
        <f>'WS8 - Expenditure Program'!R124</f>
        <v>0</v>
      </c>
      <c r="S725" s="112">
        <f>'WS8 - Expenditure Program'!S124</f>
        <v>0</v>
      </c>
      <c r="T725" s="112">
        <f>'WS8 - Expenditure Program'!T124</f>
        <v>0</v>
      </c>
      <c r="U725" s="242">
        <f>'WS8 - Expenditure Program'!U124</f>
        <v>0</v>
      </c>
      <c r="V725" s="3"/>
      <c r="W725" s="3"/>
      <c r="X725" s="3"/>
      <c r="Y725" s="3"/>
      <c r="Z725" s="3"/>
      <c r="AA725" s="3"/>
      <c r="AB725" s="3"/>
      <c r="AC725" s="3"/>
      <c r="AD725" s="3"/>
      <c r="AE725" s="3"/>
      <c r="AF725" s="3"/>
      <c r="AG725" s="3"/>
      <c r="AH725" s="3"/>
      <c r="AI725" s="3"/>
      <c r="AJ725" s="3"/>
    </row>
    <row r="726" spans="2:36" x14ac:dyDescent="0.2">
      <c r="B726" s="495">
        <f>'WS8 - Expenditure Program'!B125</f>
        <v>0</v>
      </c>
      <c r="C726" s="3"/>
      <c r="D726" s="3" t="str">
        <f>'WS8 - Expenditure Program'!D125</f>
        <v>$ nominal</v>
      </c>
      <c r="E726" s="54"/>
      <c r="F726" s="3"/>
      <c r="G726" s="3"/>
      <c r="H726" s="3"/>
      <c r="I726" s="3"/>
      <c r="J726" s="54"/>
      <c r="K726" s="112">
        <f>'WS8 - Expenditure Program'!K125</f>
        <v>0</v>
      </c>
      <c r="L726" s="112">
        <f>'WS8 - Expenditure Program'!L125</f>
        <v>0</v>
      </c>
      <c r="M726" s="112">
        <f>'WS8 - Expenditure Program'!M125</f>
        <v>0</v>
      </c>
      <c r="N726" s="112">
        <f>'WS8 - Expenditure Program'!N125</f>
        <v>0</v>
      </c>
      <c r="O726" s="112">
        <f>'WS8 - Expenditure Program'!O125</f>
        <v>0</v>
      </c>
      <c r="P726" s="112">
        <f>'WS8 - Expenditure Program'!P125</f>
        <v>0</v>
      </c>
      <c r="Q726" s="230">
        <f>'WS8 - Expenditure Program'!Q125</f>
        <v>0</v>
      </c>
      <c r="R726" s="112">
        <f>'WS8 - Expenditure Program'!R125</f>
        <v>0</v>
      </c>
      <c r="S726" s="112">
        <f>'WS8 - Expenditure Program'!S125</f>
        <v>0</v>
      </c>
      <c r="T726" s="112">
        <f>'WS8 - Expenditure Program'!T125</f>
        <v>0</v>
      </c>
      <c r="U726" s="242">
        <f>'WS8 - Expenditure Program'!U125</f>
        <v>0</v>
      </c>
      <c r="V726" s="3"/>
      <c r="W726" s="3"/>
      <c r="X726" s="3"/>
      <c r="Y726" s="3"/>
      <c r="Z726" s="3"/>
      <c r="AA726" s="3"/>
      <c r="AB726" s="3"/>
      <c r="AC726" s="3"/>
      <c r="AD726" s="3"/>
      <c r="AE726" s="3"/>
      <c r="AF726" s="3"/>
      <c r="AG726" s="3"/>
      <c r="AH726" s="3"/>
      <c r="AI726" s="3"/>
      <c r="AJ726" s="3"/>
    </row>
    <row r="727" spans="2:36" x14ac:dyDescent="0.2">
      <c r="B727" s="495">
        <f>'WS8 - Expenditure Program'!B126</f>
        <v>0</v>
      </c>
      <c r="C727" s="3"/>
      <c r="D727" s="3" t="str">
        <f>'WS8 - Expenditure Program'!D126</f>
        <v>$ nominal</v>
      </c>
      <c r="E727" s="54"/>
      <c r="F727" s="3"/>
      <c r="G727" s="3"/>
      <c r="H727" s="3"/>
      <c r="I727" s="3"/>
      <c r="J727" s="54"/>
      <c r="K727" s="112">
        <f>'WS8 - Expenditure Program'!K126</f>
        <v>0</v>
      </c>
      <c r="L727" s="112">
        <f>'WS8 - Expenditure Program'!L126</f>
        <v>0</v>
      </c>
      <c r="M727" s="112">
        <f>'WS8 - Expenditure Program'!M126</f>
        <v>0</v>
      </c>
      <c r="N727" s="112">
        <f>'WS8 - Expenditure Program'!N126</f>
        <v>0</v>
      </c>
      <c r="O727" s="112">
        <f>'WS8 - Expenditure Program'!O126</f>
        <v>0</v>
      </c>
      <c r="P727" s="112">
        <f>'WS8 - Expenditure Program'!P126</f>
        <v>0</v>
      </c>
      <c r="Q727" s="230">
        <f>'WS8 - Expenditure Program'!Q126</f>
        <v>0</v>
      </c>
      <c r="R727" s="112">
        <f>'WS8 - Expenditure Program'!R126</f>
        <v>0</v>
      </c>
      <c r="S727" s="112">
        <f>'WS8 - Expenditure Program'!S126</f>
        <v>0</v>
      </c>
      <c r="T727" s="112">
        <f>'WS8 - Expenditure Program'!T126</f>
        <v>0</v>
      </c>
      <c r="U727" s="242">
        <f>'WS8 - Expenditure Program'!U126</f>
        <v>0</v>
      </c>
      <c r="V727" s="3"/>
      <c r="W727" s="3"/>
      <c r="X727" s="3"/>
      <c r="Y727" s="3"/>
      <c r="Z727" s="3"/>
      <c r="AA727" s="3"/>
      <c r="AB727" s="3"/>
      <c r="AC727" s="3"/>
      <c r="AD727" s="3"/>
      <c r="AE727" s="3"/>
      <c r="AF727" s="3"/>
      <c r="AG727" s="3"/>
      <c r="AH727" s="3"/>
      <c r="AI727" s="3"/>
      <c r="AJ727" s="3"/>
    </row>
    <row r="728" spans="2:36" x14ac:dyDescent="0.2">
      <c r="B728" s="495">
        <f>'WS8 - Expenditure Program'!B127</f>
        <v>0</v>
      </c>
      <c r="C728" s="3"/>
      <c r="D728" s="3" t="str">
        <f>'WS8 - Expenditure Program'!D127</f>
        <v>$ nominal</v>
      </c>
      <c r="E728" s="54"/>
      <c r="F728" s="3"/>
      <c r="G728" s="3"/>
      <c r="H728" s="3"/>
      <c r="I728" s="3"/>
      <c r="J728" s="54"/>
      <c r="K728" s="112">
        <f>'WS8 - Expenditure Program'!K127</f>
        <v>0</v>
      </c>
      <c r="L728" s="112">
        <f>'WS8 - Expenditure Program'!L127</f>
        <v>0</v>
      </c>
      <c r="M728" s="112">
        <f>'WS8 - Expenditure Program'!M127</f>
        <v>0</v>
      </c>
      <c r="N728" s="112">
        <f>'WS8 - Expenditure Program'!N127</f>
        <v>0</v>
      </c>
      <c r="O728" s="112">
        <f>'WS8 - Expenditure Program'!O127</f>
        <v>0</v>
      </c>
      <c r="P728" s="112">
        <f>'WS8 - Expenditure Program'!P127</f>
        <v>0</v>
      </c>
      <c r="Q728" s="230">
        <f>'WS8 - Expenditure Program'!Q127</f>
        <v>0</v>
      </c>
      <c r="R728" s="112">
        <f>'WS8 - Expenditure Program'!R127</f>
        <v>0</v>
      </c>
      <c r="S728" s="112">
        <f>'WS8 - Expenditure Program'!S127</f>
        <v>0</v>
      </c>
      <c r="T728" s="112">
        <f>'WS8 - Expenditure Program'!T127</f>
        <v>0</v>
      </c>
      <c r="U728" s="242">
        <f>'WS8 - Expenditure Program'!U127</f>
        <v>0</v>
      </c>
      <c r="V728" s="3"/>
      <c r="W728" s="3"/>
      <c r="X728" s="3"/>
      <c r="Y728" s="3"/>
      <c r="Z728" s="3"/>
      <c r="AA728" s="3"/>
      <c r="AB728" s="3"/>
      <c r="AC728" s="3"/>
      <c r="AD728" s="3"/>
      <c r="AE728" s="3"/>
      <c r="AF728" s="3"/>
      <c r="AG728" s="3"/>
      <c r="AH728" s="3"/>
      <c r="AI728" s="3"/>
      <c r="AJ728" s="3"/>
    </row>
    <row r="729" spans="2:36" x14ac:dyDescent="0.2">
      <c r="B729" s="495">
        <f>'WS8 - Expenditure Program'!B128</f>
        <v>0</v>
      </c>
      <c r="C729" s="3"/>
      <c r="D729" s="3" t="str">
        <f>'WS8 - Expenditure Program'!D128</f>
        <v>$ nominal</v>
      </c>
      <c r="E729" s="54"/>
      <c r="F729" s="3"/>
      <c r="G729" s="3"/>
      <c r="H729" s="3"/>
      <c r="I729" s="3"/>
      <c r="J729" s="54"/>
      <c r="K729" s="112">
        <f>'WS8 - Expenditure Program'!K128</f>
        <v>0</v>
      </c>
      <c r="L729" s="112">
        <f>'WS8 - Expenditure Program'!L128</f>
        <v>0</v>
      </c>
      <c r="M729" s="112">
        <f>'WS8 - Expenditure Program'!M128</f>
        <v>0</v>
      </c>
      <c r="N729" s="112">
        <f>'WS8 - Expenditure Program'!N128</f>
        <v>0</v>
      </c>
      <c r="O729" s="112">
        <f>'WS8 - Expenditure Program'!O128</f>
        <v>0</v>
      </c>
      <c r="P729" s="112">
        <f>'WS8 - Expenditure Program'!P128</f>
        <v>0</v>
      </c>
      <c r="Q729" s="230">
        <f>'WS8 - Expenditure Program'!Q128</f>
        <v>0</v>
      </c>
      <c r="R729" s="112">
        <f>'WS8 - Expenditure Program'!R128</f>
        <v>0</v>
      </c>
      <c r="S729" s="112">
        <f>'WS8 - Expenditure Program'!S128</f>
        <v>0</v>
      </c>
      <c r="T729" s="112">
        <f>'WS8 - Expenditure Program'!T128</f>
        <v>0</v>
      </c>
      <c r="U729" s="242">
        <f>'WS8 - Expenditure Program'!U128</f>
        <v>0</v>
      </c>
      <c r="V729" s="3"/>
      <c r="W729" s="3"/>
      <c r="X729" s="3"/>
      <c r="Y729" s="3"/>
      <c r="Z729" s="3"/>
      <c r="AA729" s="3"/>
      <c r="AB729" s="3"/>
      <c r="AC729" s="3"/>
      <c r="AD729" s="3"/>
      <c r="AE729" s="3"/>
      <c r="AF729" s="3"/>
      <c r="AG729" s="3"/>
      <c r="AH729" s="3"/>
      <c r="AI729" s="3"/>
      <c r="AJ729" s="3"/>
    </row>
    <row r="730" spans="2:36" x14ac:dyDescent="0.2">
      <c r="B730" s="495">
        <f>'WS8 - Expenditure Program'!B129</f>
        <v>0</v>
      </c>
      <c r="C730" s="3"/>
      <c r="D730" s="3" t="str">
        <f>'WS8 - Expenditure Program'!D129</f>
        <v>$ nominal</v>
      </c>
      <c r="E730" s="54"/>
      <c r="F730" s="3"/>
      <c r="G730" s="3"/>
      <c r="H730" s="3"/>
      <c r="I730" s="3"/>
      <c r="J730" s="54"/>
      <c r="K730" s="112">
        <f>'WS8 - Expenditure Program'!K129</f>
        <v>0</v>
      </c>
      <c r="L730" s="112">
        <f>'WS8 - Expenditure Program'!L129</f>
        <v>0</v>
      </c>
      <c r="M730" s="112">
        <f>'WS8 - Expenditure Program'!M129</f>
        <v>0</v>
      </c>
      <c r="N730" s="112">
        <f>'WS8 - Expenditure Program'!N129</f>
        <v>0</v>
      </c>
      <c r="O730" s="112">
        <f>'WS8 - Expenditure Program'!O129</f>
        <v>0</v>
      </c>
      <c r="P730" s="112">
        <f>'WS8 - Expenditure Program'!P129</f>
        <v>0</v>
      </c>
      <c r="Q730" s="230">
        <f>'WS8 - Expenditure Program'!Q129</f>
        <v>0</v>
      </c>
      <c r="R730" s="112">
        <f>'WS8 - Expenditure Program'!R129</f>
        <v>0</v>
      </c>
      <c r="S730" s="112">
        <f>'WS8 - Expenditure Program'!S129</f>
        <v>0</v>
      </c>
      <c r="T730" s="112">
        <f>'WS8 - Expenditure Program'!T129</f>
        <v>0</v>
      </c>
      <c r="U730" s="242">
        <f>'WS8 - Expenditure Program'!U129</f>
        <v>0</v>
      </c>
      <c r="V730" s="3"/>
      <c r="W730" s="3"/>
      <c r="X730" s="3"/>
      <c r="Y730" s="3"/>
      <c r="Z730" s="3"/>
      <c r="AA730" s="3"/>
      <c r="AB730" s="3"/>
      <c r="AC730" s="3"/>
      <c r="AD730" s="3"/>
      <c r="AE730" s="3"/>
      <c r="AF730" s="3"/>
      <c r="AG730" s="3"/>
      <c r="AH730" s="3"/>
      <c r="AI730" s="3"/>
      <c r="AJ730" s="3"/>
    </row>
    <row r="731" spans="2:36" x14ac:dyDescent="0.2">
      <c r="B731" s="495">
        <f>'WS8 - Expenditure Program'!B130</f>
        <v>0</v>
      </c>
      <c r="C731" s="3"/>
      <c r="D731" s="3" t="str">
        <f>'WS8 - Expenditure Program'!D130</f>
        <v>$ nominal</v>
      </c>
      <c r="E731" s="54"/>
      <c r="F731" s="3"/>
      <c r="G731" s="3"/>
      <c r="H731" s="3"/>
      <c r="I731" s="3"/>
      <c r="J731" s="54"/>
      <c r="K731" s="112">
        <f>'WS8 - Expenditure Program'!K130</f>
        <v>0</v>
      </c>
      <c r="L731" s="112">
        <f>'WS8 - Expenditure Program'!L130</f>
        <v>0</v>
      </c>
      <c r="M731" s="112">
        <f>'WS8 - Expenditure Program'!M130</f>
        <v>0</v>
      </c>
      <c r="N731" s="112">
        <f>'WS8 - Expenditure Program'!N130</f>
        <v>0</v>
      </c>
      <c r="O731" s="112">
        <f>'WS8 - Expenditure Program'!O130</f>
        <v>0</v>
      </c>
      <c r="P731" s="112">
        <f>'WS8 - Expenditure Program'!P130</f>
        <v>0</v>
      </c>
      <c r="Q731" s="230">
        <f>'WS8 - Expenditure Program'!Q130</f>
        <v>0</v>
      </c>
      <c r="R731" s="112">
        <f>'WS8 - Expenditure Program'!R130</f>
        <v>0</v>
      </c>
      <c r="S731" s="112">
        <f>'WS8 - Expenditure Program'!S130</f>
        <v>0</v>
      </c>
      <c r="T731" s="112">
        <f>'WS8 - Expenditure Program'!T130</f>
        <v>0</v>
      </c>
      <c r="U731" s="242">
        <f>'WS8 - Expenditure Program'!U130</f>
        <v>0</v>
      </c>
      <c r="V731" s="3"/>
      <c r="W731" s="3"/>
      <c r="X731" s="3"/>
      <c r="Y731" s="3"/>
      <c r="Z731" s="3"/>
      <c r="AA731" s="3"/>
      <c r="AB731" s="3"/>
      <c r="AC731" s="3"/>
      <c r="AD731" s="3"/>
      <c r="AE731" s="3"/>
      <c r="AF731" s="3"/>
      <c r="AG731" s="3"/>
      <c r="AH731" s="3"/>
      <c r="AI731" s="3"/>
      <c r="AJ731" s="3"/>
    </row>
    <row r="732" spans="2:36" x14ac:dyDescent="0.2">
      <c r="B732" s="495">
        <f>'WS8 - Expenditure Program'!B131</f>
        <v>0</v>
      </c>
      <c r="C732" s="3"/>
      <c r="D732" s="3" t="str">
        <f>'WS8 - Expenditure Program'!D131</f>
        <v>$ nominal</v>
      </c>
      <c r="E732" s="54"/>
      <c r="F732" s="3"/>
      <c r="G732" s="3"/>
      <c r="H732" s="3"/>
      <c r="I732" s="3"/>
      <c r="J732" s="54"/>
      <c r="K732" s="112">
        <f>'WS8 - Expenditure Program'!K131</f>
        <v>0</v>
      </c>
      <c r="L732" s="112">
        <f>'WS8 - Expenditure Program'!L131</f>
        <v>0</v>
      </c>
      <c r="M732" s="112">
        <f>'WS8 - Expenditure Program'!M131</f>
        <v>0</v>
      </c>
      <c r="N732" s="112">
        <f>'WS8 - Expenditure Program'!N131</f>
        <v>0</v>
      </c>
      <c r="O732" s="112">
        <f>'WS8 - Expenditure Program'!O131</f>
        <v>0</v>
      </c>
      <c r="P732" s="112">
        <f>'WS8 - Expenditure Program'!P131</f>
        <v>0</v>
      </c>
      <c r="Q732" s="230">
        <f>'WS8 - Expenditure Program'!Q131</f>
        <v>0</v>
      </c>
      <c r="R732" s="112">
        <f>'WS8 - Expenditure Program'!R131</f>
        <v>0</v>
      </c>
      <c r="S732" s="112">
        <f>'WS8 - Expenditure Program'!S131</f>
        <v>0</v>
      </c>
      <c r="T732" s="112">
        <f>'WS8 - Expenditure Program'!T131</f>
        <v>0</v>
      </c>
      <c r="U732" s="242">
        <f>'WS8 - Expenditure Program'!U131</f>
        <v>0</v>
      </c>
      <c r="V732" s="3"/>
      <c r="W732" s="3"/>
      <c r="X732" s="3"/>
      <c r="Y732" s="3"/>
      <c r="Z732" s="3"/>
      <c r="AA732" s="3"/>
      <c r="AB732" s="3"/>
      <c r="AC732" s="3"/>
      <c r="AD732" s="3"/>
      <c r="AE732" s="3"/>
      <c r="AF732" s="3"/>
      <c r="AG732" s="3"/>
      <c r="AH732" s="3"/>
      <c r="AI732" s="3"/>
      <c r="AJ732" s="3"/>
    </row>
    <row r="733" spans="2:36" x14ac:dyDescent="0.2">
      <c r="B733" s="495">
        <f>'WS8 - Expenditure Program'!B132</f>
        <v>0</v>
      </c>
      <c r="C733" s="3"/>
      <c r="D733" s="3" t="str">
        <f>'WS8 - Expenditure Program'!D132</f>
        <v>$ nominal</v>
      </c>
      <c r="E733" s="54"/>
      <c r="F733" s="3"/>
      <c r="G733" s="3"/>
      <c r="H733" s="3"/>
      <c r="I733" s="3"/>
      <c r="J733" s="54"/>
      <c r="K733" s="112">
        <f>'WS8 - Expenditure Program'!K132</f>
        <v>0</v>
      </c>
      <c r="L733" s="112">
        <f>'WS8 - Expenditure Program'!L132</f>
        <v>0</v>
      </c>
      <c r="M733" s="112">
        <f>'WS8 - Expenditure Program'!M132</f>
        <v>0</v>
      </c>
      <c r="N733" s="112">
        <f>'WS8 - Expenditure Program'!N132</f>
        <v>0</v>
      </c>
      <c r="O733" s="112">
        <f>'WS8 - Expenditure Program'!O132</f>
        <v>0</v>
      </c>
      <c r="P733" s="112">
        <f>'WS8 - Expenditure Program'!P132</f>
        <v>0</v>
      </c>
      <c r="Q733" s="230">
        <f>'WS8 - Expenditure Program'!Q132</f>
        <v>0</v>
      </c>
      <c r="R733" s="112">
        <f>'WS8 - Expenditure Program'!R132</f>
        <v>0</v>
      </c>
      <c r="S733" s="112">
        <f>'WS8 - Expenditure Program'!S132</f>
        <v>0</v>
      </c>
      <c r="T733" s="112">
        <f>'WS8 - Expenditure Program'!T132</f>
        <v>0</v>
      </c>
      <c r="U733" s="242">
        <f>'WS8 - Expenditure Program'!U132</f>
        <v>0</v>
      </c>
      <c r="V733" s="3"/>
      <c r="W733" s="3"/>
      <c r="X733" s="3"/>
      <c r="Y733" s="3"/>
      <c r="Z733" s="3"/>
      <c r="AA733" s="3"/>
      <c r="AB733" s="3"/>
      <c r="AC733" s="3"/>
      <c r="AD733" s="3"/>
      <c r="AE733" s="3"/>
      <c r="AF733" s="3"/>
      <c r="AG733" s="3"/>
      <c r="AH733" s="3"/>
      <c r="AI733" s="3"/>
      <c r="AJ733" s="3"/>
    </row>
    <row r="734" spans="2:36" x14ac:dyDescent="0.2">
      <c r="B734" s="495">
        <f>'WS8 - Expenditure Program'!B133</f>
        <v>0</v>
      </c>
      <c r="C734" s="3"/>
      <c r="D734" s="3" t="str">
        <f>'WS8 - Expenditure Program'!D133</f>
        <v>$ nominal</v>
      </c>
      <c r="E734" s="54"/>
      <c r="F734" s="3"/>
      <c r="G734" s="3"/>
      <c r="H734" s="3"/>
      <c r="I734" s="3"/>
      <c r="J734" s="54"/>
      <c r="K734" s="112">
        <f>'WS8 - Expenditure Program'!K133</f>
        <v>0</v>
      </c>
      <c r="L734" s="112">
        <f>'WS8 - Expenditure Program'!L133</f>
        <v>0</v>
      </c>
      <c r="M734" s="112">
        <f>'WS8 - Expenditure Program'!M133</f>
        <v>0</v>
      </c>
      <c r="N734" s="112">
        <f>'WS8 - Expenditure Program'!N133</f>
        <v>0</v>
      </c>
      <c r="O734" s="112">
        <f>'WS8 - Expenditure Program'!O133</f>
        <v>0</v>
      </c>
      <c r="P734" s="112">
        <f>'WS8 - Expenditure Program'!P133</f>
        <v>0</v>
      </c>
      <c r="Q734" s="230">
        <f>'WS8 - Expenditure Program'!Q133</f>
        <v>0</v>
      </c>
      <c r="R734" s="112">
        <f>'WS8 - Expenditure Program'!R133</f>
        <v>0</v>
      </c>
      <c r="S734" s="112">
        <f>'WS8 - Expenditure Program'!S133</f>
        <v>0</v>
      </c>
      <c r="T734" s="112">
        <f>'WS8 - Expenditure Program'!T133</f>
        <v>0</v>
      </c>
      <c r="U734" s="242">
        <f>'WS8 - Expenditure Program'!U133</f>
        <v>0</v>
      </c>
      <c r="V734" s="3"/>
      <c r="W734" s="3"/>
      <c r="X734" s="3"/>
      <c r="Y734" s="3"/>
      <c r="Z734" s="3"/>
      <c r="AA734" s="3"/>
      <c r="AB734" s="3"/>
      <c r="AC734" s="3"/>
      <c r="AD734" s="3"/>
      <c r="AE734" s="3"/>
      <c r="AF734" s="3"/>
      <c r="AG734" s="3"/>
      <c r="AH734" s="3"/>
      <c r="AI734" s="3"/>
      <c r="AJ734" s="3"/>
    </row>
    <row r="735" spans="2:36" x14ac:dyDescent="0.2">
      <c r="B735" s="495">
        <f>'WS8 - Expenditure Program'!B134</f>
        <v>0</v>
      </c>
      <c r="C735" s="3"/>
      <c r="D735" s="3" t="str">
        <f>'WS8 - Expenditure Program'!D134</f>
        <v>$ nominal</v>
      </c>
      <c r="E735" s="54"/>
      <c r="F735" s="3"/>
      <c r="G735" s="3"/>
      <c r="H735" s="3"/>
      <c r="I735" s="3"/>
      <c r="J735" s="54"/>
      <c r="K735" s="112">
        <f>'WS8 - Expenditure Program'!K134</f>
        <v>0</v>
      </c>
      <c r="L735" s="112">
        <f>'WS8 - Expenditure Program'!L134</f>
        <v>0</v>
      </c>
      <c r="M735" s="112">
        <f>'WS8 - Expenditure Program'!M134</f>
        <v>0</v>
      </c>
      <c r="N735" s="112">
        <f>'WS8 - Expenditure Program'!N134</f>
        <v>0</v>
      </c>
      <c r="O735" s="112">
        <f>'WS8 - Expenditure Program'!O134</f>
        <v>0</v>
      </c>
      <c r="P735" s="112">
        <f>'WS8 - Expenditure Program'!P134</f>
        <v>0</v>
      </c>
      <c r="Q735" s="230">
        <f>'WS8 - Expenditure Program'!Q134</f>
        <v>0</v>
      </c>
      <c r="R735" s="112">
        <f>'WS8 - Expenditure Program'!R134</f>
        <v>0</v>
      </c>
      <c r="S735" s="112">
        <f>'WS8 - Expenditure Program'!S134</f>
        <v>0</v>
      </c>
      <c r="T735" s="112">
        <f>'WS8 - Expenditure Program'!T134</f>
        <v>0</v>
      </c>
      <c r="U735" s="242">
        <f>'WS8 - Expenditure Program'!U134</f>
        <v>0</v>
      </c>
      <c r="V735" s="3"/>
      <c r="W735" s="3"/>
      <c r="X735" s="3"/>
      <c r="Y735" s="3"/>
      <c r="Z735" s="3"/>
      <c r="AA735" s="3"/>
      <c r="AB735" s="3"/>
      <c r="AC735" s="3"/>
      <c r="AD735" s="3"/>
      <c r="AE735" s="3"/>
      <c r="AF735" s="3"/>
      <c r="AG735" s="3"/>
      <c r="AH735" s="3"/>
      <c r="AI735" s="3"/>
      <c r="AJ735" s="3"/>
    </row>
    <row r="736" spans="2:36" x14ac:dyDescent="0.2">
      <c r="B736" s="495">
        <f>'WS8 - Expenditure Program'!B135</f>
        <v>0</v>
      </c>
      <c r="C736" s="3"/>
      <c r="D736" s="3" t="str">
        <f>'WS8 - Expenditure Program'!D135</f>
        <v>$ nominal</v>
      </c>
      <c r="E736" s="54"/>
      <c r="F736" s="3"/>
      <c r="G736" s="3"/>
      <c r="H736" s="3"/>
      <c r="I736" s="3"/>
      <c r="J736" s="54"/>
      <c r="K736" s="112">
        <f>'WS8 - Expenditure Program'!K135</f>
        <v>0</v>
      </c>
      <c r="L736" s="112">
        <f>'WS8 - Expenditure Program'!L135</f>
        <v>0</v>
      </c>
      <c r="M736" s="112">
        <f>'WS8 - Expenditure Program'!M135</f>
        <v>0</v>
      </c>
      <c r="N736" s="112">
        <f>'WS8 - Expenditure Program'!N135</f>
        <v>0</v>
      </c>
      <c r="O736" s="112">
        <f>'WS8 - Expenditure Program'!O135</f>
        <v>0</v>
      </c>
      <c r="P736" s="112">
        <f>'WS8 - Expenditure Program'!P135</f>
        <v>0</v>
      </c>
      <c r="Q736" s="230">
        <f>'WS8 - Expenditure Program'!Q135</f>
        <v>0</v>
      </c>
      <c r="R736" s="112">
        <f>'WS8 - Expenditure Program'!R135</f>
        <v>0</v>
      </c>
      <c r="S736" s="112">
        <f>'WS8 - Expenditure Program'!S135</f>
        <v>0</v>
      </c>
      <c r="T736" s="112">
        <f>'WS8 - Expenditure Program'!T135</f>
        <v>0</v>
      </c>
      <c r="U736" s="242">
        <f>'WS8 - Expenditure Program'!U135</f>
        <v>0</v>
      </c>
      <c r="V736" s="3"/>
      <c r="W736" s="3"/>
      <c r="X736" s="3"/>
      <c r="Y736" s="3"/>
      <c r="Z736" s="3"/>
      <c r="AA736" s="3"/>
      <c r="AB736" s="3"/>
      <c r="AC736" s="3"/>
      <c r="AD736" s="3"/>
      <c r="AE736" s="3"/>
      <c r="AF736" s="3"/>
      <c r="AG736" s="3"/>
      <c r="AH736" s="3"/>
      <c r="AI736" s="3"/>
      <c r="AJ736" s="3"/>
    </row>
    <row r="737" spans="2:36" x14ac:dyDescent="0.2">
      <c r="B737" s="495">
        <f>'WS8 - Expenditure Program'!B136</f>
        <v>0</v>
      </c>
      <c r="C737" s="3"/>
      <c r="D737" s="3" t="str">
        <f>'WS8 - Expenditure Program'!D136</f>
        <v>$ nominal</v>
      </c>
      <c r="E737" s="54"/>
      <c r="F737" s="3"/>
      <c r="G737" s="3"/>
      <c r="H737" s="3"/>
      <c r="I737" s="3"/>
      <c r="J737" s="54"/>
      <c r="K737" s="112">
        <f>'WS8 - Expenditure Program'!K136</f>
        <v>0</v>
      </c>
      <c r="L737" s="112">
        <f>'WS8 - Expenditure Program'!L136</f>
        <v>0</v>
      </c>
      <c r="M737" s="112">
        <f>'WS8 - Expenditure Program'!M136</f>
        <v>0</v>
      </c>
      <c r="N737" s="112">
        <f>'WS8 - Expenditure Program'!N136</f>
        <v>0</v>
      </c>
      <c r="O737" s="112">
        <f>'WS8 - Expenditure Program'!O136</f>
        <v>0</v>
      </c>
      <c r="P737" s="112">
        <f>'WS8 - Expenditure Program'!P136</f>
        <v>0</v>
      </c>
      <c r="Q737" s="230">
        <f>'WS8 - Expenditure Program'!Q136</f>
        <v>0</v>
      </c>
      <c r="R737" s="112">
        <f>'WS8 - Expenditure Program'!R136</f>
        <v>0</v>
      </c>
      <c r="S737" s="112">
        <f>'WS8 - Expenditure Program'!S136</f>
        <v>0</v>
      </c>
      <c r="T737" s="112">
        <f>'WS8 - Expenditure Program'!T136</f>
        <v>0</v>
      </c>
      <c r="U737" s="242">
        <f>'WS8 - Expenditure Program'!U136</f>
        <v>0</v>
      </c>
      <c r="V737" s="3"/>
      <c r="W737" s="3"/>
      <c r="X737" s="3"/>
      <c r="Y737" s="3"/>
      <c r="Z737" s="3"/>
      <c r="AA737" s="3"/>
      <c r="AB737" s="3"/>
      <c r="AC737" s="3"/>
      <c r="AD737" s="3"/>
      <c r="AE737" s="3"/>
      <c r="AF737" s="3"/>
      <c r="AG737" s="3"/>
      <c r="AH737" s="3"/>
      <c r="AI737" s="3"/>
      <c r="AJ737" s="3"/>
    </row>
    <row r="738" spans="2:36" x14ac:dyDescent="0.2">
      <c r="B738" s="495">
        <f>'WS8 - Expenditure Program'!B137</f>
        <v>0</v>
      </c>
      <c r="C738" s="3"/>
      <c r="D738" s="3" t="str">
        <f>'WS8 - Expenditure Program'!D137</f>
        <v>$ nominal</v>
      </c>
      <c r="E738" s="54"/>
      <c r="F738" s="3"/>
      <c r="G738" s="3"/>
      <c r="H738" s="3"/>
      <c r="I738" s="3"/>
      <c r="J738" s="54"/>
      <c r="K738" s="112">
        <f>'WS8 - Expenditure Program'!K137</f>
        <v>0</v>
      </c>
      <c r="L738" s="112">
        <f>'WS8 - Expenditure Program'!L137</f>
        <v>0</v>
      </c>
      <c r="M738" s="112">
        <f>'WS8 - Expenditure Program'!M137</f>
        <v>0</v>
      </c>
      <c r="N738" s="112">
        <f>'WS8 - Expenditure Program'!N137</f>
        <v>0</v>
      </c>
      <c r="O738" s="112">
        <f>'WS8 - Expenditure Program'!O137</f>
        <v>0</v>
      </c>
      <c r="P738" s="112">
        <f>'WS8 - Expenditure Program'!P137</f>
        <v>0</v>
      </c>
      <c r="Q738" s="230">
        <f>'WS8 - Expenditure Program'!Q137</f>
        <v>0</v>
      </c>
      <c r="R738" s="112">
        <f>'WS8 - Expenditure Program'!R137</f>
        <v>0</v>
      </c>
      <c r="S738" s="112">
        <f>'WS8 - Expenditure Program'!S137</f>
        <v>0</v>
      </c>
      <c r="T738" s="112">
        <f>'WS8 - Expenditure Program'!T137</f>
        <v>0</v>
      </c>
      <c r="U738" s="242">
        <f>'WS8 - Expenditure Program'!U137</f>
        <v>0</v>
      </c>
      <c r="V738" s="3"/>
      <c r="W738" s="3"/>
      <c r="X738" s="3"/>
      <c r="Y738" s="3"/>
      <c r="Z738" s="3"/>
      <c r="AA738" s="3"/>
      <c r="AB738" s="3"/>
      <c r="AC738" s="3"/>
      <c r="AD738" s="3"/>
      <c r="AE738" s="3"/>
      <c r="AF738" s="3"/>
      <c r="AG738" s="3"/>
      <c r="AH738" s="3"/>
      <c r="AI738" s="3"/>
      <c r="AJ738" s="3"/>
    </row>
    <row r="739" spans="2:36" x14ac:dyDescent="0.2">
      <c r="B739" s="495">
        <f>'WS8 - Expenditure Program'!B138</f>
        <v>0</v>
      </c>
      <c r="C739" s="3"/>
      <c r="D739" s="3" t="str">
        <f>'WS8 - Expenditure Program'!D138</f>
        <v>$ nominal</v>
      </c>
      <c r="E739" s="54"/>
      <c r="F739" s="3"/>
      <c r="G739" s="3"/>
      <c r="H739" s="3"/>
      <c r="I739" s="3"/>
      <c r="J739" s="54"/>
      <c r="K739" s="112">
        <f>'WS8 - Expenditure Program'!K138</f>
        <v>0</v>
      </c>
      <c r="L739" s="112">
        <f>'WS8 - Expenditure Program'!L138</f>
        <v>0</v>
      </c>
      <c r="M739" s="112">
        <f>'WS8 - Expenditure Program'!M138</f>
        <v>0</v>
      </c>
      <c r="N739" s="112">
        <f>'WS8 - Expenditure Program'!N138</f>
        <v>0</v>
      </c>
      <c r="O739" s="112">
        <f>'WS8 - Expenditure Program'!O138</f>
        <v>0</v>
      </c>
      <c r="P739" s="112">
        <f>'WS8 - Expenditure Program'!P138</f>
        <v>0</v>
      </c>
      <c r="Q739" s="230">
        <f>'WS8 - Expenditure Program'!Q138</f>
        <v>0</v>
      </c>
      <c r="R739" s="112">
        <f>'WS8 - Expenditure Program'!R138</f>
        <v>0</v>
      </c>
      <c r="S739" s="112">
        <f>'WS8 - Expenditure Program'!S138</f>
        <v>0</v>
      </c>
      <c r="T739" s="112">
        <f>'WS8 - Expenditure Program'!T138</f>
        <v>0</v>
      </c>
      <c r="U739" s="242">
        <f>'WS8 - Expenditure Program'!U138</f>
        <v>0</v>
      </c>
      <c r="V739" s="3"/>
      <c r="W739" s="3"/>
      <c r="X739" s="3"/>
      <c r="Y739" s="3"/>
      <c r="Z739" s="3"/>
      <c r="AA739" s="3"/>
      <c r="AB739" s="3"/>
      <c r="AC739" s="3"/>
      <c r="AD739" s="3"/>
      <c r="AE739" s="3"/>
      <c r="AF739" s="3"/>
      <c r="AG739" s="3"/>
      <c r="AH739" s="3"/>
      <c r="AI739" s="3"/>
      <c r="AJ739" s="3"/>
    </row>
    <row r="740" spans="2:36" x14ac:dyDescent="0.2">
      <c r="B740" s="495">
        <f>'WS8 - Expenditure Program'!B139</f>
        <v>0</v>
      </c>
      <c r="C740" s="3"/>
      <c r="D740" s="3" t="str">
        <f>'WS8 - Expenditure Program'!D139</f>
        <v>$ nominal</v>
      </c>
      <c r="E740" s="54"/>
      <c r="F740" s="3"/>
      <c r="G740" s="3"/>
      <c r="H740" s="3"/>
      <c r="I740" s="3"/>
      <c r="J740" s="54"/>
      <c r="K740" s="112">
        <f>'WS8 - Expenditure Program'!K139</f>
        <v>0</v>
      </c>
      <c r="L740" s="112">
        <f>'WS8 - Expenditure Program'!L139</f>
        <v>0</v>
      </c>
      <c r="M740" s="112">
        <f>'WS8 - Expenditure Program'!M139</f>
        <v>0</v>
      </c>
      <c r="N740" s="112">
        <f>'WS8 - Expenditure Program'!N139</f>
        <v>0</v>
      </c>
      <c r="O740" s="112">
        <f>'WS8 - Expenditure Program'!O139</f>
        <v>0</v>
      </c>
      <c r="P740" s="112">
        <f>'WS8 - Expenditure Program'!P139</f>
        <v>0</v>
      </c>
      <c r="Q740" s="230">
        <f>'WS8 - Expenditure Program'!Q139</f>
        <v>0</v>
      </c>
      <c r="R740" s="112">
        <f>'WS8 - Expenditure Program'!R139</f>
        <v>0</v>
      </c>
      <c r="S740" s="112">
        <f>'WS8 - Expenditure Program'!S139</f>
        <v>0</v>
      </c>
      <c r="T740" s="112">
        <f>'WS8 - Expenditure Program'!T139</f>
        <v>0</v>
      </c>
      <c r="U740" s="242">
        <f>'WS8 - Expenditure Program'!U139</f>
        <v>0</v>
      </c>
      <c r="V740" s="3"/>
      <c r="W740" s="3"/>
      <c r="X740" s="3"/>
      <c r="Y740" s="3"/>
      <c r="Z740" s="3"/>
      <c r="AA740" s="3"/>
      <c r="AB740" s="3"/>
      <c r="AC740" s="3"/>
      <c r="AD740" s="3"/>
      <c r="AE740" s="3"/>
      <c r="AF740" s="3"/>
      <c r="AG740" s="3"/>
      <c r="AH740" s="3"/>
      <c r="AI740" s="3"/>
      <c r="AJ740" s="3"/>
    </row>
    <row r="741" spans="2:36" x14ac:dyDescent="0.2">
      <c r="B741" s="495">
        <f>'WS8 - Expenditure Program'!B140</f>
        <v>0</v>
      </c>
      <c r="C741" s="3"/>
      <c r="D741" s="3" t="str">
        <f>'WS8 - Expenditure Program'!D140</f>
        <v>$ nominal</v>
      </c>
      <c r="E741" s="54"/>
      <c r="F741" s="3"/>
      <c r="G741" s="3"/>
      <c r="H741" s="3"/>
      <c r="I741" s="3"/>
      <c r="J741" s="54"/>
      <c r="K741" s="112">
        <f>'WS8 - Expenditure Program'!K140</f>
        <v>0</v>
      </c>
      <c r="L741" s="112">
        <f>'WS8 - Expenditure Program'!L140</f>
        <v>0</v>
      </c>
      <c r="M741" s="112">
        <f>'WS8 - Expenditure Program'!M140</f>
        <v>0</v>
      </c>
      <c r="N741" s="112">
        <f>'WS8 - Expenditure Program'!N140</f>
        <v>0</v>
      </c>
      <c r="O741" s="112">
        <f>'WS8 - Expenditure Program'!O140</f>
        <v>0</v>
      </c>
      <c r="P741" s="112">
        <f>'WS8 - Expenditure Program'!P140</f>
        <v>0</v>
      </c>
      <c r="Q741" s="230">
        <f>'WS8 - Expenditure Program'!Q140</f>
        <v>0</v>
      </c>
      <c r="R741" s="112">
        <f>'WS8 - Expenditure Program'!R140</f>
        <v>0</v>
      </c>
      <c r="S741" s="112">
        <f>'WS8 - Expenditure Program'!S140</f>
        <v>0</v>
      </c>
      <c r="T741" s="112">
        <f>'WS8 - Expenditure Program'!T140</f>
        <v>0</v>
      </c>
      <c r="U741" s="242">
        <f>'WS8 - Expenditure Program'!U140</f>
        <v>0</v>
      </c>
      <c r="V741" s="3"/>
      <c r="W741" s="3"/>
      <c r="X741" s="3"/>
      <c r="Y741" s="3"/>
      <c r="Z741" s="3"/>
      <c r="AA741" s="3"/>
      <c r="AB741" s="3"/>
      <c r="AC741" s="3"/>
      <c r="AD741" s="3"/>
      <c r="AE741" s="3"/>
      <c r="AF741" s="3"/>
      <c r="AG741" s="3"/>
      <c r="AH741" s="3"/>
      <c r="AI741" s="3"/>
      <c r="AJ741" s="3"/>
    </row>
    <row r="742" spans="2:36" x14ac:dyDescent="0.2">
      <c r="B742" s="494">
        <f>'WS8 - Expenditure Program'!B141</f>
        <v>0</v>
      </c>
      <c r="C742" s="3"/>
      <c r="D742" s="3" t="str">
        <f>'WS8 - Expenditure Program'!D141</f>
        <v>$ nominal</v>
      </c>
      <c r="E742" s="54"/>
      <c r="F742" s="3"/>
      <c r="G742" s="3"/>
      <c r="H742" s="3"/>
      <c r="I742" s="3"/>
      <c r="J742" s="54"/>
      <c r="K742" s="112">
        <f>'WS8 - Expenditure Program'!K141</f>
        <v>0</v>
      </c>
      <c r="L742" s="112">
        <f>'WS8 - Expenditure Program'!L141</f>
        <v>0</v>
      </c>
      <c r="M742" s="112">
        <f>'WS8 - Expenditure Program'!M141</f>
        <v>0</v>
      </c>
      <c r="N742" s="112">
        <f>'WS8 - Expenditure Program'!N141</f>
        <v>0</v>
      </c>
      <c r="O742" s="112">
        <f>'WS8 - Expenditure Program'!O141</f>
        <v>0</v>
      </c>
      <c r="P742" s="112">
        <f>'WS8 - Expenditure Program'!P141</f>
        <v>0</v>
      </c>
      <c r="Q742" s="230">
        <f>'WS8 - Expenditure Program'!Q141</f>
        <v>0</v>
      </c>
      <c r="R742" s="112">
        <f>'WS8 - Expenditure Program'!R141</f>
        <v>0</v>
      </c>
      <c r="S742" s="112">
        <f>'WS8 - Expenditure Program'!S141</f>
        <v>0</v>
      </c>
      <c r="T742" s="112">
        <f>'WS8 - Expenditure Program'!T141</f>
        <v>0</v>
      </c>
      <c r="U742" s="242">
        <f>'WS8 - Expenditure Program'!U141</f>
        <v>0</v>
      </c>
      <c r="V742" s="3"/>
      <c r="W742" s="3"/>
      <c r="X742" s="3"/>
      <c r="Y742" s="3"/>
      <c r="Z742" s="3"/>
      <c r="AA742" s="3"/>
      <c r="AB742" s="3"/>
      <c r="AC742" s="3"/>
      <c r="AD742" s="3"/>
      <c r="AE742" s="3"/>
      <c r="AF742" s="3"/>
      <c r="AG742" s="3"/>
      <c r="AH742" s="3"/>
      <c r="AI742" s="3"/>
      <c r="AJ742" s="3"/>
    </row>
    <row r="743" spans="2:36" ht="12.75" thickBot="1" x14ac:dyDescent="0.25">
      <c r="B743" s="218" t="str">
        <f>'WS8 - Expenditure Program'!B142</f>
        <v>Annual total</v>
      </c>
      <c r="C743" s="3"/>
      <c r="D743" s="3"/>
      <c r="E743" s="54"/>
      <c r="F743" s="3"/>
      <c r="G743" s="3"/>
      <c r="H743" s="3"/>
      <c r="I743" s="3"/>
      <c r="J743" s="54"/>
      <c r="K743" s="339">
        <f>'WS8 - Expenditure Program'!K142</f>
        <v>0</v>
      </c>
      <c r="L743" s="339">
        <f>'WS8 - Expenditure Program'!L142</f>
        <v>0</v>
      </c>
      <c r="M743" s="339">
        <f>'WS8 - Expenditure Program'!M142</f>
        <v>0</v>
      </c>
      <c r="N743" s="339">
        <f>'WS8 - Expenditure Program'!N142</f>
        <v>0</v>
      </c>
      <c r="O743" s="339">
        <f>'WS8 - Expenditure Program'!O142</f>
        <v>0</v>
      </c>
      <c r="P743" s="339">
        <f>'WS8 - Expenditure Program'!P142</f>
        <v>0</v>
      </c>
      <c r="Q743" s="341">
        <f>'WS8 - Expenditure Program'!Q142</f>
        <v>0</v>
      </c>
      <c r="R743" s="339">
        <f>'WS8 - Expenditure Program'!R142</f>
        <v>0</v>
      </c>
      <c r="S743" s="339">
        <f>'WS8 - Expenditure Program'!S142</f>
        <v>0</v>
      </c>
      <c r="T743" s="339">
        <f>'WS8 - Expenditure Program'!T142</f>
        <v>0</v>
      </c>
      <c r="U743" s="242">
        <f>'WS8 - Expenditure Program'!U142</f>
        <v>0</v>
      </c>
      <c r="V743" s="3"/>
      <c r="W743" s="3"/>
      <c r="X743" s="3"/>
      <c r="Y743" s="3"/>
      <c r="Z743" s="3"/>
      <c r="AA743" s="3"/>
      <c r="AB743" s="3"/>
      <c r="AC743" s="3"/>
      <c r="AD743" s="3"/>
      <c r="AE743" s="3"/>
      <c r="AF743" s="3"/>
      <c r="AG743" s="3"/>
      <c r="AH743" s="3"/>
      <c r="AI743" s="3"/>
      <c r="AJ743" s="3"/>
    </row>
    <row r="744" spans="2:36" ht="12.75" thickTop="1" x14ac:dyDescent="0.2">
      <c r="B744" s="218" t="str">
        <f>'WS8 - Expenditure Program'!B143</f>
        <v>Cumulative totals by year</v>
      </c>
      <c r="C744" s="3"/>
      <c r="D744" s="3"/>
      <c r="E744" s="54"/>
      <c r="F744" s="3"/>
      <c r="G744" s="3"/>
      <c r="H744" s="3"/>
      <c r="I744" s="3"/>
      <c r="J744" s="54"/>
      <c r="K744" s="112">
        <f>'WS8 - Expenditure Program'!K143</f>
        <v>0</v>
      </c>
      <c r="L744" s="112">
        <f>'WS8 - Expenditure Program'!L143</f>
        <v>0</v>
      </c>
      <c r="M744" s="112">
        <f>'WS8 - Expenditure Program'!M143</f>
        <v>0</v>
      </c>
      <c r="N744" s="112">
        <f>'WS8 - Expenditure Program'!N143</f>
        <v>0</v>
      </c>
      <c r="O744" s="112">
        <f>'WS8 - Expenditure Program'!O143</f>
        <v>0</v>
      </c>
      <c r="P744" s="112">
        <f>'WS8 - Expenditure Program'!P143</f>
        <v>0</v>
      </c>
      <c r="Q744" s="230">
        <f>'WS8 - Expenditure Program'!Q143</f>
        <v>0</v>
      </c>
      <c r="R744" s="112">
        <f>'WS8 - Expenditure Program'!R143</f>
        <v>0</v>
      </c>
      <c r="S744" s="112">
        <f>'WS8 - Expenditure Program'!S143</f>
        <v>0</v>
      </c>
      <c r="T744" s="230">
        <f>'WS8 - Expenditure Program'!T143</f>
        <v>0</v>
      </c>
      <c r="U744" s="157"/>
      <c r="V744" s="3"/>
      <c r="W744" s="3"/>
      <c r="X744" s="3"/>
      <c r="Y744" s="3"/>
      <c r="Z744" s="3"/>
      <c r="AA744" s="3"/>
      <c r="AB744" s="3"/>
      <c r="AC744" s="3"/>
      <c r="AD744" s="3"/>
      <c r="AE744" s="3"/>
      <c r="AF744" s="3"/>
      <c r="AG744" s="3"/>
      <c r="AH744" s="3"/>
      <c r="AI744" s="3"/>
      <c r="AJ744" s="3"/>
    </row>
    <row r="745" spans="2:36" x14ac:dyDescent="0.2">
      <c r="B745" s="202" t="s">
        <v>77</v>
      </c>
      <c r="C745" s="3"/>
      <c r="D745" s="3"/>
      <c r="E745" s="54"/>
      <c r="F745" s="3"/>
      <c r="G745" s="3"/>
      <c r="H745" s="3"/>
      <c r="I745" s="3"/>
      <c r="J745" s="54"/>
      <c r="K745" s="222">
        <f t="shared" ref="K745:T745" si="34">SUM(K679:K720,K722:K742)-K743</f>
        <v>0</v>
      </c>
      <c r="L745" s="222">
        <f t="shared" si="34"/>
        <v>0</v>
      </c>
      <c r="M745" s="222">
        <f t="shared" si="34"/>
        <v>0</v>
      </c>
      <c r="N745" s="222">
        <f t="shared" si="34"/>
        <v>0</v>
      </c>
      <c r="O745" s="222">
        <f t="shared" si="34"/>
        <v>0</v>
      </c>
      <c r="P745" s="222">
        <f t="shared" si="34"/>
        <v>0</v>
      </c>
      <c r="Q745" s="340">
        <f t="shared" si="34"/>
        <v>0</v>
      </c>
      <c r="R745" s="222">
        <f t="shared" si="34"/>
        <v>0</v>
      </c>
      <c r="S745" s="222">
        <f t="shared" si="34"/>
        <v>0</v>
      </c>
      <c r="T745" s="222">
        <f t="shared" si="34"/>
        <v>0</v>
      </c>
      <c r="U745" s="244">
        <f>T744-U743</f>
        <v>0</v>
      </c>
      <c r="V745" s="3"/>
      <c r="W745" s="3"/>
      <c r="X745" s="3"/>
      <c r="Y745" s="3"/>
      <c r="Z745" s="3"/>
      <c r="AA745" s="3"/>
      <c r="AB745" s="3"/>
      <c r="AC745" s="3"/>
      <c r="AD745" s="3"/>
      <c r="AE745" s="3"/>
      <c r="AF745" s="3"/>
      <c r="AG745" s="3"/>
      <c r="AH745" s="3"/>
      <c r="AI745" s="3"/>
      <c r="AJ745" s="3"/>
    </row>
    <row r="746" spans="2:36" x14ac:dyDescent="0.2">
      <c r="B746" s="54"/>
      <c r="C746" s="3"/>
      <c r="D746" s="3"/>
      <c r="E746" s="54"/>
      <c r="F746" s="3"/>
      <c r="G746" s="3"/>
      <c r="H746" s="3"/>
      <c r="I746" s="3"/>
      <c r="J746" s="54"/>
      <c r="K746" s="222"/>
      <c r="L746" s="222"/>
      <c r="M746" s="222"/>
      <c r="N746" s="222"/>
      <c r="O746" s="222"/>
      <c r="P746" s="222"/>
      <c r="Q746" s="340"/>
      <c r="R746" s="222"/>
      <c r="S746" s="16"/>
      <c r="T746" s="200"/>
      <c r="U746" s="107"/>
      <c r="V746" s="3"/>
      <c r="W746" s="3"/>
      <c r="X746" s="3"/>
      <c r="Y746" s="3"/>
      <c r="Z746" s="3"/>
      <c r="AA746" s="3"/>
      <c r="AB746" s="3"/>
      <c r="AC746" s="3"/>
      <c r="AD746" s="3"/>
      <c r="AE746" s="3"/>
      <c r="AF746" s="3"/>
      <c r="AG746" s="3"/>
      <c r="AH746" s="3"/>
      <c r="AI746" s="3"/>
      <c r="AJ746" s="3"/>
    </row>
    <row r="747" spans="2:36" x14ac:dyDescent="0.2">
      <c r="B747" s="219" t="str">
        <f>'WS8 - Expenditure Program'!B146</f>
        <v xml:space="preserve">Table 8.4: Other uses of proposed SV income (eg, loan principal repayments, transfers to reserves) ($ nominal) </v>
      </c>
      <c r="C747" s="3"/>
      <c r="D747" s="3"/>
      <c r="E747" s="54"/>
      <c r="F747" s="3"/>
      <c r="G747" s="3"/>
      <c r="H747" s="3"/>
      <c r="I747" s="3"/>
      <c r="J747" s="54"/>
      <c r="K747" s="16"/>
      <c r="L747" s="16"/>
      <c r="M747" s="16"/>
      <c r="N747" s="16"/>
      <c r="O747" s="16"/>
      <c r="P747" s="16"/>
      <c r="Q747" s="200"/>
      <c r="R747" s="16"/>
      <c r="S747" s="16"/>
      <c r="T747" s="200"/>
      <c r="U747" s="107"/>
      <c r="V747" s="3"/>
      <c r="W747" s="3"/>
      <c r="X747" s="3"/>
      <c r="Y747" s="3"/>
      <c r="Z747" s="3"/>
      <c r="AA747" s="3"/>
      <c r="AB747" s="3"/>
      <c r="AC747" s="3"/>
      <c r="AD747" s="3"/>
      <c r="AE747" s="3"/>
      <c r="AF747" s="3"/>
      <c r="AG747" s="3"/>
      <c r="AH747" s="3"/>
      <c r="AI747" s="3"/>
      <c r="AJ747" s="3"/>
    </row>
    <row r="748" spans="2:36" x14ac:dyDescent="0.2">
      <c r="B748" s="494">
        <f>'WS8 - Expenditure Program'!B149</f>
        <v>0</v>
      </c>
      <c r="C748" s="3"/>
      <c r="D748" s="3" t="str">
        <f>'WS8 - Expenditure Program'!D149</f>
        <v>$ nominal</v>
      </c>
      <c r="E748" s="54"/>
      <c r="F748" s="3"/>
      <c r="G748" s="3"/>
      <c r="H748" s="3"/>
      <c r="I748" s="3"/>
      <c r="J748" s="54"/>
      <c r="K748" s="151">
        <f>'WS8 - Expenditure Program'!K149</f>
        <v>0</v>
      </c>
      <c r="L748" s="151">
        <f>'WS8 - Expenditure Program'!L149</f>
        <v>0</v>
      </c>
      <c r="M748" s="151">
        <f>'WS8 - Expenditure Program'!M149</f>
        <v>0</v>
      </c>
      <c r="N748" s="151">
        <f>'WS8 - Expenditure Program'!N149</f>
        <v>0</v>
      </c>
      <c r="O748" s="151">
        <f>'WS8 - Expenditure Program'!O149</f>
        <v>0</v>
      </c>
      <c r="P748" s="151">
        <f>'WS8 - Expenditure Program'!P149</f>
        <v>0</v>
      </c>
      <c r="Q748" s="120">
        <f>'WS8 - Expenditure Program'!Q149</f>
        <v>0</v>
      </c>
      <c r="R748" s="151">
        <f>'WS8 - Expenditure Program'!R149</f>
        <v>0</v>
      </c>
      <c r="S748" s="151">
        <f>'WS8 - Expenditure Program'!S149</f>
        <v>0</v>
      </c>
      <c r="T748" s="120">
        <f>'WS8 - Expenditure Program'!T149</f>
        <v>0</v>
      </c>
      <c r="U748" s="120">
        <f>'WS8 - Expenditure Program'!U149</f>
        <v>0</v>
      </c>
      <c r="V748" s="3"/>
      <c r="W748" s="3"/>
      <c r="X748" s="3"/>
      <c r="Y748" s="3"/>
      <c r="Z748" s="3"/>
      <c r="AA748" s="3"/>
      <c r="AB748" s="3"/>
      <c r="AC748" s="3"/>
      <c r="AD748" s="3"/>
      <c r="AE748" s="3"/>
      <c r="AF748" s="3"/>
      <c r="AG748" s="3"/>
      <c r="AH748" s="3"/>
      <c r="AI748" s="3"/>
      <c r="AJ748" s="3"/>
    </row>
    <row r="749" spans="2:36" x14ac:dyDescent="0.2">
      <c r="B749" s="494">
        <f>'WS8 - Expenditure Program'!B150</f>
        <v>0</v>
      </c>
      <c r="C749" s="3"/>
      <c r="D749" s="3" t="str">
        <f>'WS8 - Expenditure Program'!D150</f>
        <v>$ nominal</v>
      </c>
      <c r="E749" s="54"/>
      <c r="F749" s="3"/>
      <c r="G749" s="3"/>
      <c r="H749" s="3"/>
      <c r="I749" s="3"/>
      <c r="J749" s="54"/>
      <c r="K749" s="151">
        <f>'WS8 - Expenditure Program'!K150</f>
        <v>0</v>
      </c>
      <c r="L749" s="151">
        <f>'WS8 - Expenditure Program'!L150</f>
        <v>0</v>
      </c>
      <c r="M749" s="151">
        <f>'WS8 - Expenditure Program'!M150</f>
        <v>0</v>
      </c>
      <c r="N749" s="151">
        <f>'WS8 - Expenditure Program'!N150</f>
        <v>0</v>
      </c>
      <c r="O749" s="151">
        <f>'WS8 - Expenditure Program'!O150</f>
        <v>0</v>
      </c>
      <c r="P749" s="151">
        <f>'WS8 - Expenditure Program'!P150</f>
        <v>0</v>
      </c>
      <c r="Q749" s="120">
        <f>'WS8 - Expenditure Program'!Q150</f>
        <v>0</v>
      </c>
      <c r="R749" s="151">
        <f>'WS8 - Expenditure Program'!R150</f>
        <v>0</v>
      </c>
      <c r="S749" s="151">
        <f>'WS8 - Expenditure Program'!S150</f>
        <v>0</v>
      </c>
      <c r="T749" s="120">
        <f>'WS8 - Expenditure Program'!T150</f>
        <v>0</v>
      </c>
      <c r="U749" s="120">
        <f>'WS8 - Expenditure Program'!U150</f>
        <v>0</v>
      </c>
      <c r="V749" s="3"/>
      <c r="W749" s="3"/>
      <c r="X749" s="3"/>
      <c r="Y749" s="3"/>
      <c r="Z749" s="3"/>
      <c r="AA749" s="3"/>
      <c r="AB749" s="3"/>
      <c r="AC749" s="3"/>
      <c r="AD749" s="3"/>
      <c r="AE749" s="3"/>
      <c r="AF749" s="3"/>
      <c r="AG749" s="3"/>
      <c r="AH749" s="3"/>
      <c r="AI749" s="3"/>
      <c r="AJ749" s="3"/>
    </row>
    <row r="750" spans="2:36" x14ac:dyDescent="0.2">
      <c r="B750" s="494">
        <f>'WS8 - Expenditure Program'!B151</f>
        <v>0</v>
      </c>
      <c r="C750" s="3"/>
      <c r="D750" s="3" t="str">
        <f>'WS8 - Expenditure Program'!D151</f>
        <v>$ nominal</v>
      </c>
      <c r="E750" s="54"/>
      <c r="F750" s="3"/>
      <c r="G750" s="3"/>
      <c r="H750" s="3"/>
      <c r="I750" s="3"/>
      <c r="J750" s="54"/>
      <c r="K750" s="151">
        <f>'WS8 - Expenditure Program'!K151</f>
        <v>0</v>
      </c>
      <c r="L750" s="151">
        <f>'WS8 - Expenditure Program'!L151</f>
        <v>0</v>
      </c>
      <c r="M750" s="151">
        <f>'WS8 - Expenditure Program'!M151</f>
        <v>0</v>
      </c>
      <c r="N750" s="151">
        <f>'WS8 - Expenditure Program'!N151</f>
        <v>0</v>
      </c>
      <c r="O750" s="151">
        <f>'WS8 - Expenditure Program'!O151</f>
        <v>0</v>
      </c>
      <c r="P750" s="151">
        <f>'WS8 - Expenditure Program'!P151</f>
        <v>0</v>
      </c>
      <c r="Q750" s="120">
        <f>'WS8 - Expenditure Program'!Q151</f>
        <v>0</v>
      </c>
      <c r="R750" s="151">
        <f>'WS8 - Expenditure Program'!R151</f>
        <v>0</v>
      </c>
      <c r="S750" s="151">
        <f>'WS8 - Expenditure Program'!S151</f>
        <v>0</v>
      </c>
      <c r="T750" s="120">
        <f>'WS8 - Expenditure Program'!T151</f>
        <v>0</v>
      </c>
      <c r="U750" s="120">
        <f>'WS8 - Expenditure Program'!U151</f>
        <v>0</v>
      </c>
      <c r="V750" s="3"/>
      <c r="W750" s="3"/>
      <c r="X750" s="3"/>
      <c r="Y750" s="3"/>
      <c r="Z750" s="3"/>
      <c r="AA750" s="3"/>
      <c r="AB750" s="3"/>
      <c r="AC750" s="3"/>
      <c r="AD750" s="3"/>
      <c r="AE750" s="3"/>
      <c r="AF750" s="3"/>
      <c r="AG750" s="3"/>
      <c r="AH750" s="3"/>
      <c r="AI750" s="3"/>
      <c r="AJ750" s="3"/>
    </row>
    <row r="751" spans="2:36" x14ac:dyDescent="0.2">
      <c r="B751" s="494">
        <f>'WS8 - Expenditure Program'!B152</f>
        <v>0</v>
      </c>
      <c r="C751" s="3"/>
      <c r="D751" s="3" t="str">
        <f>'WS8 - Expenditure Program'!D152</f>
        <v>$ nominal</v>
      </c>
      <c r="E751" s="54"/>
      <c r="F751" s="3"/>
      <c r="G751" s="3"/>
      <c r="H751" s="3"/>
      <c r="I751" s="3"/>
      <c r="J751" s="54"/>
      <c r="K751" s="151">
        <f>'WS8 - Expenditure Program'!K152</f>
        <v>0</v>
      </c>
      <c r="L751" s="151">
        <f>'WS8 - Expenditure Program'!L152</f>
        <v>0</v>
      </c>
      <c r="M751" s="151">
        <f>'WS8 - Expenditure Program'!M152</f>
        <v>0</v>
      </c>
      <c r="N751" s="151">
        <f>'WS8 - Expenditure Program'!N152</f>
        <v>0</v>
      </c>
      <c r="O751" s="151">
        <f>'WS8 - Expenditure Program'!O152</f>
        <v>0</v>
      </c>
      <c r="P751" s="151">
        <f>'WS8 - Expenditure Program'!P152</f>
        <v>0</v>
      </c>
      <c r="Q751" s="120">
        <f>'WS8 - Expenditure Program'!Q152</f>
        <v>0</v>
      </c>
      <c r="R751" s="151">
        <f>'WS8 - Expenditure Program'!R152</f>
        <v>0</v>
      </c>
      <c r="S751" s="151">
        <f>'WS8 - Expenditure Program'!S152</f>
        <v>0</v>
      </c>
      <c r="T751" s="120">
        <f>'WS8 - Expenditure Program'!T152</f>
        <v>0</v>
      </c>
      <c r="U751" s="120">
        <f>'WS8 - Expenditure Program'!U152</f>
        <v>0</v>
      </c>
      <c r="V751" s="3"/>
      <c r="W751" s="3"/>
      <c r="X751" s="3"/>
      <c r="Y751" s="3"/>
      <c r="Z751" s="3"/>
      <c r="AA751" s="3"/>
      <c r="AB751" s="3"/>
      <c r="AC751" s="3"/>
      <c r="AD751" s="3"/>
      <c r="AE751" s="3"/>
      <c r="AF751" s="3"/>
      <c r="AG751" s="3"/>
      <c r="AH751" s="3"/>
      <c r="AI751" s="3"/>
      <c r="AJ751" s="3"/>
    </row>
    <row r="752" spans="2:36" x14ac:dyDescent="0.2">
      <c r="B752" s="494">
        <f>'WS8 - Expenditure Program'!B153</f>
        <v>0</v>
      </c>
      <c r="C752" s="3"/>
      <c r="D752" s="3" t="str">
        <f>'WS8 - Expenditure Program'!D153</f>
        <v>$ nominal</v>
      </c>
      <c r="E752" s="54"/>
      <c r="F752" s="3"/>
      <c r="G752" s="3"/>
      <c r="H752" s="3"/>
      <c r="I752" s="3"/>
      <c r="J752" s="54"/>
      <c r="K752" s="151">
        <f>'WS8 - Expenditure Program'!K153</f>
        <v>0</v>
      </c>
      <c r="L752" s="151">
        <f>'WS8 - Expenditure Program'!L153</f>
        <v>0</v>
      </c>
      <c r="M752" s="151">
        <f>'WS8 - Expenditure Program'!M153</f>
        <v>0</v>
      </c>
      <c r="N752" s="151">
        <f>'WS8 - Expenditure Program'!N153</f>
        <v>0</v>
      </c>
      <c r="O752" s="151">
        <f>'WS8 - Expenditure Program'!O153</f>
        <v>0</v>
      </c>
      <c r="P752" s="151">
        <f>'WS8 - Expenditure Program'!P153</f>
        <v>0</v>
      </c>
      <c r="Q752" s="120">
        <f>'WS8 - Expenditure Program'!Q153</f>
        <v>0</v>
      </c>
      <c r="R752" s="151">
        <f>'WS8 - Expenditure Program'!R153</f>
        <v>0</v>
      </c>
      <c r="S752" s="151">
        <f>'WS8 - Expenditure Program'!S153</f>
        <v>0</v>
      </c>
      <c r="T752" s="120">
        <f>'WS8 - Expenditure Program'!T153</f>
        <v>0</v>
      </c>
      <c r="U752" s="120">
        <f>'WS8 - Expenditure Program'!U153</f>
        <v>0</v>
      </c>
      <c r="V752" s="3"/>
      <c r="W752" s="3"/>
      <c r="X752" s="3"/>
      <c r="Y752" s="3"/>
      <c r="Z752" s="3"/>
      <c r="AA752" s="3"/>
      <c r="AB752" s="3"/>
      <c r="AC752" s="3"/>
      <c r="AD752" s="3"/>
      <c r="AE752" s="3"/>
      <c r="AF752" s="3"/>
      <c r="AG752" s="3"/>
      <c r="AH752" s="3"/>
      <c r="AI752" s="3"/>
      <c r="AJ752" s="3"/>
    </row>
    <row r="753" spans="2:36" x14ac:dyDescent="0.2">
      <c r="B753" s="494">
        <f>'WS8 - Expenditure Program'!B154</f>
        <v>0</v>
      </c>
      <c r="C753" s="3"/>
      <c r="D753" s="3" t="str">
        <f>'WS8 - Expenditure Program'!D154</f>
        <v>$ nominal</v>
      </c>
      <c r="E753" s="54"/>
      <c r="F753" s="3"/>
      <c r="G753" s="3"/>
      <c r="H753" s="3"/>
      <c r="I753" s="3"/>
      <c r="J753" s="54"/>
      <c r="K753" s="151">
        <f>'WS8 - Expenditure Program'!K154</f>
        <v>0</v>
      </c>
      <c r="L753" s="151">
        <f>'WS8 - Expenditure Program'!L154</f>
        <v>0</v>
      </c>
      <c r="M753" s="151">
        <f>'WS8 - Expenditure Program'!M154</f>
        <v>0</v>
      </c>
      <c r="N753" s="151">
        <f>'WS8 - Expenditure Program'!N154</f>
        <v>0</v>
      </c>
      <c r="O753" s="151">
        <f>'WS8 - Expenditure Program'!O154</f>
        <v>0</v>
      </c>
      <c r="P753" s="151">
        <f>'WS8 - Expenditure Program'!P154</f>
        <v>0</v>
      </c>
      <c r="Q753" s="120">
        <f>'WS8 - Expenditure Program'!Q154</f>
        <v>0</v>
      </c>
      <c r="R753" s="151">
        <f>'WS8 - Expenditure Program'!R154</f>
        <v>0</v>
      </c>
      <c r="S753" s="151">
        <f>'WS8 - Expenditure Program'!S154</f>
        <v>0</v>
      </c>
      <c r="T753" s="120">
        <f>'WS8 - Expenditure Program'!T154</f>
        <v>0</v>
      </c>
      <c r="U753" s="120">
        <f>'WS8 - Expenditure Program'!U154</f>
        <v>0</v>
      </c>
      <c r="V753" s="3"/>
      <c r="W753" s="3"/>
      <c r="X753" s="3"/>
      <c r="Y753" s="3"/>
      <c r="Z753" s="3"/>
      <c r="AA753" s="3"/>
      <c r="AB753" s="3"/>
      <c r="AC753" s="3"/>
      <c r="AD753" s="3"/>
      <c r="AE753" s="3"/>
      <c r="AF753" s="3"/>
      <c r="AG753" s="3"/>
      <c r="AH753" s="3"/>
      <c r="AI753" s="3"/>
      <c r="AJ753" s="3"/>
    </row>
    <row r="754" spans="2:36" x14ac:dyDescent="0.2">
      <c r="B754" s="494">
        <f>'WS8 - Expenditure Program'!B155</f>
        <v>0</v>
      </c>
      <c r="C754" s="3"/>
      <c r="D754" s="3" t="str">
        <f>'WS8 - Expenditure Program'!D155</f>
        <v>$ nominal</v>
      </c>
      <c r="E754" s="54"/>
      <c r="F754" s="3"/>
      <c r="G754" s="3"/>
      <c r="H754" s="3"/>
      <c r="I754" s="3"/>
      <c r="J754" s="54"/>
      <c r="K754" s="151">
        <f>'WS8 - Expenditure Program'!K155</f>
        <v>0</v>
      </c>
      <c r="L754" s="151">
        <f>'WS8 - Expenditure Program'!L155</f>
        <v>0</v>
      </c>
      <c r="M754" s="151">
        <f>'WS8 - Expenditure Program'!M155</f>
        <v>0</v>
      </c>
      <c r="N754" s="151">
        <f>'WS8 - Expenditure Program'!N155</f>
        <v>0</v>
      </c>
      <c r="O754" s="151">
        <f>'WS8 - Expenditure Program'!O155</f>
        <v>0</v>
      </c>
      <c r="P754" s="151">
        <f>'WS8 - Expenditure Program'!P155</f>
        <v>0</v>
      </c>
      <c r="Q754" s="120">
        <f>'WS8 - Expenditure Program'!Q155</f>
        <v>0</v>
      </c>
      <c r="R754" s="151">
        <f>'WS8 - Expenditure Program'!R155</f>
        <v>0</v>
      </c>
      <c r="S754" s="151">
        <f>'WS8 - Expenditure Program'!S155</f>
        <v>0</v>
      </c>
      <c r="T754" s="120">
        <f>'WS8 - Expenditure Program'!T155</f>
        <v>0</v>
      </c>
      <c r="U754" s="120">
        <f>'WS8 - Expenditure Program'!U155</f>
        <v>0</v>
      </c>
      <c r="V754" s="3"/>
      <c r="W754" s="3"/>
      <c r="X754" s="3"/>
      <c r="Y754" s="3"/>
      <c r="Z754" s="3"/>
      <c r="AA754" s="3"/>
      <c r="AB754" s="3"/>
      <c r="AC754" s="3"/>
      <c r="AD754" s="3"/>
      <c r="AE754" s="3"/>
      <c r="AF754" s="3"/>
      <c r="AG754" s="3"/>
      <c r="AH754" s="3"/>
      <c r="AI754" s="3"/>
      <c r="AJ754" s="3"/>
    </row>
    <row r="755" spans="2:36" x14ac:dyDescent="0.2">
      <c r="B755" s="494">
        <f>'WS8 - Expenditure Program'!B156</f>
        <v>0</v>
      </c>
      <c r="C755" s="3"/>
      <c r="D755" s="3" t="str">
        <f>'WS8 - Expenditure Program'!D156</f>
        <v>$ nominal</v>
      </c>
      <c r="E755" s="54"/>
      <c r="F755" s="3"/>
      <c r="G755" s="3"/>
      <c r="H755" s="3"/>
      <c r="I755" s="3"/>
      <c r="J755" s="54"/>
      <c r="K755" s="151">
        <f>'WS8 - Expenditure Program'!K156</f>
        <v>0</v>
      </c>
      <c r="L755" s="151">
        <f>'WS8 - Expenditure Program'!L156</f>
        <v>0</v>
      </c>
      <c r="M755" s="151">
        <f>'WS8 - Expenditure Program'!M156</f>
        <v>0</v>
      </c>
      <c r="N755" s="151">
        <f>'WS8 - Expenditure Program'!N156</f>
        <v>0</v>
      </c>
      <c r="O755" s="151">
        <f>'WS8 - Expenditure Program'!O156</f>
        <v>0</v>
      </c>
      <c r="P755" s="151">
        <f>'WS8 - Expenditure Program'!P156</f>
        <v>0</v>
      </c>
      <c r="Q755" s="120">
        <f>'WS8 - Expenditure Program'!Q156</f>
        <v>0</v>
      </c>
      <c r="R755" s="151">
        <f>'WS8 - Expenditure Program'!R156</f>
        <v>0</v>
      </c>
      <c r="S755" s="151">
        <f>'WS8 - Expenditure Program'!S156</f>
        <v>0</v>
      </c>
      <c r="T755" s="120">
        <f>'WS8 - Expenditure Program'!T156</f>
        <v>0</v>
      </c>
      <c r="U755" s="120">
        <f>'WS8 - Expenditure Program'!U156</f>
        <v>0</v>
      </c>
      <c r="V755" s="3"/>
      <c r="W755" s="3"/>
      <c r="X755" s="3"/>
      <c r="Y755" s="3"/>
      <c r="Z755" s="3"/>
      <c r="AA755" s="3"/>
      <c r="AB755" s="3"/>
      <c r="AC755" s="3"/>
      <c r="AD755" s="3"/>
      <c r="AE755" s="3"/>
      <c r="AF755" s="3"/>
      <c r="AG755" s="3"/>
      <c r="AH755" s="3"/>
      <c r="AI755" s="3"/>
      <c r="AJ755" s="3"/>
    </row>
    <row r="756" spans="2:36" x14ac:dyDescent="0.2">
      <c r="B756" s="494">
        <f>'WS8 - Expenditure Program'!B157</f>
        <v>0</v>
      </c>
      <c r="C756" s="3"/>
      <c r="D756" s="3" t="str">
        <f>'WS8 - Expenditure Program'!D157</f>
        <v>$ nominal</v>
      </c>
      <c r="E756" s="54"/>
      <c r="F756" s="3"/>
      <c r="G756" s="3"/>
      <c r="H756" s="3"/>
      <c r="I756" s="3"/>
      <c r="J756" s="54"/>
      <c r="K756" s="151">
        <f>'WS8 - Expenditure Program'!K157</f>
        <v>0</v>
      </c>
      <c r="L756" s="151">
        <f>'WS8 - Expenditure Program'!L157</f>
        <v>0</v>
      </c>
      <c r="M756" s="151">
        <f>'WS8 - Expenditure Program'!M157</f>
        <v>0</v>
      </c>
      <c r="N756" s="151">
        <f>'WS8 - Expenditure Program'!N157</f>
        <v>0</v>
      </c>
      <c r="O756" s="151">
        <f>'WS8 - Expenditure Program'!O157</f>
        <v>0</v>
      </c>
      <c r="P756" s="151">
        <f>'WS8 - Expenditure Program'!P157</f>
        <v>0</v>
      </c>
      <c r="Q756" s="120">
        <f>'WS8 - Expenditure Program'!Q157</f>
        <v>0</v>
      </c>
      <c r="R756" s="151">
        <f>'WS8 - Expenditure Program'!R157</f>
        <v>0</v>
      </c>
      <c r="S756" s="151">
        <f>'WS8 - Expenditure Program'!S157</f>
        <v>0</v>
      </c>
      <c r="T756" s="120">
        <f>'WS8 - Expenditure Program'!T157</f>
        <v>0</v>
      </c>
      <c r="U756" s="120">
        <f>'WS8 - Expenditure Program'!U157</f>
        <v>0</v>
      </c>
      <c r="V756" s="3"/>
      <c r="W756" s="3"/>
      <c r="X756" s="3"/>
      <c r="Y756" s="3"/>
      <c r="Z756" s="3"/>
      <c r="AA756" s="3"/>
      <c r="AB756" s="3"/>
      <c r="AC756" s="3"/>
      <c r="AD756" s="3"/>
      <c r="AE756" s="3"/>
      <c r="AF756" s="3"/>
      <c r="AG756" s="3"/>
      <c r="AH756" s="3"/>
      <c r="AI756" s="3"/>
      <c r="AJ756" s="3"/>
    </row>
    <row r="757" spans="2:36" x14ac:dyDescent="0.2">
      <c r="B757" s="494">
        <f>'WS8 - Expenditure Program'!B158</f>
        <v>0</v>
      </c>
      <c r="C757" s="3"/>
      <c r="D757" s="3" t="str">
        <f>'WS8 - Expenditure Program'!D158</f>
        <v>$ nominal</v>
      </c>
      <c r="E757" s="54"/>
      <c r="F757" s="3"/>
      <c r="G757" s="3"/>
      <c r="H757" s="3"/>
      <c r="I757" s="3"/>
      <c r="J757" s="54"/>
      <c r="K757" s="151">
        <f>'WS8 - Expenditure Program'!K158</f>
        <v>0</v>
      </c>
      <c r="L757" s="151">
        <f>'WS8 - Expenditure Program'!L158</f>
        <v>0</v>
      </c>
      <c r="M757" s="151">
        <f>'WS8 - Expenditure Program'!M158</f>
        <v>0</v>
      </c>
      <c r="N757" s="151">
        <f>'WS8 - Expenditure Program'!N158</f>
        <v>0</v>
      </c>
      <c r="O757" s="151">
        <f>'WS8 - Expenditure Program'!O158</f>
        <v>0</v>
      </c>
      <c r="P757" s="151">
        <f>'WS8 - Expenditure Program'!P158</f>
        <v>0</v>
      </c>
      <c r="Q757" s="120">
        <f>'WS8 - Expenditure Program'!Q158</f>
        <v>0</v>
      </c>
      <c r="R757" s="151">
        <f>'WS8 - Expenditure Program'!R158</f>
        <v>0</v>
      </c>
      <c r="S757" s="151">
        <f>'WS8 - Expenditure Program'!S158</f>
        <v>0</v>
      </c>
      <c r="T757" s="120">
        <f>'WS8 - Expenditure Program'!T158</f>
        <v>0</v>
      </c>
      <c r="U757" s="120">
        <f>'WS8 - Expenditure Program'!U158</f>
        <v>0</v>
      </c>
      <c r="V757" s="3"/>
      <c r="W757" s="3"/>
      <c r="X757" s="3"/>
      <c r="Y757" s="3"/>
      <c r="Z757" s="3"/>
      <c r="AA757" s="3"/>
      <c r="AB757" s="3"/>
      <c r="AC757" s="3"/>
      <c r="AD757" s="3"/>
      <c r="AE757" s="3"/>
      <c r="AF757" s="3"/>
      <c r="AG757" s="3"/>
      <c r="AH757" s="3"/>
      <c r="AI757" s="3"/>
      <c r="AJ757" s="3"/>
    </row>
    <row r="758" spans="2:36" ht="12.75" thickBot="1" x14ac:dyDescent="0.25">
      <c r="B758" s="218" t="str">
        <f>'WS8 - Expenditure Program'!B159</f>
        <v>Annual total</v>
      </c>
      <c r="C758" s="3"/>
      <c r="D758" s="3"/>
      <c r="E758" s="54"/>
      <c r="F758" s="3"/>
      <c r="G758" s="3"/>
      <c r="H758" s="3"/>
      <c r="I758" s="3"/>
      <c r="J758" s="54"/>
      <c r="K758" s="339">
        <f>'WS8 - Expenditure Program'!K159</f>
        <v>0</v>
      </c>
      <c r="L758" s="339">
        <f>'WS8 - Expenditure Program'!L159</f>
        <v>0</v>
      </c>
      <c r="M758" s="339">
        <f>'WS8 - Expenditure Program'!M159</f>
        <v>0</v>
      </c>
      <c r="N758" s="339">
        <f>'WS8 - Expenditure Program'!N159</f>
        <v>0</v>
      </c>
      <c r="O758" s="339">
        <f>'WS8 - Expenditure Program'!O159</f>
        <v>0</v>
      </c>
      <c r="P758" s="339">
        <f>'WS8 - Expenditure Program'!P159</f>
        <v>0</v>
      </c>
      <c r="Q758" s="341">
        <f>'WS8 - Expenditure Program'!Q159</f>
        <v>0</v>
      </c>
      <c r="R758" s="339">
        <f>'WS8 - Expenditure Program'!R159</f>
        <v>0</v>
      </c>
      <c r="S758" s="339">
        <f>'WS8 - Expenditure Program'!S159</f>
        <v>0</v>
      </c>
      <c r="T758" s="341">
        <f>'WS8 - Expenditure Program'!T159</f>
        <v>0</v>
      </c>
      <c r="U758" s="120">
        <f>'WS8 - Expenditure Program'!U159</f>
        <v>0</v>
      </c>
      <c r="V758" s="3"/>
      <c r="W758" s="3"/>
      <c r="X758" s="3"/>
      <c r="Y758" s="3"/>
      <c r="Z758" s="3"/>
      <c r="AA758" s="3"/>
      <c r="AB758" s="3"/>
      <c r="AC758" s="3"/>
      <c r="AD758" s="3"/>
      <c r="AE758" s="3"/>
      <c r="AF758" s="3"/>
      <c r="AG758" s="3"/>
      <c r="AH758" s="3"/>
      <c r="AI758" s="3"/>
      <c r="AJ758" s="3"/>
    </row>
    <row r="759" spans="2:36" ht="12.75" thickTop="1" x14ac:dyDescent="0.2">
      <c r="B759" s="218" t="str">
        <f>'WS8 - Expenditure Program'!B160</f>
        <v>Cumulative totals by year</v>
      </c>
      <c r="C759" s="3"/>
      <c r="D759" s="3"/>
      <c r="E759" s="54"/>
      <c r="F759" s="3"/>
      <c r="G759" s="3"/>
      <c r="H759" s="3"/>
      <c r="I759" s="3"/>
      <c r="J759" s="54"/>
      <c r="K759" s="112">
        <f>'WS8 - Expenditure Program'!K160</f>
        <v>0</v>
      </c>
      <c r="L759" s="112">
        <f>'WS8 - Expenditure Program'!L160</f>
        <v>0</v>
      </c>
      <c r="M759" s="112">
        <f>'WS8 - Expenditure Program'!M160</f>
        <v>0</v>
      </c>
      <c r="N759" s="112">
        <f>'WS8 - Expenditure Program'!N160</f>
        <v>0</v>
      </c>
      <c r="O759" s="112">
        <f>'WS8 - Expenditure Program'!O160</f>
        <v>0</v>
      </c>
      <c r="P759" s="112">
        <f>'WS8 - Expenditure Program'!P160</f>
        <v>0</v>
      </c>
      <c r="Q759" s="230">
        <f>'WS8 - Expenditure Program'!Q160</f>
        <v>0</v>
      </c>
      <c r="R759" s="112">
        <f>'WS8 - Expenditure Program'!R160</f>
        <v>0</v>
      </c>
      <c r="S759" s="112">
        <f>'WS8 - Expenditure Program'!S160</f>
        <v>0</v>
      </c>
      <c r="T759" s="230">
        <f>'WS8 - Expenditure Program'!T160</f>
        <v>0</v>
      </c>
      <c r="U759" s="157"/>
      <c r="V759" s="3"/>
      <c r="W759" s="3"/>
      <c r="X759" s="3"/>
      <c r="Y759" s="3"/>
      <c r="Z759" s="3"/>
      <c r="AA759" s="3"/>
      <c r="AB759" s="3"/>
      <c r="AC759" s="3"/>
      <c r="AD759" s="3"/>
      <c r="AE759" s="3"/>
      <c r="AF759" s="3"/>
      <c r="AG759" s="3"/>
      <c r="AH759" s="3"/>
      <c r="AI759" s="3"/>
      <c r="AJ759" s="3"/>
    </row>
    <row r="760" spans="2:36" x14ac:dyDescent="0.2">
      <c r="B760" s="202" t="s">
        <v>77</v>
      </c>
      <c r="C760" s="3"/>
      <c r="D760" s="3"/>
      <c r="E760" s="54"/>
      <c r="F760" s="3"/>
      <c r="G760" s="3"/>
      <c r="H760" s="3"/>
      <c r="I760" s="3"/>
      <c r="J760" s="54"/>
      <c r="K760" s="222">
        <f t="shared" ref="K760:U760" si="35">K758-SUM(K748:K757)</f>
        <v>0</v>
      </c>
      <c r="L760" s="222">
        <f t="shared" si="35"/>
        <v>0</v>
      </c>
      <c r="M760" s="222">
        <f t="shared" si="35"/>
        <v>0</v>
      </c>
      <c r="N760" s="222">
        <f t="shared" si="35"/>
        <v>0</v>
      </c>
      <c r="O760" s="222">
        <f t="shared" si="35"/>
        <v>0</v>
      </c>
      <c r="P760" s="222">
        <f t="shared" si="35"/>
        <v>0</v>
      </c>
      <c r="Q760" s="340">
        <f t="shared" si="35"/>
        <v>0</v>
      </c>
      <c r="R760" s="222">
        <f t="shared" si="35"/>
        <v>0</v>
      </c>
      <c r="S760" s="222">
        <f t="shared" si="35"/>
        <v>0</v>
      </c>
      <c r="T760" s="222">
        <f t="shared" si="35"/>
        <v>0</v>
      </c>
      <c r="U760" s="244">
        <f t="shared" si="35"/>
        <v>0</v>
      </c>
      <c r="V760" s="3"/>
      <c r="W760" s="3"/>
      <c r="X760" s="3"/>
      <c r="Y760" s="3"/>
      <c r="Z760" s="3"/>
      <c r="AA760" s="3"/>
      <c r="AB760" s="3"/>
      <c r="AC760" s="3"/>
      <c r="AD760" s="3"/>
      <c r="AE760" s="3"/>
      <c r="AF760" s="3"/>
      <c r="AG760" s="3"/>
      <c r="AH760" s="3"/>
      <c r="AI760" s="3"/>
      <c r="AJ760" s="3"/>
    </row>
    <row r="761" spans="2:36" x14ac:dyDescent="0.2">
      <c r="B761" s="54"/>
      <c r="C761" s="3"/>
      <c r="D761" s="3"/>
      <c r="E761" s="54"/>
      <c r="F761" s="3"/>
      <c r="G761" s="3"/>
      <c r="H761" s="3"/>
      <c r="I761" s="3"/>
      <c r="J761" s="54"/>
      <c r="K761" s="16"/>
      <c r="L761" s="16"/>
      <c r="M761" s="16"/>
      <c r="N761" s="16"/>
      <c r="O761" s="16"/>
      <c r="P761" s="16"/>
      <c r="Q761" s="200"/>
      <c r="R761" s="16"/>
      <c r="S761" s="16"/>
      <c r="T761" s="200"/>
      <c r="U761" s="107"/>
      <c r="V761" s="3"/>
      <c r="W761" s="3"/>
      <c r="X761" s="3"/>
      <c r="Y761" s="3"/>
      <c r="Z761" s="3"/>
      <c r="AA761" s="3"/>
      <c r="AB761" s="3"/>
      <c r="AC761" s="3"/>
      <c r="AD761" s="3"/>
      <c r="AE761" s="3"/>
      <c r="AF761" s="3"/>
      <c r="AG761" s="3"/>
      <c r="AH761" s="3"/>
      <c r="AI761" s="3"/>
      <c r="AJ761" s="3"/>
    </row>
    <row r="762" spans="2:36" x14ac:dyDescent="0.2">
      <c r="B762" s="219" t="str">
        <f>'WS8 - Expenditure Program'!B163</f>
        <v>Table 8.5: Total ($ nominal)</v>
      </c>
      <c r="C762" s="3"/>
      <c r="D762" s="3"/>
      <c r="E762" s="54"/>
      <c r="F762" s="3"/>
      <c r="G762" s="3"/>
      <c r="H762" s="3"/>
      <c r="I762" s="3"/>
      <c r="J762" s="54"/>
      <c r="K762" s="16"/>
      <c r="L762" s="16"/>
      <c r="M762" s="16"/>
      <c r="N762" s="16"/>
      <c r="O762" s="16"/>
      <c r="P762" s="16"/>
      <c r="Q762" s="200"/>
      <c r="R762" s="16"/>
      <c r="S762" s="16"/>
      <c r="T762" s="200"/>
      <c r="U762" s="107"/>
      <c r="V762" s="3"/>
      <c r="W762" s="3"/>
      <c r="X762" s="3"/>
      <c r="Y762" s="3"/>
      <c r="Z762" s="3"/>
      <c r="AA762" s="3"/>
      <c r="AB762" s="3"/>
      <c r="AC762" s="3"/>
      <c r="AD762" s="3"/>
      <c r="AE762" s="3"/>
      <c r="AF762" s="3"/>
      <c r="AG762" s="3"/>
      <c r="AH762" s="3"/>
      <c r="AI762" s="3"/>
      <c r="AJ762" s="3"/>
    </row>
    <row r="763" spans="2:36" x14ac:dyDescent="0.2">
      <c r="B763" s="245" t="str">
        <f>'WS8 - Expenditure Program'!B166</f>
        <v>Total use of proposed SV income</v>
      </c>
      <c r="C763" s="3"/>
      <c r="D763" s="3" t="str">
        <f>'WS8 - Expenditure Program'!D166</f>
        <v>$ nominal</v>
      </c>
      <c r="E763" s="54"/>
      <c r="F763" s="3"/>
      <c r="G763" s="3"/>
      <c r="H763" s="3"/>
      <c r="I763" s="3"/>
      <c r="J763" s="54"/>
      <c r="K763" s="112">
        <f>'WS8 - Expenditure Program'!K166</f>
        <v>2000000</v>
      </c>
      <c r="L763" s="112">
        <f>'WS8 - Expenditure Program'!L166</f>
        <v>2060000</v>
      </c>
      <c r="M763" s="112">
        <f>'WS8 - Expenditure Program'!M166</f>
        <v>2121800</v>
      </c>
      <c r="N763" s="112">
        <f>'WS8 - Expenditure Program'!N166</f>
        <v>2185454</v>
      </c>
      <c r="O763" s="112">
        <f>'WS8 - Expenditure Program'!O166</f>
        <v>2251017.62</v>
      </c>
      <c r="P763" s="112">
        <f>'WS8 - Expenditure Program'!P166</f>
        <v>2318548.1486</v>
      </c>
      <c r="Q763" s="230">
        <f>'WS8 - Expenditure Program'!Q166</f>
        <v>2388104.5930579999</v>
      </c>
      <c r="R763" s="112">
        <f>'WS8 - Expenditure Program'!R166</f>
        <v>2459747.7308497401</v>
      </c>
      <c r="S763" s="112">
        <f>'WS8 - Expenditure Program'!S166</f>
        <v>2533540.1627752325</v>
      </c>
      <c r="T763" s="230">
        <f>'WS8 - Expenditure Program'!T166</f>
        <v>2609546.3676584894</v>
      </c>
      <c r="U763" s="242">
        <f>'WS8 - Expenditure Program'!U166</f>
        <v>22927758.622941464</v>
      </c>
      <c r="V763" s="3"/>
      <c r="W763" s="3"/>
      <c r="X763" s="3"/>
      <c r="Y763" s="3"/>
      <c r="Z763" s="3"/>
      <c r="AA763" s="3"/>
      <c r="AB763" s="3"/>
      <c r="AC763" s="3"/>
      <c r="AD763" s="3"/>
      <c r="AE763" s="3"/>
      <c r="AF763" s="3"/>
      <c r="AG763" s="3"/>
      <c r="AH763" s="3"/>
      <c r="AI763" s="3"/>
      <c r="AJ763" s="3"/>
    </row>
    <row r="764" spans="2:36" x14ac:dyDescent="0.2">
      <c r="B764" s="245" t="str">
        <f>'WS8 - Expenditure Program'!B167</f>
        <v>Difference between additional SRV income and its uses</v>
      </c>
      <c r="C764" s="3"/>
      <c r="D764" s="3" t="str">
        <f>'WS8 - Expenditure Program'!D167</f>
        <v>$ nominal</v>
      </c>
      <c r="E764" s="54"/>
      <c r="F764" s="3"/>
      <c r="G764" s="3"/>
      <c r="H764" s="3"/>
      <c r="I764" s="3"/>
      <c r="J764" s="54"/>
      <c r="K764" s="112">
        <f>'WS8 - Expenditure Program'!K167</f>
        <v>3435200.3656308874</v>
      </c>
      <c r="L764" s="112">
        <f>'WS8 - Expenditure Program'!L167</f>
        <v>3538256.376599811</v>
      </c>
      <c r="M764" s="112">
        <f>'WS8 - Expenditure Program'!M167</f>
        <v>3644404.0678978115</v>
      </c>
      <c r="N764" s="112">
        <f>'WS8 - Expenditure Program'!N167</f>
        <v>3753736.1899347454</v>
      </c>
      <c r="O764" s="112">
        <f>'WS8 - Expenditure Program'!O167</f>
        <v>3866348.2756327884</v>
      </c>
      <c r="P764" s="112">
        <f>'WS8 - Expenditure Program'!P167</f>
        <v>3982338.7239017682</v>
      </c>
      <c r="Q764" s="230">
        <f>'WS8 - Expenditure Program'!Q167</f>
        <v>4101808.8856188259</v>
      </c>
      <c r="R764" s="112">
        <f>'WS8 - Expenditure Program'!R167</f>
        <v>4192413.5847940054</v>
      </c>
      <c r="S764" s="112">
        <f>'WS8 - Expenditure Program'!S167</f>
        <v>4284925.1857596058</v>
      </c>
      <c r="T764" s="230">
        <f>'WS8 - Expenditure Program'!T167</f>
        <v>4379380.6145897191</v>
      </c>
      <c r="U764" s="242">
        <f>'WS8 - Expenditure Program'!U167</f>
        <v>39178812.270359963</v>
      </c>
      <c r="V764" s="3"/>
      <c r="W764" s="3"/>
      <c r="X764" s="3"/>
      <c r="Y764" s="3"/>
      <c r="Z764" s="3"/>
      <c r="AA764" s="3"/>
      <c r="AB764" s="3"/>
      <c r="AC764" s="3"/>
      <c r="AD764" s="3"/>
      <c r="AE764" s="3"/>
      <c r="AF764" s="3"/>
      <c r="AG764" s="3"/>
      <c r="AH764" s="3"/>
      <c r="AI764" s="3"/>
      <c r="AJ764" s="3"/>
    </row>
    <row r="765" spans="2:36" x14ac:dyDescent="0.2">
      <c r="B765" s="284"/>
      <c r="C765" s="3"/>
      <c r="D765" s="3"/>
      <c r="E765" s="54"/>
      <c r="F765" s="3"/>
      <c r="G765" s="3"/>
      <c r="H765" s="3"/>
      <c r="I765" s="3"/>
      <c r="J765" s="54"/>
      <c r="K765" s="16"/>
      <c r="L765" s="16"/>
      <c r="M765" s="16"/>
      <c r="N765" s="16"/>
      <c r="O765" s="16"/>
      <c r="P765" s="16"/>
      <c r="Q765" s="200"/>
      <c r="R765" s="16"/>
      <c r="S765" s="16"/>
      <c r="T765" s="200"/>
      <c r="U765" s="107"/>
      <c r="V765" s="3"/>
      <c r="W765" s="3"/>
      <c r="X765" s="3"/>
      <c r="Y765" s="3"/>
      <c r="Z765" s="3"/>
      <c r="AA765" s="3"/>
      <c r="AB765" s="3"/>
      <c r="AC765" s="3"/>
      <c r="AD765" s="3"/>
      <c r="AE765" s="3"/>
      <c r="AF765" s="3"/>
      <c r="AG765" s="3"/>
      <c r="AH765" s="3"/>
      <c r="AI765" s="3"/>
      <c r="AJ765" s="3"/>
    </row>
    <row r="766" spans="2:36" x14ac:dyDescent="0.2">
      <c r="B766" s="202" t="s">
        <v>77</v>
      </c>
      <c r="C766" s="3"/>
      <c r="D766" s="3"/>
      <c r="E766" s="54"/>
      <c r="F766" s="3"/>
      <c r="G766" s="3"/>
      <c r="H766" s="3"/>
      <c r="I766" s="3"/>
      <c r="J766" s="54"/>
      <c r="K766" s="222">
        <f t="shared" ref="K766:U766" si="36">K763-K758-K743-K673</f>
        <v>0</v>
      </c>
      <c r="L766" s="222">
        <f t="shared" si="36"/>
        <v>0</v>
      </c>
      <c r="M766" s="222">
        <f t="shared" si="36"/>
        <v>0</v>
      </c>
      <c r="N766" s="222">
        <f t="shared" si="36"/>
        <v>0</v>
      </c>
      <c r="O766" s="222">
        <f t="shared" si="36"/>
        <v>0</v>
      </c>
      <c r="P766" s="222">
        <f t="shared" si="36"/>
        <v>0</v>
      </c>
      <c r="Q766" s="340">
        <f t="shared" si="36"/>
        <v>0</v>
      </c>
      <c r="R766" s="222">
        <f t="shared" si="36"/>
        <v>0</v>
      </c>
      <c r="S766" s="222">
        <f t="shared" si="36"/>
        <v>0</v>
      </c>
      <c r="T766" s="340">
        <f t="shared" si="36"/>
        <v>0</v>
      </c>
      <c r="U766" s="244">
        <f t="shared" si="36"/>
        <v>0</v>
      </c>
      <c r="V766" s="3"/>
      <c r="W766" s="3"/>
      <c r="X766" s="3"/>
      <c r="Y766" s="3"/>
      <c r="Z766" s="3"/>
      <c r="AA766" s="3"/>
      <c r="AB766" s="3"/>
      <c r="AC766" s="3"/>
      <c r="AD766" s="3"/>
      <c r="AE766" s="3"/>
      <c r="AF766" s="3"/>
      <c r="AG766" s="3"/>
      <c r="AH766" s="3"/>
      <c r="AI766" s="3"/>
      <c r="AJ766" s="3"/>
    </row>
    <row r="767" spans="2:36" x14ac:dyDescent="0.2">
      <c r="B767" s="202" t="s">
        <v>77</v>
      </c>
      <c r="C767" s="3"/>
      <c r="D767" s="3"/>
      <c r="E767" s="54"/>
      <c r="F767" s="3"/>
      <c r="G767" s="3"/>
      <c r="H767" s="3"/>
      <c r="I767" s="3"/>
      <c r="J767" s="54"/>
      <c r="K767" s="222">
        <f t="shared" ref="K767:U767" si="37">K637-K763-K764</f>
        <v>0</v>
      </c>
      <c r="L767" s="222">
        <f t="shared" si="37"/>
        <v>0</v>
      </c>
      <c r="M767" s="222">
        <f t="shared" si="37"/>
        <v>0</v>
      </c>
      <c r="N767" s="222">
        <f t="shared" si="37"/>
        <v>0</v>
      </c>
      <c r="O767" s="222">
        <f t="shared" si="37"/>
        <v>0</v>
      </c>
      <c r="P767" s="222">
        <f t="shared" si="37"/>
        <v>0</v>
      </c>
      <c r="Q767" s="340">
        <f t="shared" si="37"/>
        <v>0</v>
      </c>
      <c r="R767" s="222">
        <f t="shared" si="37"/>
        <v>0</v>
      </c>
      <c r="S767" s="222">
        <f t="shared" si="37"/>
        <v>0</v>
      </c>
      <c r="T767" s="340">
        <f t="shared" si="37"/>
        <v>0</v>
      </c>
      <c r="U767" s="244">
        <f t="shared" si="37"/>
        <v>0</v>
      </c>
      <c r="V767" s="3"/>
      <c r="W767" s="3"/>
      <c r="X767" s="3"/>
      <c r="Y767" s="3"/>
      <c r="Z767" s="3"/>
      <c r="AA767" s="3"/>
      <c r="AB767" s="3"/>
      <c r="AC767" s="3"/>
      <c r="AD767" s="3"/>
      <c r="AE767" s="3"/>
      <c r="AF767" s="3"/>
      <c r="AG767" s="3"/>
      <c r="AH767" s="3"/>
      <c r="AI767" s="3"/>
      <c r="AJ767" s="3"/>
    </row>
    <row r="768" spans="2:36" x14ac:dyDescent="0.2">
      <c r="B768" s="32"/>
      <c r="C768" s="30"/>
      <c r="D768" s="30"/>
      <c r="E768" s="32"/>
      <c r="F768" s="30"/>
      <c r="G768" s="30"/>
      <c r="H768" s="30"/>
      <c r="I768" s="30"/>
      <c r="J768" s="32"/>
      <c r="K768" s="30"/>
      <c r="L768" s="30"/>
      <c r="M768" s="30"/>
      <c r="N768" s="30"/>
      <c r="O768" s="30"/>
      <c r="P768" s="30"/>
      <c r="Q768" s="33"/>
      <c r="R768" s="30"/>
      <c r="S768" s="30"/>
      <c r="T768" s="33"/>
      <c r="U768" s="57"/>
      <c r="V768" s="3"/>
      <c r="W768" s="3"/>
      <c r="X768" s="3"/>
      <c r="Y768" s="3"/>
      <c r="Z768" s="3"/>
      <c r="AA768" s="3"/>
      <c r="AB768" s="3"/>
      <c r="AC768" s="3"/>
      <c r="AD768" s="3"/>
      <c r="AE768" s="3"/>
      <c r="AF768" s="3"/>
      <c r="AG768" s="3"/>
      <c r="AH768" s="3"/>
      <c r="AI768" s="3"/>
      <c r="AJ768" s="3"/>
    </row>
    <row r="769" spans="2:31" x14ac:dyDescent="0.2">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2:31" x14ac:dyDescent="0.2">
      <c r="C770" s="6"/>
    </row>
    <row r="771" spans="2:31" x14ac:dyDescent="0.2">
      <c r="B771" s="387" t="str">
        <f>'WS10 - LTFP'!B313</f>
        <v>Table 10.3: Key Assumptions</v>
      </c>
      <c r="C771" s="561"/>
      <c r="D771" s="418"/>
      <c r="E771" s="562"/>
      <c r="F771" s="418"/>
      <c r="G771" s="418"/>
      <c r="H771" s="418"/>
      <c r="I771" s="465"/>
      <c r="J771" s="418"/>
      <c r="K771" s="418"/>
      <c r="L771" s="418"/>
      <c r="M771" s="418"/>
      <c r="N771" s="418"/>
      <c r="O771" s="418"/>
      <c r="P771" s="418"/>
      <c r="Q771" s="418"/>
      <c r="R771" s="418"/>
      <c r="S771" s="418"/>
      <c r="T771" s="465"/>
      <c r="U771" s="54"/>
      <c r="V771" s="3"/>
      <c r="W771" s="3"/>
      <c r="X771" s="3"/>
      <c r="Y771" s="3"/>
      <c r="Z771" s="3"/>
      <c r="AA771" s="3"/>
      <c r="AB771" s="3"/>
      <c r="AC771" s="3"/>
      <c r="AD771" s="3"/>
      <c r="AE771" s="3"/>
    </row>
    <row r="772" spans="2:31" x14ac:dyDescent="0.2">
      <c r="B772" s="97"/>
      <c r="C772" s="2"/>
      <c r="D772" s="3"/>
      <c r="E772" s="54"/>
      <c r="F772" s="3"/>
      <c r="G772" s="2"/>
      <c r="H772" s="2"/>
      <c r="I772" s="29"/>
      <c r="J772" s="3"/>
      <c r="K772" s="3"/>
      <c r="L772" s="3"/>
      <c r="M772" s="3"/>
      <c r="N772" s="3"/>
      <c r="O772" s="3"/>
      <c r="P772" s="3"/>
      <c r="Q772" s="3"/>
      <c r="R772" s="3"/>
      <c r="S772" s="3"/>
      <c r="T772" s="31"/>
      <c r="U772" s="54"/>
      <c r="V772" s="3"/>
      <c r="W772" s="3"/>
      <c r="X772" s="3"/>
      <c r="Y772" s="3"/>
      <c r="Z772" s="3"/>
      <c r="AA772" s="3"/>
      <c r="AB772" s="3"/>
      <c r="AC772" s="3"/>
      <c r="AD772" s="3"/>
      <c r="AE772" s="3"/>
    </row>
    <row r="773" spans="2:31" x14ac:dyDescent="0.2">
      <c r="B773" s="115" t="str">
        <f>'WS10 - LTFP'!B317</f>
        <v>Growth in labour costs</v>
      </c>
      <c r="C773" s="3"/>
      <c r="D773" s="3"/>
      <c r="E773" s="54"/>
      <c r="F773" s="3"/>
      <c r="G773" s="2"/>
      <c r="H773" s="2"/>
      <c r="I773" s="29"/>
      <c r="J773" s="3"/>
      <c r="K773" s="3"/>
      <c r="L773" s="3"/>
      <c r="M773" s="3"/>
      <c r="N773" s="3"/>
      <c r="O773" s="3"/>
      <c r="P773" s="3"/>
      <c r="Q773" s="3"/>
      <c r="R773" s="3"/>
      <c r="S773" s="3"/>
      <c r="T773" s="31"/>
      <c r="U773" s="54"/>
      <c r="V773" s="3"/>
      <c r="W773" s="3"/>
      <c r="X773" s="3"/>
      <c r="Y773" s="3"/>
      <c r="Z773" s="3"/>
      <c r="AA773" s="3"/>
      <c r="AB773" s="3"/>
      <c r="AC773" s="3"/>
      <c r="AD773" s="3"/>
      <c r="AE773" s="3"/>
    </row>
    <row r="774" spans="2:31" x14ac:dyDescent="0.2">
      <c r="B774" s="114" t="str">
        <f>'WS10 - LTFP'!B318</f>
        <v>Scenario 1: Proposed (with SV)</v>
      </c>
      <c r="D774" s="207" t="str">
        <f>'WS10 - LTFP'!D318</f>
        <v xml:space="preserve">% </v>
      </c>
      <c r="E774" s="54"/>
      <c r="F774" s="3"/>
      <c r="G774" s="2"/>
      <c r="H774" s="2"/>
      <c r="I774" s="29"/>
      <c r="J774" s="3"/>
      <c r="K774" s="250">
        <f>'WS10 - LTFP'!K318</f>
        <v>2.3241748343882485E-2</v>
      </c>
      <c r="L774" s="250">
        <f>'WS10 - LTFP'!L318</f>
        <v>3.4999999779179669E-2</v>
      </c>
      <c r="M774" s="250">
        <f>'WS10 - LTFP'!M318</f>
        <v>2.6367201915639127E-2</v>
      </c>
      <c r="N774" s="250">
        <f>'WS10 - LTFP'!N318</f>
        <v>3.0000000032820884E-2</v>
      </c>
      <c r="O774" s="250">
        <f>'WS10 - LTFP'!O318</f>
        <v>3.0000002634252176E-2</v>
      </c>
      <c r="P774" s="250">
        <f>'WS10 - LTFP'!P318</f>
        <v>3.0000000935010318E-2</v>
      </c>
      <c r="Q774" s="250">
        <f>'WS10 - LTFP'!Q318</f>
        <v>2.9999998568249531E-2</v>
      </c>
      <c r="R774" s="250">
        <f>'WS10 - LTFP'!R318</f>
        <v>3.0000002195241127E-2</v>
      </c>
      <c r="S774" s="250">
        <f>'WS10 - LTFP'!S318</f>
        <v>2.9999998911541814E-2</v>
      </c>
      <c r="T774" s="248">
        <f>'WS10 - LTFP'!T318</f>
        <v>3.0000000000000027E-2</v>
      </c>
      <c r="U774" s="54"/>
      <c r="V774" s="3"/>
      <c r="W774" s="3"/>
      <c r="X774" s="3"/>
      <c r="Y774" s="3"/>
      <c r="Z774" s="3"/>
      <c r="AA774" s="3"/>
      <c r="AB774" s="3"/>
      <c r="AC774" s="3"/>
      <c r="AD774" s="3"/>
      <c r="AE774" s="3"/>
    </row>
    <row r="775" spans="2:31" x14ac:dyDescent="0.2">
      <c r="B775" s="114" t="str">
        <f>'WS10 - LTFP'!B319</f>
        <v>Scenario 2 - Base case (no SV)</v>
      </c>
      <c r="C775" s="52"/>
      <c r="D775" s="207" t="str">
        <f>'WS10 - LTFP'!D319</f>
        <v xml:space="preserve">% </v>
      </c>
      <c r="E775" s="54"/>
      <c r="F775" s="3"/>
      <c r="G775" s="2"/>
      <c r="H775" s="2"/>
      <c r="I775" s="29"/>
      <c r="J775" s="3"/>
      <c r="K775" s="250">
        <f>'WS10 - LTFP'!K319</f>
        <v>2.3241748343882485E-2</v>
      </c>
      <c r="L775" s="250">
        <f>'WS10 - LTFP'!L319</f>
        <v>3.4999999779179669E-2</v>
      </c>
      <c r="M775" s="250">
        <f>'WS10 - LTFP'!M319</f>
        <v>8.1869271457328807E-3</v>
      </c>
      <c r="N775" s="250">
        <f>'WS10 - LTFP'!N319</f>
        <v>3.0000000001855209E-2</v>
      </c>
      <c r="O775" s="250">
        <f>'WS10 - LTFP'!O319</f>
        <v>3.0000002757449629E-2</v>
      </c>
      <c r="P775" s="250">
        <f>'WS10 - LTFP'!P319</f>
        <v>3.0000000920375358E-2</v>
      </c>
      <c r="Q775" s="250">
        <f>'WS10 - LTFP'!Q319</f>
        <v>2.9999998499961267E-2</v>
      </c>
      <c r="R775" s="250">
        <f>'WS10 - LTFP'!R319</f>
        <v>3.0000002274410686E-2</v>
      </c>
      <c r="S775" s="250">
        <f>'WS10 - LTFP'!S319</f>
        <v>2.9999998851881982E-2</v>
      </c>
      <c r="T775" s="248">
        <f>'WS10 - LTFP'!T319</f>
        <v>3.0000000000000027E-2</v>
      </c>
      <c r="U775" s="54"/>
      <c r="V775" s="3"/>
      <c r="W775" s="3"/>
      <c r="X775" s="3"/>
      <c r="Y775" s="3"/>
      <c r="Z775" s="3"/>
      <c r="AA775" s="3"/>
      <c r="AB775" s="3"/>
      <c r="AC775" s="3"/>
      <c r="AD775" s="3"/>
      <c r="AE775" s="3"/>
    </row>
    <row r="776" spans="2:31" x14ac:dyDescent="0.2">
      <c r="B776" s="115" t="str">
        <f>'WS10 - LTFP'!B320</f>
        <v>Growth in employee numbers</v>
      </c>
      <c r="C776" s="3"/>
      <c r="D776" s="3"/>
      <c r="E776" s="54"/>
      <c r="F776" s="3"/>
      <c r="G776" s="2"/>
      <c r="H776" s="2"/>
      <c r="I776" s="29"/>
      <c r="J776" s="3"/>
      <c r="K776" s="3"/>
      <c r="L776" s="3"/>
      <c r="M776" s="3"/>
      <c r="N776" s="3"/>
      <c r="O776" s="3"/>
      <c r="P776" s="3"/>
      <c r="Q776" s="3"/>
      <c r="R776" s="3"/>
      <c r="S776" s="3"/>
      <c r="T776" s="31"/>
      <c r="U776" s="54"/>
      <c r="V776" s="3"/>
      <c r="W776" s="3"/>
      <c r="X776" s="3"/>
      <c r="Y776" s="3"/>
      <c r="Z776" s="3"/>
      <c r="AA776" s="3"/>
      <c r="AB776" s="3"/>
      <c r="AC776" s="3"/>
      <c r="AD776" s="3"/>
      <c r="AE776" s="3"/>
    </row>
    <row r="777" spans="2:31" x14ac:dyDescent="0.2">
      <c r="B777" s="114" t="str">
        <f>'WS10 - LTFP'!B321</f>
        <v>Scenario 1: Proposed (with SV)</v>
      </c>
      <c r="D777" s="207" t="str">
        <f>'WS10 - LTFP'!D321</f>
        <v xml:space="preserve">% </v>
      </c>
      <c r="E777" s="54"/>
      <c r="F777" s="3"/>
      <c r="G777" s="2"/>
      <c r="H777" s="2"/>
      <c r="I777" s="29"/>
      <c r="J777" s="3"/>
      <c r="K777" s="250">
        <f>'WS10 - LTFP'!K321</f>
        <v>0</v>
      </c>
      <c r="L777" s="250">
        <f>'WS10 - LTFP'!L321</f>
        <v>0</v>
      </c>
      <c r="M777" s="250">
        <f>'WS10 - LTFP'!M321</f>
        <v>0</v>
      </c>
      <c r="N777" s="250">
        <f>'WS10 - LTFP'!N321</f>
        <v>0</v>
      </c>
      <c r="O777" s="250">
        <f>'WS10 - LTFP'!O321</f>
        <v>0</v>
      </c>
      <c r="P777" s="250">
        <f>'WS10 - LTFP'!P321</f>
        <v>0</v>
      </c>
      <c r="Q777" s="250">
        <f>'WS10 - LTFP'!Q321</f>
        <v>0</v>
      </c>
      <c r="R777" s="250">
        <f>'WS10 - LTFP'!R321</f>
        <v>0</v>
      </c>
      <c r="S777" s="250">
        <f>'WS10 - LTFP'!S321</f>
        <v>0</v>
      </c>
      <c r="T777" s="248">
        <f>'WS10 - LTFP'!T321</f>
        <v>0</v>
      </c>
      <c r="U777" s="54"/>
      <c r="V777" s="3"/>
      <c r="W777" s="3"/>
      <c r="X777" s="3"/>
      <c r="Y777" s="3"/>
      <c r="Z777" s="3"/>
      <c r="AA777" s="3"/>
      <c r="AB777" s="3"/>
      <c r="AC777" s="3"/>
      <c r="AD777" s="3"/>
      <c r="AE777" s="3"/>
    </row>
    <row r="778" spans="2:31" x14ac:dyDescent="0.2">
      <c r="B778" s="114" t="str">
        <f>'WS10 - LTFP'!B322</f>
        <v>Scenario 2 - Base case (no SV)</v>
      </c>
      <c r="C778" s="52"/>
      <c r="D778" s="207" t="str">
        <f>'WS10 - LTFP'!D322</f>
        <v xml:space="preserve">% </v>
      </c>
      <c r="E778" s="54"/>
      <c r="F778" s="3"/>
      <c r="G778" s="2"/>
      <c r="H778" s="2"/>
      <c r="I778" s="29"/>
      <c r="J778" s="3"/>
      <c r="K778" s="250">
        <f>'WS10 - LTFP'!K322</f>
        <v>0</v>
      </c>
      <c r="L778" s="250">
        <f>'WS10 - LTFP'!L322</f>
        <v>0</v>
      </c>
      <c r="M778" s="250">
        <f>'WS10 - LTFP'!M322</f>
        <v>-2.52E-2</v>
      </c>
      <c r="N778" s="250">
        <f>'WS10 - LTFP'!N322</f>
        <v>0</v>
      </c>
      <c r="O778" s="250">
        <f>'WS10 - LTFP'!O322</f>
        <v>0</v>
      </c>
      <c r="P778" s="250">
        <f>'WS10 - LTFP'!P322</f>
        <v>0</v>
      </c>
      <c r="Q778" s="250">
        <f>'WS10 - LTFP'!Q322</f>
        <v>0</v>
      </c>
      <c r="R778" s="250">
        <f>'WS10 - LTFP'!R322</f>
        <v>0</v>
      </c>
      <c r="S778" s="250">
        <f>'WS10 - LTFP'!S322</f>
        <v>0</v>
      </c>
      <c r="T778" s="248">
        <f>'WS10 - LTFP'!T322</f>
        <v>0</v>
      </c>
      <c r="U778" s="54"/>
      <c r="V778" s="3"/>
      <c r="W778" s="3"/>
      <c r="X778" s="3"/>
      <c r="Y778" s="3"/>
      <c r="Z778" s="3"/>
      <c r="AA778" s="3"/>
      <c r="AB778" s="3"/>
      <c r="AC778" s="3"/>
      <c r="AD778" s="3"/>
      <c r="AE778" s="3"/>
    </row>
    <row r="779" spans="2:31" x14ac:dyDescent="0.2">
      <c r="B779" s="115" t="str">
        <f>'WS10 - LTFP'!B323</f>
        <v>Growth in assessment numbers</v>
      </c>
      <c r="C779" s="3"/>
      <c r="D779" s="3"/>
      <c r="E779" s="54"/>
      <c r="F779" s="3"/>
      <c r="G779" s="2"/>
      <c r="H779" s="2"/>
      <c r="I779" s="29"/>
      <c r="J779" s="3"/>
      <c r="K779" s="3"/>
      <c r="L779" s="3"/>
      <c r="M779" s="3"/>
      <c r="N779" s="3"/>
      <c r="O779" s="3"/>
      <c r="P779" s="3"/>
      <c r="Q779" s="3"/>
      <c r="R779" s="3"/>
      <c r="S779" s="3"/>
      <c r="T779" s="31"/>
      <c r="U779" s="54"/>
      <c r="V779" s="3"/>
      <c r="W779" s="3"/>
      <c r="X779" s="3"/>
      <c r="Y779" s="3"/>
      <c r="Z779" s="3"/>
      <c r="AA779" s="3"/>
      <c r="AB779" s="3"/>
      <c r="AC779" s="3"/>
      <c r="AD779" s="3"/>
      <c r="AE779" s="3"/>
    </row>
    <row r="780" spans="2:31" x14ac:dyDescent="0.2">
      <c r="B780" s="114" t="str">
        <f>'WS10 - LTFP'!B324</f>
        <v>Scenario 1: Proposed (with SV)</v>
      </c>
      <c r="D780" s="207" t="str">
        <f>'WS10 - LTFP'!D324</f>
        <v xml:space="preserve">% </v>
      </c>
      <c r="E780" s="54"/>
      <c r="F780" s="3"/>
      <c r="G780" s="2"/>
      <c r="H780" s="2"/>
      <c r="I780" s="29"/>
      <c r="J780" s="3"/>
      <c r="K780" s="250">
        <f>'WS10 - LTFP'!K324</f>
        <v>0</v>
      </c>
      <c r="L780" s="250">
        <f>'WS10 - LTFP'!L324</f>
        <v>0</v>
      </c>
      <c r="M780" s="250">
        <f>'WS10 - LTFP'!M324</f>
        <v>0</v>
      </c>
      <c r="N780" s="250">
        <f>'WS10 - LTFP'!N324</f>
        <v>0</v>
      </c>
      <c r="O780" s="250">
        <f>'WS10 - LTFP'!O324</f>
        <v>0</v>
      </c>
      <c r="P780" s="250">
        <f>'WS10 - LTFP'!P324</f>
        <v>0</v>
      </c>
      <c r="Q780" s="250">
        <f>'WS10 - LTFP'!Q324</f>
        <v>0</v>
      </c>
      <c r="R780" s="250">
        <f>'WS10 - LTFP'!R324</f>
        <v>0</v>
      </c>
      <c r="S780" s="250">
        <f>'WS10 - LTFP'!S324</f>
        <v>0</v>
      </c>
      <c r="T780" s="248">
        <f>'WS10 - LTFP'!T324</f>
        <v>0</v>
      </c>
      <c r="U780" s="54"/>
      <c r="V780" s="3"/>
      <c r="W780" s="3"/>
      <c r="X780" s="3"/>
      <c r="Y780" s="3"/>
      <c r="Z780" s="3"/>
      <c r="AA780" s="3"/>
      <c r="AB780" s="3"/>
      <c r="AC780" s="3"/>
      <c r="AD780" s="3"/>
      <c r="AE780" s="3"/>
    </row>
    <row r="781" spans="2:31" x14ac:dyDescent="0.2">
      <c r="B781" s="114" t="str">
        <f>'WS10 - LTFP'!B325</f>
        <v>Scenario 2 - Base case (no SV)</v>
      </c>
      <c r="C781" s="52"/>
      <c r="D781" s="207" t="str">
        <f>'WS10 - LTFP'!D325</f>
        <v xml:space="preserve">% </v>
      </c>
      <c r="E781" s="54"/>
      <c r="F781" s="3"/>
      <c r="G781" s="2"/>
      <c r="H781" s="2"/>
      <c r="I781" s="29"/>
      <c r="J781" s="3"/>
      <c r="K781" s="250">
        <f>'WS10 - LTFP'!K325</f>
        <v>0</v>
      </c>
      <c r="L781" s="250">
        <f>'WS10 - LTFP'!L325</f>
        <v>0</v>
      </c>
      <c r="M781" s="250">
        <f>'WS10 - LTFP'!M325</f>
        <v>0</v>
      </c>
      <c r="N781" s="250">
        <f>'WS10 - LTFP'!N325</f>
        <v>0</v>
      </c>
      <c r="O781" s="250">
        <f>'WS10 - LTFP'!O325</f>
        <v>0</v>
      </c>
      <c r="P781" s="250">
        <f>'WS10 - LTFP'!P325</f>
        <v>0</v>
      </c>
      <c r="Q781" s="250">
        <f>'WS10 - LTFP'!Q325</f>
        <v>0</v>
      </c>
      <c r="R781" s="250">
        <f>'WS10 - LTFP'!R325</f>
        <v>0</v>
      </c>
      <c r="S781" s="250">
        <f>'WS10 - LTFP'!S325</f>
        <v>0</v>
      </c>
      <c r="T781" s="248">
        <f>'WS10 - LTFP'!T325</f>
        <v>0</v>
      </c>
      <c r="U781" s="54"/>
      <c r="V781" s="3"/>
      <c r="W781" s="3"/>
      <c r="X781" s="3"/>
      <c r="Y781" s="3"/>
      <c r="Z781" s="3"/>
      <c r="AA781" s="3"/>
      <c r="AB781" s="3"/>
      <c r="AC781" s="3"/>
      <c r="AD781" s="3"/>
      <c r="AE781" s="3"/>
    </row>
    <row r="782" spans="2:31" x14ac:dyDescent="0.2">
      <c r="B782" s="115" t="str">
        <f>'WS10 - LTFP'!B326</f>
        <v>Inflation rate applied to Materials &amp; Contracts</v>
      </c>
      <c r="C782" s="3"/>
      <c r="D782" s="3"/>
      <c r="E782" s="54"/>
      <c r="F782" s="3"/>
      <c r="G782" s="2"/>
      <c r="H782" s="2"/>
      <c r="I782" s="29"/>
      <c r="J782" s="3"/>
      <c r="K782" s="3"/>
      <c r="L782" s="3"/>
      <c r="M782" s="3"/>
      <c r="N782" s="3"/>
      <c r="O782" s="3"/>
      <c r="P782" s="3"/>
      <c r="Q782" s="3"/>
      <c r="R782" s="3"/>
      <c r="S782" s="3"/>
      <c r="T782" s="31"/>
      <c r="U782" s="54"/>
      <c r="V782" s="3"/>
      <c r="W782" s="3"/>
      <c r="X782" s="3"/>
      <c r="Y782" s="3"/>
      <c r="Z782" s="3"/>
      <c r="AA782" s="3"/>
      <c r="AB782" s="3"/>
      <c r="AC782" s="3"/>
      <c r="AD782" s="3"/>
      <c r="AE782" s="3"/>
    </row>
    <row r="783" spans="2:31" x14ac:dyDescent="0.2">
      <c r="B783" s="114" t="str">
        <f>'WS10 - LTFP'!B327</f>
        <v>Scenario 1: Proposed (with SV)</v>
      </c>
      <c r="D783" s="207" t="str">
        <f>'WS10 - LTFP'!D327</f>
        <v xml:space="preserve">% </v>
      </c>
      <c r="E783" s="54"/>
      <c r="F783" s="3"/>
      <c r="G783" s="2"/>
      <c r="H783" s="2"/>
      <c r="I783" s="29"/>
      <c r="J783" s="3"/>
      <c r="K783" s="250">
        <f>'WS10 - LTFP'!K327</f>
        <v>3.5000000000000003E-2</v>
      </c>
      <c r="L783" s="250">
        <f>'WS10 - LTFP'!L327</f>
        <v>0.03</v>
      </c>
      <c r="M783" s="250">
        <f>'WS10 - LTFP'!M327</f>
        <v>0.03</v>
      </c>
      <c r="N783" s="250">
        <f>'WS10 - LTFP'!N327</f>
        <v>0.03</v>
      </c>
      <c r="O783" s="250">
        <f>'WS10 - LTFP'!O327</f>
        <v>0.03</v>
      </c>
      <c r="P783" s="250">
        <f>'WS10 - LTFP'!P327</f>
        <v>0.03</v>
      </c>
      <c r="Q783" s="250">
        <f>'WS10 - LTFP'!Q327</f>
        <v>0.03</v>
      </c>
      <c r="R783" s="250">
        <f>'WS10 - LTFP'!R327</f>
        <v>0.03</v>
      </c>
      <c r="S783" s="250">
        <f>'WS10 - LTFP'!S327</f>
        <v>0.03</v>
      </c>
      <c r="T783" s="248">
        <f>'WS10 - LTFP'!T327</f>
        <v>0.03</v>
      </c>
      <c r="U783" s="54"/>
      <c r="V783" s="3"/>
      <c r="W783" s="3"/>
      <c r="X783" s="3"/>
      <c r="Y783" s="3"/>
      <c r="Z783" s="3"/>
      <c r="AA783" s="3"/>
      <c r="AB783" s="3"/>
      <c r="AC783" s="3"/>
      <c r="AD783" s="3"/>
      <c r="AE783" s="3"/>
    </row>
    <row r="784" spans="2:31" x14ac:dyDescent="0.2">
      <c r="B784" s="114" t="str">
        <f>'WS10 - LTFP'!B328</f>
        <v>Scenario 2 - Base case (no SV)</v>
      </c>
      <c r="C784" s="52"/>
      <c r="D784" s="207" t="str">
        <f>'WS10 - LTFP'!D328</f>
        <v xml:space="preserve">% </v>
      </c>
      <c r="E784" s="54"/>
      <c r="F784" s="3"/>
      <c r="G784" s="2"/>
      <c r="H784" s="2"/>
      <c r="I784" s="29"/>
      <c r="J784" s="3"/>
      <c r="K784" s="250">
        <f>'WS10 - LTFP'!K328</f>
        <v>3.5000000000000003E-2</v>
      </c>
      <c r="L784" s="250">
        <f>'WS10 - LTFP'!L328</f>
        <v>0.03</v>
      </c>
      <c r="M784" s="250">
        <f>'WS10 - LTFP'!M328</f>
        <v>0.03</v>
      </c>
      <c r="N784" s="250">
        <f>'WS10 - LTFP'!N328</f>
        <v>0.03</v>
      </c>
      <c r="O784" s="250">
        <f>'WS10 - LTFP'!O328</f>
        <v>0.03</v>
      </c>
      <c r="P784" s="250">
        <f>'WS10 - LTFP'!P328</f>
        <v>0.03</v>
      </c>
      <c r="Q784" s="250">
        <f>'WS10 - LTFP'!Q328</f>
        <v>0.03</v>
      </c>
      <c r="R784" s="250">
        <f>'WS10 - LTFP'!R328</f>
        <v>0.03</v>
      </c>
      <c r="S784" s="250">
        <f>'WS10 - LTFP'!S328</f>
        <v>0.03</v>
      </c>
      <c r="T784" s="248">
        <f>'WS10 - LTFP'!T328</f>
        <v>0.03</v>
      </c>
      <c r="U784" s="54"/>
      <c r="V784" s="3"/>
      <c r="W784" s="3"/>
      <c r="X784" s="3"/>
      <c r="Y784" s="3"/>
      <c r="Z784" s="3"/>
      <c r="AA784" s="3"/>
      <c r="AB784" s="3"/>
      <c r="AC784" s="3"/>
      <c r="AD784" s="3"/>
      <c r="AE784" s="3"/>
    </row>
    <row r="785" spans="2:31" x14ac:dyDescent="0.2">
      <c r="B785" s="115" t="str">
        <f>'WS10 - LTFP'!B329</f>
        <v>Planned operating cost savings</v>
      </c>
      <c r="C785" s="3"/>
      <c r="D785" s="3"/>
      <c r="E785" s="54"/>
      <c r="F785" s="3"/>
      <c r="G785" s="2"/>
      <c r="H785" s="2"/>
      <c r="I785" s="29"/>
      <c r="J785" s="3"/>
      <c r="K785" s="3"/>
      <c r="L785" s="3"/>
      <c r="M785" s="3"/>
      <c r="N785" s="3"/>
      <c r="O785" s="3"/>
      <c r="P785" s="3"/>
      <c r="Q785" s="3"/>
      <c r="R785" s="3"/>
      <c r="S785" s="3"/>
      <c r="T785" s="31"/>
      <c r="U785" s="54"/>
      <c r="V785" s="3"/>
      <c r="W785" s="3"/>
      <c r="X785" s="3"/>
      <c r="Y785" s="3"/>
      <c r="Z785" s="3"/>
      <c r="AA785" s="3"/>
      <c r="AB785" s="3"/>
      <c r="AC785" s="3"/>
      <c r="AD785" s="3"/>
      <c r="AE785" s="3"/>
    </row>
    <row r="786" spans="2:31" x14ac:dyDescent="0.2">
      <c r="B786" s="245" t="str">
        <f>'WS10 - LTFP'!B330</f>
        <v>Scenario 1: Proposed (with SV)</v>
      </c>
      <c r="D786" s="207" t="str">
        <f>'WS10 - LTFP'!D330</f>
        <v xml:space="preserve">% </v>
      </c>
      <c r="E786" s="54"/>
      <c r="F786" s="3"/>
      <c r="G786" s="2"/>
      <c r="H786" s="2"/>
      <c r="I786" s="29"/>
      <c r="J786" s="3"/>
      <c r="K786" s="250">
        <f>'WS10 - LTFP'!K330</f>
        <v>7.3753335454686385E-3</v>
      </c>
      <c r="L786" s="250">
        <f>'WS10 - LTFP'!L330</f>
        <v>0</v>
      </c>
      <c r="M786" s="250">
        <f>'WS10 - LTFP'!M330</f>
        <v>0</v>
      </c>
      <c r="N786" s="250">
        <f>'WS10 - LTFP'!N330</f>
        <v>0</v>
      </c>
      <c r="O786" s="250">
        <f>'WS10 - LTFP'!O330</f>
        <v>0</v>
      </c>
      <c r="P786" s="250">
        <f>'WS10 - LTFP'!P330</f>
        <v>0</v>
      </c>
      <c r="Q786" s="250">
        <f>'WS10 - LTFP'!Q330</f>
        <v>0</v>
      </c>
      <c r="R786" s="250">
        <f>'WS10 - LTFP'!R330</f>
        <v>0</v>
      </c>
      <c r="S786" s="250">
        <f>'WS10 - LTFP'!S330</f>
        <v>0</v>
      </c>
      <c r="T786" s="248">
        <f>'WS10 - LTFP'!T330</f>
        <v>0</v>
      </c>
      <c r="U786" s="54"/>
      <c r="V786" s="3"/>
      <c r="W786" s="3"/>
      <c r="X786" s="3"/>
      <c r="Y786" s="3"/>
      <c r="Z786" s="3"/>
      <c r="AA786" s="3"/>
      <c r="AB786" s="3"/>
      <c r="AC786" s="3"/>
      <c r="AD786" s="3"/>
      <c r="AE786" s="3"/>
    </row>
    <row r="787" spans="2:31" x14ac:dyDescent="0.2">
      <c r="B787" s="245" t="str">
        <f>'WS10 - LTFP'!B331</f>
        <v>Scenario 2 - Base case (no SV)</v>
      </c>
      <c r="C787" s="52"/>
      <c r="D787" s="207" t="str">
        <f>'WS10 - LTFP'!D331</f>
        <v xml:space="preserve">% </v>
      </c>
      <c r="E787" s="54"/>
      <c r="F787" s="3"/>
      <c r="G787" s="2"/>
      <c r="H787" s="2"/>
      <c r="I787" s="29"/>
      <c r="J787" s="3"/>
      <c r="K787" s="250">
        <f>'WS10 - LTFP'!K331</f>
        <v>7.4291418732495397E-3</v>
      </c>
      <c r="L787" s="250">
        <f>'WS10 - LTFP'!L331</f>
        <v>7.3197785286880819E-3</v>
      </c>
      <c r="M787" s="250">
        <f>'WS10 - LTFP'!M331</f>
        <v>0</v>
      </c>
      <c r="N787" s="250">
        <f>'WS10 - LTFP'!N331</f>
        <v>0</v>
      </c>
      <c r="O787" s="250">
        <f>'WS10 - LTFP'!O331</f>
        <v>0</v>
      </c>
      <c r="P787" s="250">
        <f>'WS10 - LTFP'!P331</f>
        <v>0</v>
      </c>
      <c r="Q787" s="250">
        <f>'WS10 - LTFP'!Q331</f>
        <v>0</v>
      </c>
      <c r="R787" s="250">
        <f>'WS10 - LTFP'!R331</f>
        <v>0</v>
      </c>
      <c r="S787" s="250">
        <f>'WS10 - LTFP'!S331</f>
        <v>0</v>
      </c>
      <c r="T787" s="248">
        <f>'WS10 - LTFP'!T331</f>
        <v>0</v>
      </c>
      <c r="U787" s="54"/>
      <c r="V787" s="3"/>
      <c r="W787" s="3"/>
      <c r="X787" s="3"/>
      <c r="Y787" s="3"/>
      <c r="Z787" s="3"/>
      <c r="AA787" s="3"/>
      <c r="AB787" s="3"/>
      <c r="AC787" s="3"/>
      <c r="AD787" s="3"/>
      <c r="AE787" s="3"/>
    </row>
    <row r="788" spans="2:31" x14ac:dyDescent="0.2">
      <c r="B788" s="32"/>
      <c r="C788" s="30"/>
      <c r="D788" s="30"/>
      <c r="E788" s="32"/>
      <c r="F788" s="30"/>
      <c r="G788" s="40"/>
      <c r="H788" s="40"/>
      <c r="I788" s="89"/>
      <c r="J788" s="30"/>
      <c r="K788" s="30"/>
      <c r="L788" s="30"/>
      <c r="M788" s="30"/>
      <c r="N788" s="30"/>
      <c r="O788" s="30"/>
      <c r="P788" s="30"/>
      <c r="Q788" s="30"/>
      <c r="R788" s="30"/>
      <c r="S788" s="30"/>
      <c r="T788" s="33"/>
      <c r="U788" s="54"/>
      <c r="V788" s="3"/>
      <c r="W788" s="3"/>
      <c r="X788" s="3"/>
      <c r="Y788" s="3"/>
      <c r="Z788" s="3"/>
      <c r="AA788" s="3"/>
      <c r="AB788" s="3"/>
      <c r="AC788" s="3"/>
      <c r="AD788" s="3"/>
      <c r="AE788" s="3"/>
    </row>
  </sheetData>
  <sheetProtection algorithmName="SHA-512" hashValue="uI9XMYYDmbbn01sLXm3nQHWeJS8+1bks2vOLz6dwzZciMwBjmay2lubKRw7Eg3YxGjN4ftCM7sje+A5GkcFT/g==" saltValue="lf9guSClXjJ3FHKIDHni0g==" spinCount="100000" sheet="1" objects="1" scenarios="1"/>
  <conditionalFormatting sqref="AB519:AL613 AK502:AL518 AB628:AL636 AL614:AL627 AB769:AL1048576 AK637:AL768 AB1:AL453 AB455:AL501">
    <cfRule type="containsText" dxfId="37" priority="2" operator="containsText" text="false">
      <formula>NOT(ISERROR(SEARCH("false",AB1)))</formula>
    </cfRule>
  </conditionalFormatting>
  <conditionalFormatting sqref="V464:AE491 AE465:AJ491">
    <cfRule type="containsText" dxfId="36" priority="1" operator="containsText" text="false">
      <formula>NOT(ISERROR(SEARCH("false",V464)))</formula>
    </cfRule>
  </conditionalFormatting>
  <pageMargins left="0.7" right="0.7" top="0.75" bottom="0.75" header="0.3" footer="0.3"/>
  <pageSetup paperSize="9" orientation="portrait" r:id="rId1"/>
  <headerFooter>
    <oddHeader>&amp;C&amp;"Calibri"&amp;10&amp;KFF0000 UNOFFICIAL&amp;1#_x000D_</oddHeader>
    <oddFooter>&amp;C_x000D_&amp;1#&amp;"Calibri"&amp;10&amp;KFF0000 UNOFFICIAL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99"/>
  </sheetPr>
  <dimension ref="A1:AN432"/>
  <sheetViews>
    <sheetView showGridLines="0" workbookViewId="0"/>
  </sheetViews>
  <sheetFormatPr defaultRowHeight="12" outlineLevelRow="1" x14ac:dyDescent="0.2"/>
  <cols>
    <col min="1" max="1" width="1.85546875" customWidth="1"/>
    <col min="2" max="2" width="37" customWidth="1"/>
    <col min="3" max="3" width="28.140625" customWidth="1"/>
    <col min="4" max="4" width="13.85546875" customWidth="1"/>
    <col min="5" max="5" width="15.28515625" customWidth="1"/>
    <col min="8" max="8" width="9" customWidth="1"/>
    <col min="13" max="13" width="14.7109375" customWidth="1"/>
    <col min="16" max="16" width="10.42578125" customWidth="1"/>
    <col min="17" max="17" width="14.140625" customWidth="1"/>
    <col min="18" max="18" width="13.28515625" customWidth="1"/>
  </cols>
  <sheetData>
    <row r="1" spans="1:38" x14ac:dyDescent="0.2">
      <c r="A1" s="287" t="s">
        <v>69</v>
      </c>
      <c r="B1" s="287"/>
      <c r="C1" s="286"/>
      <c r="D1" s="3"/>
      <c r="E1" s="1486" t="s">
        <v>948</v>
      </c>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row>
    <row r="2" spans="1:38" ht="19.5" x14ac:dyDescent="0.2">
      <c r="A2" s="3"/>
      <c r="B2" s="13" t="s">
        <v>82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row>
    <row r="3" spans="1:38" x14ac:dyDescent="0.2">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row>
    <row r="4" spans="1:38" x14ac:dyDescent="0.2">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spans="1:38" x14ac:dyDescent="0.2">
      <c r="A5" s="3"/>
      <c r="B5" s="2" t="s">
        <v>83</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row>
    <row r="6" spans="1:38" x14ac:dyDescent="0.2">
      <c r="A6" s="3"/>
      <c r="B6" s="282" t="str">
        <f>"1. Enter the required information in the blue input cells in Section "&amp;B23</f>
        <v>1. Enter the required information in the blue input cells in Section 1. Inputs</v>
      </c>
      <c r="C6" s="282"/>
      <c r="D6" s="282"/>
      <c r="E6" s="282"/>
      <c r="F6" s="282"/>
      <c r="G6" s="282"/>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row>
    <row r="7" spans="1:38" x14ac:dyDescent="0.2">
      <c r="A7" s="3"/>
      <c r="B7" s="30" t="str">
        <f>"2. Check the list of council names and update if necessary in Section "&amp;B67</f>
        <v>2. Check the list of council names and update if necessary in Section 2. Council Name</v>
      </c>
      <c r="C7" s="30"/>
      <c r="D7" s="30"/>
      <c r="E7" s="30"/>
      <c r="F7" s="30"/>
      <c r="G7" s="30"/>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row>
    <row r="8" spans="1:38" x14ac:dyDescent="0.2">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row>
    <row r="9" spans="1:38" x14ac:dyDescent="0.2">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row>
    <row r="10" spans="1:38" x14ac:dyDescent="0.2">
      <c r="A10" s="3"/>
      <c r="B10" s="3" t="s">
        <v>84</v>
      </c>
      <c r="C10" s="3"/>
      <c r="D10" s="3"/>
      <c r="E10" s="3"/>
      <c r="F10" s="3"/>
      <c r="G10" s="3"/>
      <c r="H10" s="3"/>
      <c r="I10" s="3"/>
      <c r="J10" s="16" t="s">
        <v>85</v>
      </c>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row>
    <row r="11" spans="1:38" x14ac:dyDescent="0.2">
      <c r="A11" s="3"/>
      <c r="B11" s="358" t="str">
        <f>B23</f>
        <v>1. Inputs</v>
      </c>
      <c r="C11" s="282"/>
      <c r="D11" s="282"/>
      <c r="E11" s="282"/>
      <c r="F11" s="282"/>
      <c r="G11" s="282"/>
      <c r="H11" s="282"/>
      <c r="I11" s="282"/>
      <c r="J11" s="282">
        <f>ROW(B23)</f>
        <v>23</v>
      </c>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row>
    <row r="12" spans="1:38" x14ac:dyDescent="0.2">
      <c r="A12" s="3"/>
      <c r="B12" s="3" t="str">
        <f>B26</f>
        <v>Table 1 - Analyst and TSO details</v>
      </c>
      <c r="C12" s="3"/>
      <c r="D12" s="3"/>
      <c r="E12" s="3"/>
      <c r="F12" s="3"/>
      <c r="G12" s="3"/>
      <c r="H12" s="3"/>
      <c r="I12" s="3"/>
      <c r="J12" s="3">
        <f>ROW(B26)</f>
        <v>26</v>
      </c>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row>
    <row r="13" spans="1:38" x14ac:dyDescent="0.2">
      <c r="A13" s="3"/>
      <c r="B13" s="3" t="str">
        <f>B42</f>
        <v>Table 2 - SV year and rate peg</v>
      </c>
      <c r="C13" s="3"/>
      <c r="D13" s="3"/>
      <c r="E13" s="3"/>
      <c r="F13" s="3"/>
      <c r="G13" s="3"/>
      <c r="H13" s="3"/>
      <c r="I13" s="3"/>
      <c r="J13" s="3">
        <f>ROW(B42)</f>
        <v>42</v>
      </c>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row>
    <row r="14" spans="1:38" x14ac:dyDescent="0.2">
      <c r="A14" s="3"/>
      <c r="B14" s="3" t="str">
        <f>B52</f>
        <v xml:space="preserve">Table 3 - SV year, rate peg  and units in display format </v>
      </c>
      <c r="C14" s="3"/>
      <c r="D14" s="3"/>
      <c r="E14" s="3"/>
      <c r="F14" s="3"/>
      <c r="G14" s="3"/>
      <c r="H14" s="3"/>
      <c r="I14" s="3"/>
      <c r="J14" s="3">
        <f>ROW(B52)</f>
        <v>52</v>
      </c>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row>
    <row r="15" spans="1:38" x14ac:dyDescent="0.2">
      <c r="A15" s="3"/>
      <c r="B15" s="2" t="str">
        <f>B67</f>
        <v>2. Council Name</v>
      </c>
      <c r="C15" s="3"/>
      <c r="D15" s="3"/>
      <c r="E15" s="3"/>
      <c r="F15" s="3"/>
      <c r="G15" s="3"/>
      <c r="H15" s="3"/>
      <c r="I15" s="3"/>
      <c r="J15" s="3">
        <f>ROW(B67)</f>
        <v>67</v>
      </c>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row>
    <row r="16" spans="1:38" x14ac:dyDescent="0.2">
      <c r="A16" s="3"/>
      <c r="B16" s="2" t="str">
        <f>B225</f>
        <v>3. Lists for expiring special variations and other questions</v>
      </c>
      <c r="C16" s="3"/>
      <c r="D16" s="3"/>
      <c r="E16" s="3"/>
      <c r="F16" s="3"/>
      <c r="G16" s="3"/>
      <c r="H16" s="3"/>
      <c r="I16" s="3"/>
      <c r="J16" s="3">
        <f>ROW(B225)</f>
        <v>225</v>
      </c>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row>
    <row r="17" spans="1:38" x14ac:dyDescent="0.2">
      <c r="A17" s="3"/>
      <c r="B17" s="3" t="str">
        <f>B227</f>
        <v>Is the council applying for a one-year increase (s508(2)) or a multi-year increase (s508A)?</v>
      </c>
      <c r="C17" s="3"/>
      <c r="D17" s="3"/>
      <c r="E17" s="3"/>
      <c r="F17" s="3"/>
      <c r="G17" s="3"/>
      <c r="H17" s="3"/>
      <c r="I17" s="3"/>
      <c r="J17" s="3">
        <f>ROW(B227)</f>
        <v>227</v>
      </c>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row>
    <row r="18" spans="1:38" x14ac:dyDescent="0.2">
      <c r="A18" s="3"/>
      <c r="B18" s="3" t="str">
        <f>B232</f>
        <v>For s508A applications: for how many years is the council requesting % increases as part of this application?</v>
      </c>
      <c r="C18" s="3"/>
      <c r="D18" s="3"/>
      <c r="E18" s="3"/>
      <c r="F18" s="3"/>
      <c r="G18" s="3"/>
      <c r="H18" s="3"/>
      <c r="I18" s="3"/>
      <c r="J18" s="3">
        <f>ROW(B232)</f>
        <v>232</v>
      </c>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row>
    <row r="19" spans="1:38" x14ac:dyDescent="0.2">
      <c r="A19" s="3"/>
      <c r="B19" s="3" t="str">
        <f>B243</f>
        <v xml:space="preserve">For s508A &amp; s508(2) applications: is the special variation permanent or temporary?   </v>
      </c>
      <c r="C19" s="3"/>
      <c r="D19" s="3"/>
      <c r="E19" s="3"/>
      <c r="F19" s="3"/>
      <c r="G19" s="3"/>
      <c r="H19" s="3"/>
      <c r="I19" s="3"/>
      <c r="J19" s="3">
        <f>ROW(B243)</f>
        <v>243</v>
      </c>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row>
    <row r="20" spans="1:38" x14ac:dyDescent="0.2">
      <c r="A20" s="3"/>
      <c r="B20" s="30" t="str">
        <f>B252</f>
        <v>Does the council have an expiring variation? If yes, please specify when.</v>
      </c>
      <c r="C20" s="30"/>
      <c r="D20" s="30"/>
      <c r="E20" s="30"/>
      <c r="F20" s="30"/>
      <c r="G20" s="30"/>
      <c r="H20" s="30"/>
      <c r="I20" s="30"/>
      <c r="J20" s="30">
        <f>ROW(B252)</f>
        <v>252</v>
      </c>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row>
    <row r="21" spans="1:38"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spans="1:38"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spans="1:38" ht="15.75" x14ac:dyDescent="0.2">
      <c r="A23" s="3"/>
      <c r="B23" s="165" t="s">
        <v>86</v>
      </c>
      <c r="C23" s="166" t="s">
        <v>87</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row>
    <row r="24" spans="1:38" ht="9" customHeight="1" x14ac:dyDescent="0.2">
      <c r="A24" s="3"/>
      <c r="B24" s="1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row>
    <row r="25" spans="1:38" ht="16.5" customHeight="1" x14ac:dyDescent="0.2">
      <c r="A25" s="3"/>
      <c r="B25" s="1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row>
    <row r="26" spans="1:38" x14ac:dyDescent="0.2">
      <c r="A26" s="167"/>
      <c r="B26" s="38" t="s">
        <v>88</v>
      </c>
      <c r="C26" s="3"/>
      <c r="D26" s="3"/>
      <c r="E26" s="3"/>
      <c r="F26" s="3"/>
      <c r="G26" s="3"/>
      <c r="H26" s="3"/>
      <c r="I26" s="3"/>
      <c r="J26" s="3"/>
      <c r="K26" s="3"/>
      <c r="M26" s="3"/>
      <c r="N26" s="3"/>
      <c r="O26" s="3"/>
      <c r="P26" s="3"/>
      <c r="Q26" s="3"/>
      <c r="R26" s="3"/>
      <c r="S26" s="3"/>
      <c r="T26" s="3"/>
      <c r="U26" s="3"/>
      <c r="V26" s="3"/>
      <c r="W26" s="3"/>
      <c r="X26" s="3"/>
      <c r="Y26" s="3"/>
      <c r="Z26" s="3"/>
      <c r="AA26" s="3"/>
      <c r="AB26" s="3"/>
      <c r="AC26" s="3"/>
      <c r="AD26" s="3"/>
      <c r="AE26" s="3"/>
      <c r="AF26" s="3"/>
      <c r="AG26" s="3"/>
      <c r="AH26" s="3"/>
      <c r="AI26" s="3"/>
      <c r="AJ26" s="3"/>
      <c r="AK26" s="3"/>
      <c r="AL26" s="3"/>
    </row>
    <row r="27" spans="1:38" x14ac:dyDescent="0.2">
      <c r="A27" s="3"/>
      <c r="B27" s="357"/>
      <c r="C27" s="282"/>
      <c r="D27" s="282"/>
      <c r="E27" s="282"/>
      <c r="F27" s="348"/>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row>
    <row r="28" spans="1:38" x14ac:dyDescent="0.2">
      <c r="A28" s="3"/>
      <c r="B28" s="54" t="s">
        <v>89</v>
      </c>
      <c r="C28" s="3"/>
      <c r="D28" s="3"/>
      <c r="E28" s="3"/>
      <c r="F28" s="31"/>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row>
    <row r="29" spans="1:38" x14ac:dyDescent="0.2">
      <c r="A29" s="1484"/>
      <c r="B29" s="54" t="s">
        <v>90</v>
      </c>
      <c r="C29" s="3"/>
      <c r="D29" s="105" t="s">
        <v>91</v>
      </c>
      <c r="E29" s="3"/>
      <c r="F29" s="31"/>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row>
    <row r="30" spans="1:38" x14ac:dyDescent="0.2">
      <c r="A30" s="1484"/>
      <c r="B30" s="54" t="s">
        <v>92</v>
      </c>
      <c r="C30" s="3"/>
      <c r="D30" s="105" t="s">
        <v>93</v>
      </c>
      <c r="E30" s="3"/>
      <c r="F30" s="31"/>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row>
    <row r="31" spans="1:38" x14ac:dyDescent="0.2">
      <c r="A31" s="3"/>
      <c r="B31" s="54" t="s">
        <v>94</v>
      </c>
      <c r="C31" s="3"/>
      <c r="D31" s="566" t="s">
        <v>95</v>
      </c>
      <c r="F31" s="31"/>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row>
    <row r="32" spans="1:38" x14ac:dyDescent="0.2">
      <c r="A32" s="3"/>
      <c r="B32" s="54" t="s">
        <v>96</v>
      </c>
      <c r="C32" s="3"/>
      <c r="D32" s="105" t="s">
        <v>97</v>
      </c>
      <c r="F32" s="31"/>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row>
    <row r="33" spans="1:38" x14ac:dyDescent="0.2">
      <c r="A33" s="3"/>
      <c r="B33" s="54"/>
      <c r="C33" s="3"/>
      <c r="D33" s="3"/>
      <c r="E33" s="3"/>
      <c r="F33" s="31"/>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row>
    <row r="34" spans="1:38" x14ac:dyDescent="0.2">
      <c r="A34" s="3"/>
      <c r="B34" s="54" t="s">
        <v>98</v>
      </c>
      <c r="C34" s="3"/>
      <c r="D34" s="3"/>
      <c r="E34" s="3"/>
      <c r="F34" s="31"/>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spans="1:38" x14ac:dyDescent="0.2">
      <c r="A35" s="3"/>
      <c r="B35" s="54" t="s">
        <v>90</v>
      </c>
      <c r="C35" s="3"/>
      <c r="D35" s="8" t="s">
        <v>99</v>
      </c>
      <c r="E35" s="3"/>
      <c r="F35" s="31"/>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x14ac:dyDescent="0.2">
      <c r="A36" s="3"/>
      <c r="B36" s="54" t="s">
        <v>92</v>
      </c>
      <c r="C36" s="3"/>
      <c r="D36" s="8" t="s">
        <v>100</v>
      </c>
      <c r="E36" s="3"/>
      <c r="F36" s="31"/>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row>
    <row r="37" spans="1:38" x14ac:dyDescent="0.2">
      <c r="A37" s="3"/>
      <c r="B37" s="54" t="s">
        <v>94</v>
      </c>
      <c r="C37" s="3"/>
      <c r="D37" s="566" t="s">
        <v>101</v>
      </c>
      <c r="F37" s="31"/>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1:38" x14ac:dyDescent="0.2">
      <c r="A38" s="3"/>
      <c r="B38" s="54" t="s">
        <v>96</v>
      </c>
      <c r="C38" s="3"/>
      <c r="D38" s="8" t="s">
        <v>102</v>
      </c>
      <c r="F38" s="31"/>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row>
    <row r="39" spans="1:38" x14ac:dyDescent="0.2">
      <c r="A39" s="3"/>
      <c r="B39" s="32"/>
      <c r="C39" s="30"/>
      <c r="D39" s="30"/>
      <c r="E39" s="30"/>
      <c r="F39" s="3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row>
    <row r="40" spans="1:38"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spans="1:38"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row>
    <row r="42" spans="1:38" x14ac:dyDescent="0.2">
      <c r="A42" s="3"/>
      <c r="B42" s="38" t="s">
        <v>103</v>
      </c>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row>
    <row r="43" spans="1:38" x14ac:dyDescent="0.2">
      <c r="A43" s="3"/>
      <c r="B43" s="357"/>
      <c r="C43" s="282"/>
      <c r="D43" s="282"/>
      <c r="E43" s="282"/>
      <c r="F43" s="348"/>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row>
    <row r="44" spans="1:38" ht="16.5" customHeight="1" x14ac:dyDescent="0.2">
      <c r="A44" s="1484"/>
      <c r="B44" s="168" t="s">
        <v>104</v>
      </c>
      <c r="C44" s="3" t="s">
        <v>105</v>
      </c>
      <c r="D44" s="67">
        <v>2024</v>
      </c>
      <c r="E44" s="3"/>
      <c r="F44" s="31"/>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row>
    <row r="45" spans="1:38" ht="16.5" customHeight="1" x14ac:dyDescent="0.2">
      <c r="A45" s="3"/>
      <c r="B45" s="169" t="s">
        <v>81</v>
      </c>
      <c r="C45" s="3"/>
      <c r="D45" s="16" t="str">
        <f>D44&amp;"-"&amp;RIGHT(D44+1,2)</f>
        <v>2024-25</v>
      </c>
      <c r="E45" s="3"/>
      <c r="F45" s="31"/>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row>
    <row r="46" spans="1:38" x14ac:dyDescent="0.2">
      <c r="A46" s="3"/>
      <c r="B46" s="97" t="s">
        <v>106</v>
      </c>
      <c r="C46" s="3"/>
      <c r="D46" s="3"/>
      <c r="E46" s="3"/>
      <c r="F46" s="31"/>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row>
    <row r="47" spans="1:38" x14ac:dyDescent="0.2">
      <c r="A47" s="3"/>
      <c r="B47" s="169" t="s">
        <v>107</v>
      </c>
      <c r="C47" s="3" t="s">
        <v>108</v>
      </c>
      <c r="D47" s="1485">
        <f>IF(ISBLANK('WS2-Proposal'!$K$62),'WS0 - Input data'!$D$48,'WS2-Proposal'!$K$62)</f>
        <v>0.05</v>
      </c>
      <c r="E47" s="3"/>
      <c r="F47" s="31"/>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spans="1:38" x14ac:dyDescent="0.2">
      <c r="A48" s="3"/>
      <c r="B48" s="169" t="s">
        <v>109</v>
      </c>
      <c r="C48" s="3" t="s">
        <v>108</v>
      </c>
      <c r="D48" s="66">
        <v>2.5000000000000001E-2</v>
      </c>
      <c r="F48" s="31"/>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spans="1:40" x14ac:dyDescent="0.2">
      <c r="A49" s="3"/>
      <c r="B49" s="170"/>
      <c r="C49" s="30"/>
      <c r="D49" s="30"/>
      <c r="E49" s="30"/>
      <c r="F49" s="3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row>
    <row r="50" spans="1:40" ht="11.2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row>
    <row r="51" spans="1:40"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row>
    <row r="52" spans="1:40" x14ac:dyDescent="0.2">
      <c r="A52" s="3"/>
      <c r="B52" s="38" t="s">
        <v>110</v>
      </c>
      <c r="C52" s="3"/>
      <c r="D52" s="3"/>
      <c r="E52" s="126"/>
      <c r="F52" s="126"/>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40" x14ac:dyDescent="0.2">
      <c r="A53" s="3"/>
      <c r="B53" s="357" t="s">
        <v>111</v>
      </c>
      <c r="C53" s="401"/>
      <c r="D53" s="401"/>
      <c r="E53" s="401"/>
      <c r="F53" s="358"/>
      <c r="G53" s="358"/>
      <c r="H53" s="282"/>
      <c r="I53" s="282"/>
      <c r="J53" s="282"/>
      <c r="K53" s="283"/>
      <c r="L53" s="283"/>
      <c r="M53" s="283"/>
      <c r="N53" s="283"/>
      <c r="O53" s="283"/>
      <c r="P53" s="283"/>
      <c r="Q53" s="283"/>
      <c r="R53" s="283"/>
      <c r="S53" s="283"/>
      <c r="T53" s="283"/>
      <c r="U53" s="283"/>
      <c r="V53" s="444"/>
      <c r="X53" s="3"/>
      <c r="Y53" s="3"/>
      <c r="Z53" s="3"/>
      <c r="AA53" s="3"/>
      <c r="AB53" s="3"/>
      <c r="AC53" s="3"/>
      <c r="AD53" s="3"/>
      <c r="AE53" s="3"/>
      <c r="AF53" s="3"/>
      <c r="AG53" s="3"/>
      <c r="AH53" s="3"/>
      <c r="AI53" s="3"/>
      <c r="AJ53" s="3"/>
      <c r="AK53" s="3"/>
      <c r="AL53" s="3"/>
      <c r="AM53" s="3"/>
      <c r="AN53" s="3"/>
    </row>
    <row r="54" spans="1:40" x14ac:dyDescent="0.2">
      <c r="A54" s="3"/>
      <c r="B54" s="54" t="s">
        <v>80</v>
      </c>
      <c r="E54" s="3">
        <f t="shared" ref="E54" si="0">F54-1</f>
        <v>-5</v>
      </c>
      <c r="F54" s="3">
        <f t="shared" ref="F54" si="1">G54-1</f>
        <v>-4</v>
      </c>
      <c r="G54" s="3">
        <f t="shared" ref="G54:H54" si="2">H54-1</f>
        <v>-3</v>
      </c>
      <c r="H54" s="3">
        <f t="shared" si="2"/>
        <v>-2</v>
      </c>
      <c r="I54" s="3">
        <f>J54-1</f>
        <v>-1</v>
      </c>
      <c r="J54" s="172">
        <v>0</v>
      </c>
      <c r="K54" s="3">
        <f t="shared" ref="K54:T54" si="3">J54+1</f>
        <v>1</v>
      </c>
      <c r="L54" s="3">
        <f t="shared" si="3"/>
        <v>2</v>
      </c>
      <c r="M54" s="3">
        <f t="shared" si="3"/>
        <v>3</v>
      </c>
      <c r="N54" s="3">
        <f t="shared" si="3"/>
        <v>4</v>
      </c>
      <c r="O54" s="3">
        <f t="shared" si="3"/>
        <v>5</v>
      </c>
      <c r="P54" s="3">
        <f t="shared" si="3"/>
        <v>6</v>
      </c>
      <c r="Q54" s="3">
        <f t="shared" si="3"/>
        <v>7</v>
      </c>
      <c r="R54" s="3">
        <f t="shared" si="3"/>
        <v>8</v>
      </c>
      <c r="S54" s="3">
        <f t="shared" si="3"/>
        <v>9</v>
      </c>
      <c r="T54" s="3">
        <f t="shared" si="3"/>
        <v>10</v>
      </c>
      <c r="V54" s="31"/>
      <c r="X54" s="3"/>
      <c r="Y54" s="3"/>
      <c r="Z54" s="3"/>
      <c r="AA54" s="3"/>
      <c r="AB54" s="3"/>
      <c r="AC54" s="3"/>
      <c r="AD54" s="3"/>
      <c r="AE54" s="3"/>
      <c r="AF54" s="3"/>
      <c r="AG54" s="3"/>
      <c r="AH54" s="3"/>
      <c r="AI54" s="3"/>
      <c r="AJ54" s="3"/>
      <c r="AK54" s="3"/>
      <c r="AL54" s="3"/>
      <c r="AM54" s="3"/>
      <c r="AN54" s="3"/>
    </row>
    <row r="55" spans="1:40" x14ac:dyDescent="0.2">
      <c r="A55" s="3"/>
      <c r="B55" s="54" t="s">
        <v>112</v>
      </c>
      <c r="E55" s="16" t="str">
        <f>"Hist yr "&amp;E54</f>
        <v>Hist yr -5</v>
      </c>
      <c r="F55" s="16" t="str">
        <f>"Hist yr "&amp;F54</f>
        <v>Hist yr -4</v>
      </c>
      <c r="G55" s="16" t="str">
        <f>"Hist yr "&amp;G54</f>
        <v>Hist yr -3</v>
      </c>
      <c r="H55" s="16" t="str">
        <f>"Hist yr "&amp;H54</f>
        <v>Hist yr -2</v>
      </c>
      <c r="I55" s="16" t="str">
        <f>"Hist yr "&amp;I54</f>
        <v>Hist yr -1</v>
      </c>
      <c r="J55" s="16" t="str">
        <f>"Year "&amp;J54</f>
        <v>Year 0</v>
      </c>
      <c r="K55" s="16" t="str">
        <f t="shared" ref="K55:T55" si="4">"Year "&amp;K54</f>
        <v>Year 1</v>
      </c>
      <c r="L55" s="16" t="str">
        <f t="shared" si="4"/>
        <v>Year 2</v>
      </c>
      <c r="M55" s="16" t="str">
        <f t="shared" si="4"/>
        <v>Year 3</v>
      </c>
      <c r="N55" s="16" t="str">
        <f t="shared" si="4"/>
        <v>Year 4</v>
      </c>
      <c r="O55" s="16" t="str">
        <f t="shared" si="4"/>
        <v>Year 5</v>
      </c>
      <c r="P55" s="16" t="str">
        <f t="shared" si="4"/>
        <v>Year 6</v>
      </c>
      <c r="Q55" s="16" t="str">
        <f t="shared" si="4"/>
        <v>Year 7</v>
      </c>
      <c r="R55" s="16" t="str">
        <f t="shared" si="4"/>
        <v>Year 8</v>
      </c>
      <c r="S55" s="16" t="str">
        <f t="shared" si="4"/>
        <v>Year 9</v>
      </c>
      <c r="T55" s="16" t="str">
        <f t="shared" si="4"/>
        <v>Year 10</v>
      </c>
      <c r="V55" s="31"/>
      <c r="X55" s="3"/>
      <c r="Y55" s="3"/>
      <c r="Z55" s="3"/>
      <c r="AA55" s="3"/>
      <c r="AB55" s="3"/>
      <c r="AC55" s="3"/>
      <c r="AD55" s="3"/>
      <c r="AE55" s="3"/>
      <c r="AF55" s="3"/>
      <c r="AG55" s="3"/>
      <c r="AH55" s="3"/>
      <c r="AI55" s="3"/>
      <c r="AJ55" s="3"/>
      <c r="AK55" s="3"/>
      <c r="AL55" s="3"/>
      <c r="AM55" s="3"/>
      <c r="AN55" s="3"/>
    </row>
    <row r="56" spans="1:40" x14ac:dyDescent="0.2">
      <c r="A56" s="3"/>
      <c r="B56" s="54"/>
      <c r="E56" s="3"/>
      <c r="F56" s="3"/>
      <c r="G56" s="3"/>
      <c r="H56" s="3"/>
      <c r="I56" s="3"/>
      <c r="J56" s="16"/>
      <c r="K56" s="16"/>
      <c r="L56" s="16"/>
      <c r="M56" s="16"/>
      <c r="N56" s="16"/>
      <c r="O56" s="16"/>
      <c r="P56" s="16"/>
      <c r="Q56" s="16"/>
      <c r="R56" s="16"/>
      <c r="S56" s="16"/>
      <c r="T56" s="16"/>
      <c r="V56" s="31"/>
      <c r="X56" s="3"/>
      <c r="Y56" s="3"/>
      <c r="Z56" s="3"/>
      <c r="AA56" s="3"/>
      <c r="AB56" s="3"/>
      <c r="AC56" s="3"/>
      <c r="AD56" s="3"/>
      <c r="AE56" s="3"/>
      <c r="AF56" s="3"/>
      <c r="AG56" s="3"/>
      <c r="AH56" s="3"/>
      <c r="AI56" s="3"/>
      <c r="AJ56" s="3"/>
      <c r="AK56" s="3"/>
      <c r="AL56" s="3"/>
      <c r="AM56" s="3"/>
      <c r="AN56" s="3"/>
    </row>
    <row r="57" spans="1:40" x14ac:dyDescent="0.2">
      <c r="A57" s="3"/>
      <c r="B57" s="54" t="s">
        <v>113</v>
      </c>
      <c r="E57" s="173">
        <f t="shared" ref="E57:F57" si="5">F57-1</f>
        <v>2018</v>
      </c>
      <c r="F57" s="173">
        <f t="shared" si="5"/>
        <v>2019</v>
      </c>
      <c r="G57" s="173">
        <f>H57-1</f>
        <v>2020</v>
      </c>
      <c r="H57" s="173">
        <f>I57-1</f>
        <v>2021</v>
      </c>
      <c r="I57" s="173">
        <f>J57-1</f>
        <v>2022</v>
      </c>
      <c r="J57" s="174">
        <f>D44-1</f>
        <v>2023</v>
      </c>
      <c r="K57" s="175">
        <f>D44</f>
        <v>2024</v>
      </c>
      <c r="L57" s="176">
        <f t="shared" ref="L57:T57" si="6">K57+1</f>
        <v>2025</v>
      </c>
      <c r="M57" s="176">
        <f t="shared" si="6"/>
        <v>2026</v>
      </c>
      <c r="N57" s="176">
        <f t="shared" si="6"/>
        <v>2027</v>
      </c>
      <c r="O57" s="176">
        <f t="shared" si="6"/>
        <v>2028</v>
      </c>
      <c r="P57" s="176">
        <f t="shared" si="6"/>
        <v>2029</v>
      </c>
      <c r="Q57" s="176">
        <f t="shared" si="6"/>
        <v>2030</v>
      </c>
      <c r="R57" s="176">
        <f t="shared" si="6"/>
        <v>2031</v>
      </c>
      <c r="S57" s="176">
        <f t="shared" si="6"/>
        <v>2032</v>
      </c>
      <c r="T57" s="176">
        <f t="shared" si="6"/>
        <v>2033</v>
      </c>
      <c r="V57" s="31"/>
      <c r="X57" s="3"/>
      <c r="Y57" s="3"/>
      <c r="Z57" s="3"/>
      <c r="AA57" s="3"/>
      <c r="AB57" s="3"/>
      <c r="AC57" s="3"/>
      <c r="AD57" s="3"/>
      <c r="AE57" s="3"/>
      <c r="AF57" s="3"/>
      <c r="AG57" s="3"/>
      <c r="AH57" s="3"/>
      <c r="AI57" s="3"/>
      <c r="AJ57" s="3"/>
      <c r="AK57" s="3"/>
      <c r="AL57" s="3"/>
      <c r="AM57" s="3"/>
      <c r="AN57" s="3"/>
    </row>
    <row r="58" spans="1:40" x14ac:dyDescent="0.2">
      <c r="A58" s="3"/>
      <c r="B58" s="54" t="s">
        <v>81</v>
      </c>
      <c r="E58" s="16" t="str">
        <f t="shared" ref="E58:G58" si="7">E57&amp;"-"&amp;RIGHT(E57+1,2)</f>
        <v>2018-19</v>
      </c>
      <c r="F58" s="16" t="str">
        <f t="shared" si="7"/>
        <v>2019-20</v>
      </c>
      <c r="G58" s="16" t="str">
        <f t="shared" si="7"/>
        <v>2020-21</v>
      </c>
      <c r="H58" s="16" t="str">
        <f t="shared" ref="H58:T58" si="8">H57&amp;"-"&amp;RIGHT(H57+1,2)</f>
        <v>2021-22</v>
      </c>
      <c r="I58" s="16" t="str">
        <f t="shared" si="8"/>
        <v>2022-23</v>
      </c>
      <c r="J58" s="16" t="str">
        <f t="shared" si="8"/>
        <v>2023-24</v>
      </c>
      <c r="K58" s="16" t="str">
        <f t="shared" si="8"/>
        <v>2024-25</v>
      </c>
      <c r="L58" s="16" t="str">
        <f t="shared" si="8"/>
        <v>2025-26</v>
      </c>
      <c r="M58" s="16" t="str">
        <f t="shared" si="8"/>
        <v>2026-27</v>
      </c>
      <c r="N58" s="16" t="str">
        <f t="shared" si="8"/>
        <v>2027-28</v>
      </c>
      <c r="O58" s="16" t="str">
        <f t="shared" si="8"/>
        <v>2028-29</v>
      </c>
      <c r="P58" s="16" t="str">
        <f t="shared" si="8"/>
        <v>2029-30</v>
      </c>
      <c r="Q58" s="16" t="str">
        <f t="shared" si="8"/>
        <v>2030-31</v>
      </c>
      <c r="R58" s="16" t="str">
        <f t="shared" si="8"/>
        <v>2031-32</v>
      </c>
      <c r="S58" s="16" t="str">
        <f t="shared" si="8"/>
        <v>2032-33</v>
      </c>
      <c r="T58" s="16" t="str">
        <f t="shared" si="8"/>
        <v>2033-34</v>
      </c>
      <c r="V58" s="31"/>
      <c r="X58" s="3"/>
      <c r="Y58" s="3"/>
      <c r="Z58" s="3"/>
      <c r="AA58" s="3"/>
      <c r="AB58" s="3"/>
      <c r="AC58" s="3"/>
      <c r="AD58" s="3"/>
      <c r="AE58" s="3"/>
      <c r="AF58" s="3"/>
      <c r="AG58" s="3"/>
      <c r="AH58" s="3"/>
      <c r="AI58" s="3"/>
      <c r="AJ58" s="3"/>
      <c r="AK58" s="3"/>
      <c r="AL58" s="3"/>
      <c r="AM58" s="3"/>
      <c r="AN58" s="3"/>
    </row>
    <row r="59" spans="1:40" x14ac:dyDescent="0.2">
      <c r="A59" s="3"/>
      <c r="B59" s="54"/>
      <c r="E59" s="3"/>
      <c r="F59" s="3"/>
      <c r="G59" s="3"/>
      <c r="H59" s="3"/>
      <c r="I59" s="3"/>
      <c r="J59" s="3"/>
      <c r="K59" s="3"/>
      <c r="L59" s="3"/>
      <c r="M59" s="3"/>
      <c r="N59" s="3"/>
      <c r="O59" s="3"/>
      <c r="P59" s="3"/>
      <c r="Q59" s="3"/>
      <c r="R59" s="3"/>
      <c r="S59" s="3"/>
      <c r="T59" s="3"/>
      <c r="V59" s="31"/>
      <c r="X59" s="3"/>
      <c r="Y59" s="3"/>
      <c r="Z59" s="3"/>
      <c r="AA59" s="3"/>
      <c r="AB59" s="3"/>
      <c r="AC59" s="3"/>
      <c r="AD59" s="3"/>
      <c r="AE59" s="3"/>
      <c r="AF59" s="3"/>
      <c r="AG59" s="3"/>
      <c r="AH59" s="3"/>
      <c r="AI59" s="3"/>
      <c r="AJ59" s="3"/>
      <c r="AK59" s="3"/>
      <c r="AL59" s="3"/>
      <c r="AM59" s="3"/>
      <c r="AN59" s="3"/>
    </row>
    <row r="60" spans="1:40" x14ac:dyDescent="0.2">
      <c r="A60" s="3"/>
      <c r="B60" s="97" t="s">
        <v>114</v>
      </c>
      <c r="E60" s="2"/>
      <c r="F60" s="2"/>
      <c r="G60" s="3"/>
      <c r="H60" s="3"/>
      <c r="I60" s="3"/>
      <c r="J60" s="174"/>
      <c r="K60" s="177">
        <f>$D$47</f>
        <v>0.05</v>
      </c>
      <c r="L60" s="590"/>
      <c r="M60" s="590"/>
      <c r="N60" s="590"/>
      <c r="O60" s="590"/>
      <c r="P60" s="590"/>
      <c r="Q60" s="590"/>
      <c r="R60" s="590"/>
      <c r="S60" s="590"/>
      <c r="T60" s="590"/>
      <c r="V60" s="31"/>
      <c r="X60" s="3"/>
      <c r="Y60" s="3"/>
      <c r="Z60" s="3"/>
      <c r="AA60" s="3"/>
      <c r="AB60" s="3"/>
      <c r="AC60" s="3"/>
      <c r="AD60" s="3"/>
      <c r="AE60" s="3"/>
      <c r="AF60" s="3"/>
      <c r="AG60" s="3"/>
      <c r="AH60" s="3"/>
      <c r="AI60" s="3"/>
      <c r="AJ60" s="3"/>
      <c r="AK60" s="3"/>
      <c r="AL60" s="3"/>
      <c r="AM60" s="3"/>
      <c r="AN60" s="3"/>
    </row>
    <row r="61" spans="1:40" x14ac:dyDescent="0.2">
      <c r="A61" s="3"/>
      <c r="B61" s="97"/>
      <c r="F61" s="2"/>
      <c r="G61" s="2"/>
      <c r="H61" s="3"/>
      <c r="I61" s="3"/>
      <c r="J61" s="3"/>
      <c r="K61" s="178"/>
      <c r="L61" s="179"/>
      <c r="M61" s="125"/>
      <c r="N61" s="125"/>
      <c r="O61" s="125"/>
      <c r="P61" s="125"/>
      <c r="Q61" s="125"/>
      <c r="R61" s="125"/>
      <c r="S61" s="125"/>
      <c r="T61" s="125"/>
      <c r="U61" s="125"/>
      <c r="V61" s="31"/>
      <c r="X61" s="3"/>
      <c r="Y61" s="3"/>
      <c r="Z61" s="3"/>
      <c r="AA61" s="3"/>
      <c r="AB61" s="3"/>
      <c r="AC61" s="3"/>
      <c r="AD61" s="3"/>
      <c r="AE61" s="3"/>
      <c r="AF61" s="3"/>
      <c r="AG61" s="3"/>
      <c r="AH61" s="3"/>
      <c r="AI61" s="3"/>
      <c r="AJ61" s="3"/>
      <c r="AK61" s="3"/>
      <c r="AL61" s="3"/>
      <c r="AM61" s="3"/>
      <c r="AN61" s="3"/>
    </row>
    <row r="62" spans="1:40" x14ac:dyDescent="0.2">
      <c r="A62" s="3"/>
      <c r="B62" s="97" t="s">
        <v>115</v>
      </c>
      <c r="C62" s="172" t="s">
        <v>116</v>
      </c>
      <c r="D62" s="2"/>
      <c r="E62" s="172"/>
      <c r="F62" s="3"/>
      <c r="G62" s="178"/>
      <c r="H62" s="179"/>
      <c r="I62" s="125"/>
      <c r="J62" s="125"/>
      <c r="K62" s="125"/>
      <c r="L62" s="125"/>
      <c r="M62" s="125"/>
      <c r="N62" s="125"/>
      <c r="O62" s="125"/>
      <c r="P62" s="125"/>
      <c r="Q62" s="125"/>
      <c r="R62" s="3"/>
      <c r="S62" s="3"/>
      <c r="T62" s="3"/>
      <c r="U62" s="3"/>
      <c r="V62" s="31"/>
      <c r="X62" s="3"/>
      <c r="Y62" s="3"/>
      <c r="Z62" s="3"/>
      <c r="AA62" s="3"/>
      <c r="AB62" s="3"/>
      <c r="AC62" s="3"/>
      <c r="AD62" s="3"/>
      <c r="AE62" s="3"/>
      <c r="AF62" s="3"/>
      <c r="AG62" s="3"/>
      <c r="AH62" s="3"/>
      <c r="AI62" s="3"/>
      <c r="AJ62" s="3"/>
      <c r="AK62" s="3"/>
      <c r="AL62" s="3"/>
      <c r="AM62" s="3"/>
      <c r="AN62" s="3"/>
    </row>
    <row r="63" spans="1:40" x14ac:dyDescent="0.2">
      <c r="A63" s="3"/>
      <c r="B63" s="97"/>
      <c r="C63" s="1" t="str">
        <f>C62&amp;" per year"</f>
        <v>$ nominal per year</v>
      </c>
      <c r="D63" s="2"/>
      <c r="E63" s="1"/>
      <c r="F63" s="3"/>
      <c r="G63" s="3"/>
      <c r="H63" s="178"/>
      <c r="I63" s="179"/>
      <c r="J63" s="125"/>
      <c r="K63" s="125"/>
      <c r="L63" s="125"/>
      <c r="M63" s="125"/>
      <c r="N63" s="125"/>
      <c r="O63" s="125"/>
      <c r="P63" s="125"/>
      <c r="Q63" s="125"/>
      <c r="R63" s="125"/>
      <c r="S63" s="3"/>
      <c r="T63" s="3"/>
      <c r="U63" s="3"/>
      <c r="V63" s="31"/>
      <c r="W63" s="3"/>
      <c r="X63" s="3"/>
      <c r="Y63" s="3"/>
      <c r="Z63" s="3"/>
      <c r="AA63" s="3"/>
      <c r="AB63" s="3"/>
      <c r="AC63" s="3"/>
      <c r="AD63" s="3"/>
      <c r="AE63" s="3"/>
      <c r="AF63" s="3"/>
      <c r="AG63" s="3"/>
      <c r="AH63" s="3"/>
      <c r="AI63" s="3"/>
      <c r="AJ63" s="3"/>
      <c r="AK63" s="3"/>
      <c r="AL63" s="3"/>
      <c r="AM63" s="3"/>
      <c r="AN63" s="3"/>
    </row>
    <row r="64" spans="1:40" x14ac:dyDescent="0.2">
      <c r="A64" s="3"/>
      <c r="B64" s="32"/>
      <c r="C64" s="30"/>
      <c r="D64" s="30"/>
      <c r="E64" s="30"/>
      <c r="F64" s="30"/>
      <c r="G64" s="30"/>
      <c r="H64" s="30"/>
      <c r="I64" s="30"/>
      <c r="J64" s="30"/>
      <c r="K64" s="30"/>
      <c r="L64" s="30"/>
      <c r="M64" s="30"/>
      <c r="N64" s="30"/>
      <c r="O64" s="30"/>
      <c r="P64" s="30"/>
      <c r="Q64" s="30"/>
      <c r="R64" s="30"/>
      <c r="S64" s="30"/>
      <c r="T64" s="30"/>
      <c r="U64" s="30"/>
      <c r="V64" s="33"/>
      <c r="W64" s="3"/>
      <c r="X64" s="3"/>
      <c r="Y64" s="3"/>
      <c r="Z64" s="3"/>
      <c r="AA64" s="3"/>
      <c r="AB64" s="3"/>
      <c r="AC64" s="3"/>
      <c r="AD64" s="3"/>
      <c r="AE64" s="3"/>
      <c r="AF64" s="3"/>
      <c r="AG64" s="3"/>
      <c r="AH64" s="3"/>
      <c r="AI64" s="3"/>
      <c r="AJ64" s="3"/>
      <c r="AK64" s="3"/>
      <c r="AL64" s="3"/>
      <c r="AM64" s="3"/>
      <c r="AN64" s="3"/>
    </row>
    <row r="65" spans="1:38"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row>
    <row r="66" spans="1:38"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row>
    <row r="67" spans="1:38" ht="19.5" x14ac:dyDescent="0.25">
      <c r="A67" s="171"/>
      <c r="B67" s="17" t="s">
        <v>117</v>
      </c>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row>
    <row r="68" spans="1:38" x14ac:dyDescent="0.2">
      <c r="A68" s="3"/>
      <c r="B68" s="312">
        <v>1</v>
      </c>
      <c r="C68" s="539" t="s">
        <v>118</v>
      </c>
      <c r="D68" s="282"/>
      <c r="E68" s="348"/>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spans="1:38" outlineLevel="1" x14ac:dyDescent="0.2">
      <c r="A69" s="3"/>
      <c r="B69" s="54">
        <f t="shared" ref="B69:B100" si="9">B68+1</f>
        <v>2</v>
      </c>
      <c r="C69" s="8" t="s">
        <v>119</v>
      </c>
      <c r="D69" s="3"/>
      <c r="E69" s="31"/>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row>
    <row r="70" spans="1:38" outlineLevel="1" x14ac:dyDescent="0.2">
      <c r="A70" s="3"/>
      <c r="B70" s="54">
        <f t="shared" si="9"/>
        <v>3</v>
      </c>
      <c r="C70" s="8" t="s">
        <v>120</v>
      </c>
      <c r="D70" s="3"/>
      <c r="E70" s="31"/>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row>
    <row r="71" spans="1:38" outlineLevel="1" x14ac:dyDescent="0.2">
      <c r="A71" s="3"/>
      <c r="B71" s="54">
        <f t="shared" si="9"/>
        <v>4</v>
      </c>
      <c r="C71" s="8" t="s">
        <v>121</v>
      </c>
      <c r="D71" s="3"/>
      <c r="E71" s="31"/>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row>
    <row r="72" spans="1:38" outlineLevel="1" x14ac:dyDescent="0.2">
      <c r="A72" s="3"/>
      <c r="B72" s="54">
        <f t="shared" si="9"/>
        <v>5</v>
      </c>
      <c r="C72" s="8" t="s">
        <v>122</v>
      </c>
      <c r="D72" s="3"/>
      <c r="E72" s="3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spans="1:38" outlineLevel="1" x14ac:dyDescent="0.2">
      <c r="A73" s="3"/>
      <c r="B73" s="54">
        <f t="shared" si="9"/>
        <v>6</v>
      </c>
      <c r="C73" s="8" t="s">
        <v>123</v>
      </c>
      <c r="D73" s="3"/>
      <c r="E73" s="31"/>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spans="1:38" outlineLevel="1" x14ac:dyDescent="0.2">
      <c r="A74" s="3"/>
      <c r="B74" s="54">
        <f t="shared" si="9"/>
        <v>7</v>
      </c>
      <c r="C74" s="8" t="s">
        <v>124</v>
      </c>
      <c r="D74" s="3"/>
      <c r="E74" s="31"/>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row r="75" spans="1:38" outlineLevel="1" x14ac:dyDescent="0.2">
      <c r="A75" s="3"/>
      <c r="B75" s="54">
        <f t="shared" si="9"/>
        <v>8</v>
      </c>
      <c r="C75" s="8" t="s">
        <v>125</v>
      </c>
      <c r="D75" s="3"/>
      <c r="E75" s="31"/>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row>
    <row r="76" spans="1:38" outlineLevel="1" x14ac:dyDescent="0.2">
      <c r="A76" s="3"/>
      <c r="B76" s="54">
        <f t="shared" si="9"/>
        <v>9</v>
      </c>
      <c r="C76" s="8" t="s">
        <v>126</v>
      </c>
      <c r="D76" s="3"/>
      <c r="E76" s="31"/>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row>
    <row r="77" spans="1:38" outlineLevel="1" x14ac:dyDescent="0.2">
      <c r="A77" s="3"/>
      <c r="B77" s="54">
        <f t="shared" si="9"/>
        <v>10</v>
      </c>
      <c r="C77" s="8" t="s">
        <v>127</v>
      </c>
      <c r="D77" s="3"/>
      <c r="E77" s="31"/>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row>
    <row r="78" spans="1:38" outlineLevel="1" x14ac:dyDescent="0.2">
      <c r="A78" s="3"/>
      <c r="B78" s="54">
        <f t="shared" si="9"/>
        <v>11</v>
      </c>
      <c r="C78" s="8" t="s">
        <v>128</v>
      </c>
      <c r="D78" s="3"/>
      <c r="E78" s="31"/>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row>
    <row r="79" spans="1:38" outlineLevel="1" x14ac:dyDescent="0.2">
      <c r="A79" s="3"/>
      <c r="B79" s="54">
        <f t="shared" si="9"/>
        <v>12</v>
      </c>
      <c r="C79" s="8" t="s">
        <v>129</v>
      </c>
      <c r="D79" s="3"/>
      <c r="E79" s="3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row>
    <row r="80" spans="1:38" outlineLevel="1" x14ac:dyDescent="0.2">
      <c r="A80" s="3"/>
      <c r="B80" s="54">
        <f t="shared" si="9"/>
        <v>13</v>
      </c>
      <c r="C80" s="8" t="s">
        <v>130</v>
      </c>
      <c r="D80" s="3"/>
      <c r="E80" s="31"/>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row>
    <row r="81" spans="1:38" outlineLevel="1" x14ac:dyDescent="0.2">
      <c r="A81" s="3"/>
      <c r="B81" s="54">
        <f t="shared" si="9"/>
        <v>14</v>
      </c>
      <c r="C81" s="8" t="s">
        <v>131</v>
      </c>
      <c r="D81" s="3"/>
      <c r="E81" s="31"/>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row>
    <row r="82" spans="1:38" outlineLevel="1" x14ac:dyDescent="0.2">
      <c r="A82" s="3"/>
      <c r="B82" s="54">
        <f t="shared" si="9"/>
        <v>15</v>
      </c>
      <c r="C82" s="8" t="s">
        <v>132</v>
      </c>
      <c r="D82" s="3"/>
      <c r="E82" s="31"/>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row>
    <row r="83" spans="1:38" outlineLevel="1" x14ac:dyDescent="0.2">
      <c r="A83" s="3"/>
      <c r="B83" s="54">
        <f t="shared" si="9"/>
        <v>16</v>
      </c>
      <c r="C83" s="8" t="s">
        <v>133</v>
      </c>
      <c r="D83" s="3"/>
      <c r="E83" s="31"/>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row>
    <row r="84" spans="1:38" outlineLevel="1" x14ac:dyDescent="0.2">
      <c r="A84" s="3"/>
      <c r="B84" s="54">
        <f t="shared" si="9"/>
        <v>17</v>
      </c>
      <c r="C84" s="8" t="s">
        <v>134</v>
      </c>
      <c r="D84" s="3"/>
      <c r="E84" s="31"/>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row>
    <row r="85" spans="1:38" outlineLevel="1" x14ac:dyDescent="0.2">
      <c r="A85" s="3"/>
      <c r="B85" s="54">
        <f t="shared" si="9"/>
        <v>18</v>
      </c>
      <c r="C85" s="8" t="s">
        <v>135</v>
      </c>
      <c r="D85" s="3"/>
      <c r="E85" s="31"/>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row>
    <row r="86" spans="1:38" outlineLevel="1" x14ac:dyDescent="0.2">
      <c r="A86" s="3"/>
      <c r="B86" s="54">
        <f t="shared" si="9"/>
        <v>19</v>
      </c>
      <c r="C86" s="8" t="s">
        <v>136</v>
      </c>
      <c r="D86" s="3"/>
      <c r="E86" s="31"/>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spans="1:38" outlineLevel="1" x14ac:dyDescent="0.2">
      <c r="A87" s="3"/>
      <c r="B87" s="54">
        <f t="shared" si="9"/>
        <v>20</v>
      </c>
      <c r="C87" s="8" t="s">
        <v>137</v>
      </c>
      <c r="D87" s="3"/>
      <c r="E87" s="31"/>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row r="88" spans="1:38" outlineLevel="1" x14ac:dyDescent="0.2">
      <c r="A88" s="3"/>
      <c r="B88" s="54">
        <f t="shared" si="9"/>
        <v>21</v>
      </c>
      <c r="C88" s="8" t="s">
        <v>138</v>
      </c>
      <c r="D88" s="3"/>
      <c r="E88" s="31"/>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row>
    <row r="89" spans="1:38" outlineLevel="1" x14ac:dyDescent="0.2">
      <c r="A89" s="3"/>
      <c r="B89" s="54">
        <f t="shared" si="9"/>
        <v>22</v>
      </c>
      <c r="C89" s="8" t="s">
        <v>139</v>
      </c>
      <c r="D89" s="3"/>
      <c r="E89" s="31"/>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0" spans="1:38" outlineLevel="1" x14ac:dyDescent="0.2">
      <c r="A90" s="3"/>
      <c r="B90" s="54">
        <f t="shared" si="9"/>
        <v>23</v>
      </c>
      <c r="C90" s="8" t="s">
        <v>140</v>
      </c>
      <c r="D90" s="3"/>
      <c r="E90" s="31"/>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row>
    <row r="91" spans="1:38" outlineLevel="1" x14ac:dyDescent="0.2">
      <c r="A91" s="3"/>
      <c r="B91" s="54">
        <f t="shared" si="9"/>
        <v>24</v>
      </c>
      <c r="C91" s="8" t="s">
        <v>141</v>
      </c>
      <c r="D91" s="3"/>
      <c r="E91" s="31"/>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row>
    <row r="92" spans="1:38" outlineLevel="1" x14ac:dyDescent="0.2">
      <c r="A92" s="3"/>
      <c r="B92" s="54">
        <f t="shared" si="9"/>
        <v>25</v>
      </c>
      <c r="C92" s="8" t="s">
        <v>142</v>
      </c>
      <c r="D92" s="3"/>
      <c r="E92" s="31"/>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row>
    <row r="93" spans="1:38" outlineLevel="1" x14ac:dyDescent="0.2">
      <c r="A93" s="3"/>
      <c r="B93" s="54">
        <f t="shared" si="9"/>
        <v>26</v>
      </c>
      <c r="C93" s="8" t="s">
        <v>143</v>
      </c>
      <c r="D93" s="3"/>
      <c r="E93" s="31"/>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row>
    <row r="94" spans="1:38" outlineLevel="1" x14ac:dyDescent="0.2">
      <c r="A94" s="3"/>
      <c r="B94" s="54">
        <f t="shared" si="9"/>
        <v>27</v>
      </c>
      <c r="C94" s="8" t="s">
        <v>144</v>
      </c>
      <c r="D94" s="3"/>
      <c r="E94" s="31"/>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row>
    <row r="95" spans="1:38" outlineLevel="1" x14ac:dyDescent="0.2">
      <c r="A95" s="3"/>
      <c r="B95" s="54">
        <f t="shared" si="9"/>
        <v>28</v>
      </c>
      <c r="C95" s="8" t="s">
        <v>145</v>
      </c>
      <c r="D95" s="3"/>
      <c r="E95" s="31"/>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row>
    <row r="96" spans="1:38" outlineLevel="1" x14ac:dyDescent="0.2">
      <c r="A96" s="3"/>
      <c r="B96" s="54">
        <f t="shared" si="9"/>
        <v>29</v>
      </c>
      <c r="C96" s="8" t="s">
        <v>146</v>
      </c>
      <c r="D96" s="3"/>
      <c r="E96" s="31"/>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row>
    <row r="97" spans="1:38" outlineLevel="1" x14ac:dyDescent="0.2">
      <c r="A97" s="3"/>
      <c r="B97" s="54">
        <f t="shared" si="9"/>
        <v>30</v>
      </c>
      <c r="C97" s="8" t="s">
        <v>147</v>
      </c>
      <c r="D97" s="3"/>
      <c r="E97" s="31"/>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row>
    <row r="98" spans="1:38" outlineLevel="1" x14ac:dyDescent="0.2">
      <c r="A98" s="3"/>
      <c r="B98" s="54">
        <f t="shared" si="9"/>
        <v>31</v>
      </c>
      <c r="C98" s="8" t="s">
        <v>148</v>
      </c>
      <c r="D98" s="3"/>
      <c r="E98" s="31"/>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row>
    <row r="99" spans="1:38" outlineLevel="1" x14ac:dyDescent="0.2">
      <c r="A99" s="3"/>
      <c r="B99" s="54">
        <f t="shared" si="9"/>
        <v>32</v>
      </c>
      <c r="C99" s="8" t="s">
        <v>149</v>
      </c>
      <c r="D99" s="3"/>
      <c r="E99" s="31"/>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spans="1:38" outlineLevel="1" x14ac:dyDescent="0.2">
      <c r="A100" s="3"/>
      <c r="B100" s="54">
        <f t="shared" si="9"/>
        <v>33</v>
      </c>
      <c r="C100" s="8" t="s">
        <v>150</v>
      </c>
      <c r="D100" s="3"/>
      <c r="E100" s="31"/>
      <c r="F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row>
    <row r="101" spans="1:38" outlineLevel="1" x14ac:dyDescent="0.2">
      <c r="A101" s="3"/>
      <c r="B101" s="54">
        <f t="shared" ref="B101:B132" si="10">B100+1</f>
        <v>34</v>
      </c>
      <c r="C101" s="8" t="s">
        <v>151</v>
      </c>
      <c r="D101" s="3"/>
      <c r="E101" s="31"/>
      <c r="F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row>
    <row r="102" spans="1:38" outlineLevel="1" x14ac:dyDescent="0.2">
      <c r="A102" s="3"/>
      <c r="B102" s="54">
        <f t="shared" si="10"/>
        <v>35</v>
      </c>
      <c r="C102" s="8" t="s">
        <v>152</v>
      </c>
      <c r="D102" s="3"/>
      <c r="E102" s="31"/>
      <c r="F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row>
    <row r="103" spans="1:38" outlineLevel="1" x14ac:dyDescent="0.2">
      <c r="A103" s="3"/>
      <c r="B103" s="54">
        <f t="shared" si="10"/>
        <v>36</v>
      </c>
      <c r="C103" s="8" t="s">
        <v>153</v>
      </c>
      <c r="D103" s="3"/>
      <c r="E103" s="31"/>
      <c r="F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row>
    <row r="104" spans="1:38" outlineLevel="1" x14ac:dyDescent="0.2">
      <c r="A104" s="3"/>
      <c r="B104" s="54">
        <f t="shared" si="10"/>
        <v>37</v>
      </c>
      <c r="C104" s="8" t="s">
        <v>154</v>
      </c>
      <c r="D104" s="3"/>
      <c r="E104" s="31"/>
      <c r="F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row>
    <row r="105" spans="1:38" outlineLevel="1" x14ac:dyDescent="0.2">
      <c r="A105" s="3"/>
      <c r="B105" s="54">
        <f t="shared" si="10"/>
        <v>38</v>
      </c>
      <c r="C105" s="8" t="s">
        <v>155</v>
      </c>
      <c r="D105" s="3"/>
      <c r="E105" s="31"/>
      <c r="F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row>
    <row r="106" spans="1:38" outlineLevel="1" x14ac:dyDescent="0.2">
      <c r="A106" s="3"/>
      <c r="B106" s="54">
        <f t="shared" si="10"/>
        <v>39</v>
      </c>
      <c r="C106" s="8" t="s">
        <v>156</v>
      </c>
      <c r="D106" s="3"/>
      <c r="E106" s="31"/>
      <c r="F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row>
    <row r="107" spans="1:38" outlineLevel="1" x14ac:dyDescent="0.2">
      <c r="A107" s="3"/>
      <c r="B107" s="54">
        <f t="shared" si="10"/>
        <v>40</v>
      </c>
      <c r="C107" s="8" t="s">
        <v>157</v>
      </c>
      <c r="D107" s="3"/>
      <c r="E107" s="31"/>
      <c r="F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row>
    <row r="108" spans="1:38" outlineLevel="1" x14ac:dyDescent="0.2">
      <c r="A108" s="3"/>
      <c r="B108" s="54">
        <f t="shared" si="10"/>
        <v>41</v>
      </c>
      <c r="C108" s="8" t="s">
        <v>158</v>
      </c>
      <c r="D108" s="3"/>
      <c r="E108" s="31"/>
      <c r="F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row>
    <row r="109" spans="1:38" outlineLevel="1" x14ac:dyDescent="0.2">
      <c r="A109" s="3"/>
      <c r="B109" s="54">
        <f t="shared" si="10"/>
        <v>42</v>
      </c>
      <c r="C109" s="8" t="s">
        <v>159</v>
      </c>
      <c r="D109" s="3"/>
      <c r="E109" s="31"/>
      <c r="F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row>
    <row r="110" spans="1:38" outlineLevel="1" x14ac:dyDescent="0.2">
      <c r="A110" s="3"/>
      <c r="B110" s="54">
        <f t="shared" si="10"/>
        <v>43</v>
      </c>
      <c r="C110" s="8" t="s">
        <v>160</v>
      </c>
      <c r="D110" s="3"/>
      <c r="E110" s="31"/>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row>
    <row r="111" spans="1:38" outlineLevel="1" x14ac:dyDescent="0.2">
      <c r="A111" s="3"/>
      <c r="B111" s="54">
        <f t="shared" si="10"/>
        <v>44</v>
      </c>
      <c r="C111" s="8" t="s">
        <v>161</v>
      </c>
      <c r="D111" s="3"/>
      <c r="E111" s="31"/>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row>
    <row r="112" spans="1:38" outlineLevel="1" x14ac:dyDescent="0.2">
      <c r="A112" s="3"/>
      <c r="B112" s="54">
        <f t="shared" si="10"/>
        <v>45</v>
      </c>
      <c r="C112" s="8" t="s">
        <v>162</v>
      </c>
      <c r="D112" s="3"/>
      <c r="E112" s="31"/>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row>
    <row r="113" spans="1:38" outlineLevel="1" x14ac:dyDescent="0.2">
      <c r="A113" s="3"/>
      <c r="B113" s="54">
        <f t="shared" si="10"/>
        <v>46</v>
      </c>
      <c r="C113" s="8" t="s">
        <v>163</v>
      </c>
      <c r="D113" s="3"/>
      <c r="E113" s="31"/>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row>
    <row r="114" spans="1:38" outlineLevel="1" x14ac:dyDescent="0.2">
      <c r="A114" s="3"/>
      <c r="B114" s="54">
        <f t="shared" si="10"/>
        <v>47</v>
      </c>
      <c r="C114" s="8" t="s">
        <v>164</v>
      </c>
      <c r="D114" s="3"/>
      <c r="E114" s="3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row>
    <row r="115" spans="1:38" outlineLevel="1" x14ac:dyDescent="0.2">
      <c r="A115" s="3"/>
      <c r="B115" s="54">
        <f t="shared" si="10"/>
        <v>48</v>
      </c>
      <c r="C115" s="8" t="s">
        <v>165</v>
      </c>
      <c r="D115" s="3"/>
      <c r="E115" s="31"/>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spans="1:38" outlineLevel="1" x14ac:dyDescent="0.2">
      <c r="A116" s="3"/>
      <c r="B116" s="54">
        <f t="shared" si="10"/>
        <v>49</v>
      </c>
      <c r="C116" s="8" t="s">
        <v>166</v>
      </c>
      <c r="D116" s="3"/>
      <c r="E116" s="31"/>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row>
    <row r="117" spans="1:38" outlineLevel="1" x14ac:dyDescent="0.2">
      <c r="A117" s="3"/>
      <c r="B117" s="54">
        <f t="shared" si="10"/>
        <v>50</v>
      </c>
      <c r="C117" s="8" t="s">
        <v>167</v>
      </c>
      <c r="D117" s="3"/>
      <c r="E117" s="31"/>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row>
    <row r="118" spans="1:38" outlineLevel="1" x14ac:dyDescent="0.2">
      <c r="A118" s="3"/>
      <c r="B118" s="54">
        <f t="shared" si="10"/>
        <v>51</v>
      </c>
      <c r="C118" s="8" t="s">
        <v>168</v>
      </c>
      <c r="D118" s="3"/>
      <c r="E118" s="31"/>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row>
    <row r="119" spans="1:38" outlineLevel="1" x14ac:dyDescent="0.2">
      <c r="A119" s="3"/>
      <c r="B119" s="54">
        <f t="shared" si="10"/>
        <v>52</v>
      </c>
      <c r="C119" s="8" t="s">
        <v>169</v>
      </c>
      <c r="D119" s="3"/>
      <c r="E119" s="31"/>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row>
    <row r="120" spans="1:38" outlineLevel="1" x14ac:dyDescent="0.2">
      <c r="A120" s="3"/>
      <c r="B120" s="54">
        <f t="shared" si="10"/>
        <v>53</v>
      </c>
      <c r="C120" s="8" t="s">
        <v>170</v>
      </c>
      <c r="D120" s="3"/>
      <c r="E120" s="31"/>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row>
    <row r="121" spans="1:38" outlineLevel="1" x14ac:dyDescent="0.2">
      <c r="A121" s="3"/>
      <c r="B121" s="54">
        <f t="shared" si="10"/>
        <v>54</v>
      </c>
      <c r="C121" s="8" t="s">
        <v>171</v>
      </c>
      <c r="D121" s="3"/>
      <c r="E121" s="31"/>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row>
    <row r="122" spans="1:38" outlineLevel="1" x14ac:dyDescent="0.2">
      <c r="A122" s="3"/>
      <c r="B122" s="54">
        <f t="shared" si="10"/>
        <v>55</v>
      </c>
      <c r="C122" s="8" t="s">
        <v>172</v>
      </c>
      <c r="D122" s="3"/>
      <c r="E122" s="31"/>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row>
    <row r="123" spans="1:38" outlineLevel="1" x14ac:dyDescent="0.2">
      <c r="A123" s="3"/>
      <c r="B123" s="54">
        <f t="shared" si="10"/>
        <v>56</v>
      </c>
      <c r="C123" s="8" t="s">
        <v>173</v>
      </c>
      <c r="D123" s="3"/>
      <c r="E123" s="31"/>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row>
    <row r="124" spans="1:38" outlineLevel="1" x14ac:dyDescent="0.2">
      <c r="A124" s="3"/>
      <c r="B124" s="54">
        <f t="shared" si="10"/>
        <v>57</v>
      </c>
      <c r="C124" s="8" t="s">
        <v>174</v>
      </c>
      <c r="D124" s="3"/>
      <c r="E124" s="31"/>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row>
    <row r="125" spans="1:38" outlineLevel="1" x14ac:dyDescent="0.2">
      <c r="A125" s="3"/>
      <c r="B125" s="54">
        <f t="shared" si="10"/>
        <v>58</v>
      </c>
      <c r="C125" s="8" t="s">
        <v>175</v>
      </c>
      <c r="D125" s="3"/>
      <c r="E125" s="31"/>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row>
    <row r="126" spans="1:38" outlineLevel="1" x14ac:dyDescent="0.2">
      <c r="A126" s="3"/>
      <c r="B126" s="54">
        <f t="shared" si="10"/>
        <v>59</v>
      </c>
      <c r="C126" s="8" t="s">
        <v>176</v>
      </c>
      <c r="D126" s="3"/>
      <c r="E126" s="31"/>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row>
    <row r="127" spans="1:38" outlineLevel="1" x14ac:dyDescent="0.2">
      <c r="A127" s="3"/>
      <c r="B127" s="54">
        <f t="shared" si="10"/>
        <v>60</v>
      </c>
      <c r="C127" s="8" t="s">
        <v>177</v>
      </c>
      <c r="D127" s="3"/>
      <c r="E127" s="31"/>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row>
    <row r="128" spans="1:38" outlineLevel="1" x14ac:dyDescent="0.2">
      <c r="A128" s="3"/>
      <c r="B128" s="54">
        <f t="shared" si="10"/>
        <v>61</v>
      </c>
      <c r="C128" s="8" t="s">
        <v>178</v>
      </c>
      <c r="D128" s="3"/>
      <c r="E128" s="31"/>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spans="1:38" outlineLevel="1" x14ac:dyDescent="0.2">
      <c r="A129" s="3"/>
      <c r="B129" s="54">
        <f t="shared" si="10"/>
        <v>62</v>
      </c>
      <c r="C129" s="8" t="s">
        <v>179</v>
      </c>
      <c r="D129" s="3"/>
      <c r="E129" s="31"/>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row>
    <row r="130" spans="1:38" outlineLevel="1" x14ac:dyDescent="0.2">
      <c r="A130" s="3"/>
      <c r="B130" s="54">
        <f t="shared" si="10"/>
        <v>63</v>
      </c>
      <c r="C130" s="8" t="s">
        <v>180</v>
      </c>
      <c r="D130" s="3"/>
      <c r="E130" s="31"/>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row>
    <row r="131" spans="1:38" outlineLevel="1" x14ac:dyDescent="0.2">
      <c r="A131" s="3"/>
      <c r="B131" s="54">
        <f t="shared" si="10"/>
        <v>64</v>
      </c>
      <c r="C131" s="8" t="s">
        <v>181</v>
      </c>
      <c r="D131" s="3"/>
      <c r="E131" s="31"/>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row>
    <row r="132" spans="1:38" outlineLevel="1" x14ac:dyDescent="0.2">
      <c r="A132" s="3"/>
      <c r="B132" s="54">
        <f t="shared" si="10"/>
        <v>65</v>
      </c>
      <c r="C132" s="8" t="s">
        <v>182</v>
      </c>
      <c r="D132" s="3"/>
      <c r="E132" s="3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row>
    <row r="133" spans="1:38" outlineLevel="1" x14ac:dyDescent="0.2">
      <c r="A133" s="3"/>
      <c r="B133" s="54">
        <f t="shared" ref="B133:B164" si="11">B132+1</f>
        <v>66</v>
      </c>
      <c r="C133" s="8" t="s">
        <v>183</v>
      </c>
      <c r="D133" s="3"/>
      <c r="E133" s="3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row>
    <row r="134" spans="1:38" outlineLevel="1" x14ac:dyDescent="0.2">
      <c r="A134" s="3"/>
      <c r="B134" s="54">
        <f t="shared" si="11"/>
        <v>67</v>
      </c>
      <c r="C134" s="8" t="s">
        <v>184</v>
      </c>
      <c r="D134" s="3"/>
      <c r="E134" s="3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row>
    <row r="135" spans="1:38" outlineLevel="1" x14ac:dyDescent="0.2">
      <c r="A135" s="3"/>
      <c r="B135" s="54">
        <f t="shared" si="11"/>
        <v>68</v>
      </c>
      <c r="C135" s="8" t="s">
        <v>185</v>
      </c>
      <c r="D135" s="3"/>
      <c r="E135" s="31"/>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row>
    <row r="136" spans="1:38" outlineLevel="1" x14ac:dyDescent="0.2">
      <c r="A136" s="3"/>
      <c r="B136" s="54">
        <f t="shared" si="11"/>
        <v>69</v>
      </c>
      <c r="C136" s="8" t="s">
        <v>186</v>
      </c>
      <c r="D136" s="3"/>
      <c r="E136" s="31"/>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row>
    <row r="137" spans="1:38" outlineLevel="1" x14ac:dyDescent="0.2">
      <c r="A137" s="3"/>
      <c r="B137" s="54">
        <f t="shared" si="11"/>
        <v>70</v>
      </c>
      <c r="C137" s="8" t="s">
        <v>187</v>
      </c>
      <c r="D137" s="3"/>
      <c r="E137" s="3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row>
    <row r="138" spans="1:38" outlineLevel="1" x14ac:dyDescent="0.2">
      <c r="A138" s="3"/>
      <c r="B138" s="54">
        <f t="shared" si="11"/>
        <v>71</v>
      </c>
      <c r="C138" s="8" t="s">
        <v>188</v>
      </c>
      <c r="D138" s="3"/>
      <c r="E138" s="31"/>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row>
    <row r="139" spans="1:38" outlineLevel="1" x14ac:dyDescent="0.2">
      <c r="A139" s="3"/>
      <c r="B139" s="54">
        <f t="shared" si="11"/>
        <v>72</v>
      </c>
      <c r="C139" s="8" t="s">
        <v>189</v>
      </c>
      <c r="D139" s="3"/>
      <c r="E139" s="31"/>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row>
    <row r="140" spans="1:38" outlineLevel="1" x14ac:dyDescent="0.2">
      <c r="A140" s="3"/>
      <c r="B140" s="54">
        <f t="shared" si="11"/>
        <v>73</v>
      </c>
      <c r="C140" s="8" t="s">
        <v>190</v>
      </c>
      <c r="D140" s="3"/>
      <c r="E140" s="31"/>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row>
    <row r="141" spans="1:38" outlineLevel="1" x14ac:dyDescent="0.2">
      <c r="A141" s="3"/>
      <c r="B141" s="54">
        <f t="shared" si="11"/>
        <v>74</v>
      </c>
      <c r="C141" s="8" t="s">
        <v>191</v>
      </c>
      <c r="D141" s="3"/>
      <c r="E141" s="3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row>
    <row r="142" spans="1:38" outlineLevel="1" x14ac:dyDescent="0.2">
      <c r="A142" s="3"/>
      <c r="B142" s="54">
        <f t="shared" si="11"/>
        <v>75</v>
      </c>
      <c r="C142" s="8" t="s">
        <v>192</v>
      </c>
      <c r="D142" s="3"/>
      <c r="E142" s="3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row>
    <row r="143" spans="1:38" outlineLevel="1" x14ac:dyDescent="0.2">
      <c r="A143" s="3"/>
      <c r="B143" s="54">
        <f t="shared" si="11"/>
        <v>76</v>
      </c>
      <c r="C143" s="8" t="s">
        <v>193</v>
      </c>
      <c r="D143" s="3"/>
      <c r="E143" s="31"/>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row>
    <row r="144" spans="1:38" outlineLevel="1" x14ac:dyDescent="0.2">
      <c r="A144" s="3"/>
      <c r="B144" s="54">
        <f t="shared" si="11"/>
        <v>77</v>
      </c>
      <c r="C144" s="8" t="s">
        <v>194</v>
      </c>
      <c r="D144" s="3"/>
      <c r="E144" s="31"/>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row>
    <row r="145" spans="1:38" outlineLevel="1" x14ac:dyDescent="0.2">
      <c r="A145" s="3"/>
      <c r="B145" s="54">
        <f t="shared" si="11"/>
        <v>78</v>
      </c>
      <c r="C145" s="8" t="s">
        <v>949</v>
      </c>
      <c r="D145" s="3"/>
      <c r="E145" s="31"/>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row>
    <row r="146" spans="1:38" outlineLevel="1" x14ac:dyDescent="0.2">
      <c r="A146" s="3"/>
      <c r="B146" s="54">
        <f t="shared" si="11"/>
        <v>79</v>
      </c>
      <c r="C146" s="8" t="s">
        <v>195</v>
      </c>
      <c r="D146" s="3"/>
      <c r="E146" s="31"/>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spans="1:38" outlineLevel="1" x14ac:dyDescent="0.2">
      <c r="A147" s="3"/>
      <c r="B147" s="54">
        <f t="shared" si="11"/>
        <v>80</v>
      </c>
      <c r="C147" s="8" t="s">
        <v>196</v>
      </c>
      <c r="D147" s="3"/>
      <c r="E147" s="31"/>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spans="1:38" outlineLevel="1" x14ac:dyDescent="0.2">
      <c r="A148" s="3"/>
      <c r="B148" s="54">
        <f t="shared" si="11"/>
        <v>81</v>
      </c>
      <c r="C148" s="8" t="s">
        <v>197</v>
      </c>
      <c r="D148" s="3"/>
      <c r="E148" s="31"/>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spans="1:38" outlineLevel="1" x14ac:dyDescent="0.2">
      <c r="A149" s="3"/>
      <c r="B149" s="54">
        <f t="shared" si="11"/>
        <v>82</v>
      </c>
      <c r="C149" s="8" t="s">
        <v>198</v>
      </c>
      <c r="D149" s="3"/>
      <c r="E149" s="31"/>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row>
    <row r="150" spans="1:38" outlineLevel="1" x14ac:dyDescent="0.2">
      <c r="A150" s="3"/>
      <c r="B150" s="54">
        <f t="shared" si="11"/>
        <v>83</v>
      </c>
      <c r="C150" s="8" t="s">
        <v>199</v>
      </c>
      <c r="D150" s="3"/>
      <c r="E150" s="31"/>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row>
    <row r="151" spans="1:38" outlineLevel="1" x14ac:dyDescent="0.2">
      <c r="A151" s="3"/>
      <c r="B151" s="54">
        <f t="shared" si="11"/>
        <v>84</v>
      </c>
      <c r="C151" s="8" t="s">
        <v>200</v>
      </c>
      <c r="D151" s="3"/>
      <c r="E151" s="31"/>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spans="1:38" outlineLevel="1" x14ac:dyDescent="0.2">
      <c r="A152" s="3"/>
      <c r="B152" s="54">
        <f t="shared" si="11"/>
        <v>85</v>
      </c>
      <c r="C152" s="8" t="s">
        <v>201</v>
      </c>
      <c r="D152" s="3"/>
      <c r="E152" s="31"/>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spans="1:38" outlineLevel="1" x14ac:dyDescent="0.2">
      <c r="A153" s="3"/>
      <c r="B153" s="54">
        <f t="shared" si="11"/>
        <v>86</v>
      </c>
      <c r="C153" s="8" t="s">
        <v>202</v>
      </c>
      <c r="D153" s="3"/>
      <c r="E153" s="31"/>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spans="1:38" outlineLevel="1" x14ac:dyDescent="0.2">
      <c r="A154" s="3"/>
      <c r="B154" s="54">
        <f t="shared" si="11"/>
        <v>87</v>
      </c>
      <c r="C154" s="8" t="s">
        <v>203</v>
      </c>
      <c r="D154" s="3"/>
      <c r="E154" s="31"/>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spans="1:38" outlineLevel="1" x14ac:dyDescent="0.2">
      <c r="A155" s="3"/>
      <c r="B155" s="54">
        <f t="shared" si="11"/>
        <v>88</v>
      </c>
      <c r="C155" s="8" t="s">
        <v>204</v>
      </c>
      <c r="D155" s="3"/>
      <c r="E155" s="31"/>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spans="1:38" outlineLevel="1" x14ac:dyDescent="0.2">
      <c r="A156" s="3"/>
      <c r="B156" s="54">
        <f t="shared" si="11"/>
        <v>89</v>
      </c>
      <c r="C156" s="8" t="s">
        <v>205</v>
      </c>
      <c r="D156" s="3"/>
      <c r="E156" s="31"/>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spans="1:38" outlineLevel="1" x14ac:dyDescent="0.2">
      <c r="A157" s="3"/>
      <c r="B157" s="54">
        <f t="shared" si="11"/>
        <v>90</v>
      </c>
      <c r="C157" s="8" t="s">
        <v>206</v>
      </c>
      <c r="D157" s="3"/>
      <c r="E157" s="31"/>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spans="1:38" outlineLevel="1" x14ac:dyDescent="0.2">
      <c r="A158" s="3"/>
      <c r="B158" s="54">
        <f t="shared" si="11"/>
        <v>91</v>
      </c>
      <c r="C158" s="8" t="s">
        <v>207</v>
      </c>
      <c r="D158" s="3"/>
      <c r="E158" s="31"/>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spans="1:38" outlineLevel="1" x14ac:dyDescent="0.2">
      <c r="A159" s="3"/>
      <c r="B159" s="54">
        <f t="shared" si="11"/>
        <v>92</v>
      </c>
      <c r="C159" s="8" t="s">
        <v>208</v>
      </c>
      <c r="D159" s="3"/>
      <c r="E159" s="31"/>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spans="1:38" outlineLevel="1" x14ac:dyDescent="0.2">
      <c r="A160" s="3"/>
      <c r="B160" s="54">
        <f t="shared" si="11"/>
        <v>93</v>
      </c>
      <c r="C160" s="8" t="s">
        <v>209</v>
      </c>
      <c r="D160" s="3"/>
      <c r="E160" s="31"/>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spans="1:38" outlineLevel="1" x14ac:dyDescent="0.2">
      <c r="A161" s="3"/>
      <c r="B161" s="54">
        <f t="shared" si="11"/>
        <v>94</v>
      </c>
      <c r="C161" s="8" t="s">
        <v>210</v>
      </c>
      <c r="D161" s="3"/>
      <c r="E161" s="31"/>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spans="1:38" outlineLevel="1" x14ac:dyDescent="0.2">
      <c r="A162" s="3"/>
      <c r="B162" s="54">
        <f t="shared" si="11"/>
        <v>95</v>
      </c>
      <c r="C162" s="8" t="s">
        <v>211</v>
      </c>
      <c r="D162" s="3"/>
      <c r="E162" s="31"/>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spans="1:38" outlineLevel="1" x14ac:dyDescent="0.2">
      <c r="A163" s="3"/>
      <c r="B163" s="54">
        <f t="shared" si="11"/>
        <v>96</v>
      </c>
      <c r="C163" s="8" t="s">
        <v>212</v>
      </c>
      <c r="D163" s="3"/>
      <c r="E163" s="31"/>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spans="1:38" outlineLevel="1" x14ac:dyDescent="0.2">
      <c r="A164" s="3"/>
      <c r="B164" s="54">
        <f t="shared" si="11"/>
        <v>97</v>
      </c>
      <c r="C164" s="8" t="s">
        <v>213</v>
      </c>
      <c r="D164" s="3"/>
      <c r="E164" s="31"/>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spans="1:38" outlineLevel="1" x14ac:dyDescent="0.2">
      <c r="A165" s="3"/>
      <c r="B165" s="54">
        <f t="shared" ref="B165:B196" si="12">B164+1</f>
        <v>98</v>
      </c>
      <c r="C165" s="8" t="s">
        <v>214</v>
      </c>
      <c r="D165" s="3"/>
      <c r="E165" s="3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spans="1:38" outlineLevel="1" x14ac:dyDescent="0.2">
      <c r="A166" s="3"/>
      <c r="B166" s="54">
        <f t="shared" si="12"/>
        <v>99</v>
      </c>
      <c r="C166" s="8" t="s">
        <v>215</v>
      </c>
      <c r="D166" s="3"/>
      <c r="E166" s="3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row>
    <row r="167" spans="1:38" outlineLevel="1" x14ac:dyDescent="0.2">
      <c r="A167" s="3"/>
      <c r="B167" s="54">
        <f t="shared" si="12"/>
        <v>100</v>
      </c>
      <c r="C167" s="8" t="s">
        <v>216</v>
      </c>
      <c r="D167" s="3"/>
      <c r="E167" s="31"/>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spans="1:38" outlineLevel="1" x14ac:dyDescent="0.2">
      <c r="A168" s="3"/>
      <c r="B168" s="54">
        <f t="shared" si="12"/>
        <v>101</v>
      </c>
      <c r="C168" s="8" t="s">
        <v>217</v>
      </c>
      <c r="D168" s="3"/>
      <c r="E168" s="31"/>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spans="1:38" outlineLevel="1" x14ac:dyDescent="0.2">
      <c r="A169" s="3"/>
      <c r="B169" s="54">
        <f t="shared" si="12"/>
        <v>102</v>
      </c>
      <c r="C169" s="8" t="s">
        <v>218</v>
      </c>
      <c r="D169" s="3"/>
      <c r="E169" s="31"/>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row>
    <row r="170" spans="1:38" outlineLevel="1" x14ac:dyDescent="0.2">
      <c r="A170" s="3"/>
      <c r="B170" s="54">
        <f t="shared" si="12"/>
        <v>103</v>
      </c>
      <c r="C170" s="8" t="s">
        <v>219</v>
      </c>
      <c r="D170" s="3"/>
      <c r="E170" s="3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spans="1:38" outlineLevel="1" x14ac:dyDescent="0.2">
      <c r="A171" s="3"/>
      <c r="B171" s="54">
        <f t="shared" si="12"/>
        <v>104</v>
      </c>
      <c r="C171" s="8" t="s">
        <v>220</v>
      </c>
      <c r="D171" s="3"/>
      <c r="E171" s="31"/>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spans="1:38" outlineLevel="1" x14ac:dyDescent="0.2">
      <c r="A172" s="3"/>
      <c r="B172" s="54">
        <f t="shared" si="12"/>
        <v>105</v>
      </c>
      <c r="C172" s="8" t="s">
        <v>221</v>
      </c>
      <c r="D172" s="3"/>
      <c r="E172" s="31"/>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spans="1:38" outlineLevel="1" x14ac:dyDescent="0.2">
      <c r="A173" s="3"/>
      <c r="B173" s="54">
        <f t="shared" si="12"/>
        <v>106</v>
      </c>
      <c r="C173" s="8" t="s">
        <v>222</v>
      </c>
      <c r="D173" s="3"/>
      <c r="E173" s="31"/>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spans="1:38" outlineLevel="1" x14ac:dyDescent="0.2">
      <c r="A174" s="3"/>
      <c r="B174" s="54">
        <f t="shared" si="12"/>
        <v>107</v>
      </c>
      <c r="C174" s="8" t="s">
        <v>223</v>
      </c>
      <c r="D174" s="3"/>
      <c r="E174" s="31"/>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spans="1:38" outlineLevel="1" x14ac:dyDescent="0.2">
      <c r="A175" s="3"/>
      <c r="B175" s="54">
        <f t="shared" si="12"/>
        <v>108</v>
      </c>
      <c r="C175" s="8" t="s">
        <v>224</v>
      </c>
      <c r="D175" s="3"/>
      <c r="E175" s="31"/>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spans="1:38" outlineLevel="1" x14ac:dyDescent="0.2">
      <c r="A176" s="3"/>
      <c r="B176" s="54">
        <f t="shared" si="12"/>
        <v>109</v>
      </c>
      <c r="C176" s="8" t="s">
        <v>225</v>
      </c>
      <c r="D176" s="3"/>
      <c r="E176" s="3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spans="1:38" outlineLevel="1" x14ac:dyDescent="0.2">
      <c r="A177" s="3"/>
      <c r="B177" s="54">
        <f t="shared" si="12"/>
        <v>110</v>
      </c>
      <c r="C177" s="8" t="s">
        <v>226</v>
      </c>
      <c r="D177" s="3"/>
      <c r="E177" s="3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spans="1:38" outlineLevel="1" x14ac:dyDescent="0.2">
      <c r="A178" s="3"/>
      <c r="B178" s="54">
        <f t="shared" si="12"/>
        <v>111</v>
      </c>
      <c r="C178" s="8" t="s">
        <v>227</v>
      </c>
      <c r="D178" s="3"/>
      <c r="E178" s="31"/>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spans="1:38" outlineLevel="1" x14ac:dyDescent="0.2">
      <c r="A179" s="3"/>
      <c r="B179" s="54">
        <f t="shared" si="12"/>
        <v>112</v>
      </c>
      <c r="C179" s="8" t="s">
        <v>228</v>
      </c>
      <c r="D179" s="3"/>
      <c r="E179" s="31"/>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spans="1:38" outlineLevel="1" x14ac:dyDescent="0.2">
      <c r="A180" s="3"/>
      <c r="B180" s="54">
        <f t="shared" si="12"/>
        <v>113</v>
      </c>
      <c r="C180" s="8" t="s">
        <v>229</v>
      </c>
      <c r="D180" s="3"/>
      <c r="E180" s="31"/>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spans="1:38" outlineLevel="1" x14ac:dyDescent="0.2">
      <c r="A181" s="3"/>
      <c r="B181" s="54">
        <f t="shared" si="12"/>
        <v>114</v>
      </c>
      <c r="C181" s="8" t="s">
        <v>230</v>
      </c>
      <c r="D181" s="3"/>
      <c r="E181" s="3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spans="1:38" outlineLevel="1" x14ac:dyDescent="0.2">
      <c r="A182" s="3"/>
      <c r="B182" s="54">
        <f t="shared" si="12"/>
        <v>115</v>
      </c>
      <c r="C182" s="8" t="s">
        <v>231</v>
      </c>
      <c r="D182" s="3"/>
      <c r="E182" s="31"/>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spans="1:38" outlineLevel="1" x14ac:dyDescent="0.2">
      <c r="A183" s="3"/>
      <c r="B183" s="54">
        <f t="shared" si="12"/>
        <v>116</v>
      </c>
      <c r="C183" s="8" t="s">
        <v>232</v>
      </c>
      <c r="D183" s="3"/>
      <c r="E183" s="31"/>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spans="1:38" outlineLevel="1" x14ac:dyDescent="0.2">
      <c r="A184" s="3"/>
      <c r="B184" s="54">
        <f t="shared" si="12"/>
        <v>117</v>
      </c>
      <c r="C184" s="8" t="s">
        <v>233</v>
      </c>
      <c r="D184" s="3"/>
      <c r="E184" s="31"/>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spans="1:38" outlineLevel="1" x14ac:dyDescent="0.2">
      <c r="A185" s="3"/>
      <c r="B185" s="54">
        <f t="shared" si="12"/>
        <v>118</v>
      </c>
      <c r="C185" s="8" t="s">
        <v>234</v>
      </c>
      <c r="D185" s="3"/>
      <c r="E185" s="31"/>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spans="1:38" outlineLevel="1" x14ac:dyDescent="0.2">
      <c r="A186" s="3"/>
      <c r="B186" s="54">
        <f t="shared" si="12"/>
        <v>119</v>
      </c>
      <c r="C186" s="8" t="s">
        <v>235</v>
      </c>
      <c r="D186" s="3"/>
      <c r="E186" s="31"/>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spans="1:38" outlineLevel="1" x14ac:dyDescent="0.2">
      <c r="A187" s="3"/>
      <c r="B187" s="54">
        <f t="shared" si="12"/>
        <v>120</v>
      </c>
      <c r="C187" s="8" t="s">
        <v>236</v>
      </c>
      <c r="D187" s="3"/>
      <c r="E187" s="31"/>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spans="1:38" outlineLevel="1" x14ac:dyDescent="0.2">
      <c r="A188" s="3"/>
      <c r="B188" s="54">
        <f t="shared" si="12"/>
        <v>121</v>
      </c>
      <c r="C188" s="8" t="s">
        <v>237</v>
      </c>
      <c r="D188" s="3"/>
      <c r="E188" s="31"/>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spans="1:38" outlineLevel="1" x14ac:dyDescent="0.2">
      <c r="A189" s="3"/>
      <c r="B189" s="54">
        <f t="shared" si="12"/>
        <v>122</v>
      </c>
      <c r="C189" s="8" t="s">
        <v>238</v>
      </c>
      <c r="D189" s="3"/>
      <c r="E189" s="31"/>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spans="1:38" outlineLevel="1" x14ac:dyDescent="0.2">
      <c r="A190" s="3"/>
      <c r="B190" s="54">
        <f t="shared" si="12"/>
        <v>123</v>
      </c>
      <c r="C190" s="8" t="s">
        <v>239</v>
      </c>
      <c r="D190" s="3"/>
      <c r="E190" s="31"/>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spans="1:38" outlineLevel="1" x14ac:dyDescent="0.2">
      <c r="A191" s="3"/>
      <c r="B191" s="54">
        <f t="shared" si="12"/>
        <v>124</v>
      </c>
      <c r="C191" s="8" t="s">
        <v>240</v>
      </c>
      <c r="D191" s="3"/>
      <c r="E191" s="31"/>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spans="1:38" outlineLevel="1" x14ac:dyDescent="0.2">
      <c r="A192" s="3"/>
      <c r="B192" s="54">
        <f t="shared" si="12"/>
        <v>125</v>
      </c>
      <c r="C192" s="8" t="s">
        <v>241</v>
      </c>
      <c r="D192" s="3"/>
      <c r="E192" s="31"/>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spans="1:38" outlineLevel="1" x14ac:dyDescent="0.2">
      <c r="A193" s="3"/>
      <c r="B193" s="54">
        <f t="shared" si="12"/>
        <v>126</v>
      </c>
      <c r="C193" s="8" t="s">
        <v>242</v>
      </c>
      <c r="D193" s="3"/>
      <c r="E193" s="31"/>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spans="1:38" outlineLevel="1" x14ac:dyDescent="0.2">
      <c r="A194" s="3"/>
      <c r="B194" s="54">
        <f t="shared" si="12"/>
        <v>127</v>
      </c>
      <c r="C194" s="8" t="s">
        <v>243</v>
      </c>
      <c r="D194" s="3"/>
      <c r="E194" s="31"/>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spans="1:38" outlineLevel="1" x14ac:dyDescent="0.2">
      <c r="A195" s="3"/>
      <c r="B195" s="54">
        <f t="shared" si="12"/>
        <v>128</v>
      </c>
      <c r="C195" s="8" t="s">
        <v>244</v>
      </c>
      <c r="D195" s="3"/>
      <c r="E195" s="31"/>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spans="1:38" outlineLevel="1" x14ac:dyDescent="0.2">
      <c r="A196" s="3"/>
      <c r="B196" s="54">
        <f t="shared" si="12"/>
        <v>129</v>
      </c>
      <c r="C196" s="8" t="s">
        <v>956</v>
      </c>
      <c r="D196" s="3"/>
      <c r="E196" s="31"/>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spans="1:38" outlineLevel="1" x14ac:dyDescent="0.2">
      <c r="A197" s="3"/>
      <c r="B197" s="54">
        <f t="shared" ref="B197:B222" si="13">B196+1</f>
        <v>130</v>
      </c>
      <c r="C197" s="8"/>
      <c r="D197" s="3"/>
      <c r="E197" s="31"/>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spans="1:38" outlineLevel="1" x14ac:dyDescent="0.2">
      <c r="A198" s="3"/>
      <c r="B198" s="54">
        <f t="shared" si="13"/>
        <v>131</v>
      </c>
      <c r="C198" s="8"/>
      <c r="D198" s="3"/>
      <c r="E198" s="31"/>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spans="1:38" outlineLevel="1" x14ac:dyDescent="0.2">
      <c r="A199" s="3"/>
      <c r="B199" s="54">
        <f t="shared" si="13"/>
        <v>132</v>
      </c>
      <c r="C199" s="8"/>
      <c r="D199" s="3"/>
      <c r="E199" s="31"/>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spans="1:38" outlineLevel="1" x14ac:dyDescent="0.2">
      <c r="A200" s="3"/>
      <c r="B200" s="54">
        <f t="shared" si="13"/>
        <v>133</v>
      </c>
      <c r="C200" s="8"/>
      <c r="D200" s="3"/>
      <c r="E200" s="31"/>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spans="1:38" outlineLevel="1" x14ac:dyDescent="0.2">
      <c r="A201" s="3"/>
      <c r="B201" s="54">
        <f t="shared" si="13"/>
        <v>134</v>
      </c>
      <c r="C201" s="8"/>
      <c r="D201" s="3"/>
      <c r="E201" s="31"/>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spans="1:38" outlineLevel="1" x14ac:dyDescent="0.2">
      <c r="A202" s="3"/>
      <c r="B202" s="54">
        <f t="shared" si="13"/>
        <v>135</v>
      </c>
      <c r="C202" s="8"/>
      <c r="D202" s="3"/>
      <c r="E202" s="31"/>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spans="1:38" outlineLevel="1" x14ac:dyDescent="0.2">
      <c r="A203" s="3"/>
      <c r="B203" s="54">
        <f t="shared" si="13"/>
        <v>136</v>
      </c>
      <c r="C203" s="8"/>
      <c r="D203" s="3"/>
      <c r="E203" s="3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spans="1:38" outlineLevel="1" x14ac:dyDescent="0.2">
      <c r="A204" s="3"/>
      <c r="B204" s="54">
        <f t="shared" si="13"/>
        <v>137</v>
      </c>
      <c r="C204" s="8"/>
      <c r="D204" s="3"/>
      <c r="E204" s="31"/>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spans="1:38" outlineLevel="1" x14ac:dyDescent="0.2">
      <c r="A205" s="3"/>
      <c r="B205" s="54">
        <f t="shared" si="13"/>
        <v>138</v>
      </c>
      <c r="C205" s="8"/>
      <c r="D205" s="3"/>
      <c r="E205" s="31"/>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spans="1:38" outlineLevel="1" x14ac:dyDescent="0.2">
      <c r="A206" s="3"/>
      <c r="B206" s="54">
        <f t="shared" si="13"/>
        <v>139</v>
      </c>
      <c r="C206" s="8"/>
      <c r="D206" s="3"/>
      <c r="E206" s="3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spans="1:38" outlineLevel="1" x14ac:dyDescent="0.2">
      <c r="A207" s="3"/>
      <c r="B207" s="54">
        <f t="shared" si="13"/>
        <v>140</v>
      </c>
      <c r="C207" s="8"/>
      <c r="D207" s="3"/>
      <c r="E207" s="3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spans="1:38" outlineLevel="1" x14ac:dyDescent="0.2">
      <c r="A208" s="3"/>
      <c r="B208" s="54">
        <f t="shared" si="13"/>
        <v>141</v>
      </c>
      <c r="C208" s="8"/>
      <c r="D208" s="3"/>
      <c r="E208" s="31"/>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spans="1:38" outlineLevel="1" x14ac:dyDescent="0.2">
      <c r="A209" s="3"/>
      <c r="B209" s="54">
        <f t="shared" si="13"/>
        <v>142</v>
      </c>
      <c r="C209" s="8"/>
      <c r="D209" s="3"/>
      <c r="E209" s="31"/>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spans="1:38" outlineLevel="1" x14ac:dyDescent="0.2">
      <c r="A210" s="3"/>
      <c r="B210" s="54">
        <f t="shared" si="13"/>
        <v>143</v>
      </c>
      <c r="C210" s="8"/>
      <c r="D210" s="3"/>
      <c r="E210" s="31"/>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spans="1:38" outlineLevel="1" x14ac:dyDescent="0.2">
      <c r="A211" s="3"/>
      <c r="B211" s="54">
        <f t="shared" si="13"/>
        <v>144</v>
      </c>
      <c r="C211" s="8"/>
      <c r="D211" s="3"/>
      <c r="E211" s="31"/>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spans="1:38" outlineLevel="1" x14ac:dyDescent="0.2">
      <c r="A212" s="3"/>
      <c r="B212" s="54">
        <f t="shared" si="13"/>
        <v>145</v>
      </c>
      <c r="C212" s="8"/>
      <c r="D212" s="3"/>
      <c r="E212" s="3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spans="1:38" outlineLevel="1" x14ac:dyDescent="0.2">
      <c r="A213" s="3"/>
      <c r="B213" s="54">
        <f t="shared" si="13"/>
        <v>146</v>
      </c>
      <c r="C213" s="8"/>
      <c r="D213" s="3"/>
      <c r="E213" s="3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spans="1:38" outlineLevel="1" x14ac:dyDescent="0.2">
      <c r="A214" s="3"/>
      <c r="B214" s="54">
        <f t="shared" si="13"/>
        <v>147</v>
      </c>
      <c r="C214" s="8"/>
      <c r="D214" s="3"/>
      <c r="E214" s="31"/>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spans="1:38" outlineLevel="1" x14ac:dyDescent="0.2">
      <c r="A215" s="3"/>
      <c r="B215" s="54">
        <f t="shared" si="13"/>
        <v>148</v>
      </c>
      <c r="C215" s="8"/>
      <c r="D215" s="3"/>
      <c r="E215" s="3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spans="1:38" outlineLevel="1" x14ac:dyDescent="0.2">
      <c r="A216" s="3"/>
      <c r="B216" s="54">
        <f t="shared" si="13"/>
        <v>149</v>
      </c>
      <c r="C216" s="8"/>
      <c r="D216" s="3"/>
      <c r="E216" s="3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spans="1:38" outlineLevel="1" x14ac:dyDescent="0.2">
      <c r="A217" s="3"/>
      <c r="B217" s="54">
        <f t="shared" si="13"/>
        <v>150</v>
      </c>
      <c r="C217" s="8"/>
      <c r="D217" s="3"/>
      <c r="E217" s="31"/>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spans="1:38" outlineLevel="1" x14ac:dyDescent="0.2">
      <c r="A218" s="3"/>
      <c r="B218" s="54">
        <f t="shared" si="13"/>
        <v>151</v>
      </c>
      <c r="C218" s="8"/>
      <c r="D218" s="3"/>
      <c r="E218" s="31"/>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spans="1:38" outlineLevel="1" x14ac:dyDescent="0.2">
      <c r="A219" s="3"/>
      <c r="B219" s="54">
        <f t="shared" si="13"/>
        <v>152</v>
      </c>
      <c r="C219" s="8"/>
      <c r="D219" s="3"/>
      <c r="E219" s="31"/>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spans="1:38" outlineLevel="1" x14ac:dyDescent="0.2">
      <c r="A220" s="3"/>
      <c r="B220" s="54">
        <f t="shared" si="13"/>
        <v>153</v>
      </c>
      <c r="C220" s="8"/>
      <c r="D220" s="3"/>
      <c r="E220" s="31"/>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spans="1:38" outlineLevel="1" x14ac:dyDescent="0.2">
      <c r="A221" s="3"/>
      <c r="B221" s="54">
        <f t="shared" si="13"/>
        <v>154</v>
      </c>
      <c r="C221" s="8"/>
      <c r="D221" s="3"/>
      <c r="E221" s="31"/>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spans="1:38" x14ac:dyDescent="0.2">
      <c r="A222" s="3"/>
      <c r="B222" s="32">
        <f t="shared" si="13"/>
        <v>155</v>
      </c>
      <c r="C222" s="184"/>
      <c r="D222" s="30"/>
      <c r="E222" s="33"/>
      <c r="F222" s="148" t="s">
        <v>245</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spans="1:38"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spans="1:38"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spans="1:38" ht="15.75" x14ac:dyDescent="0.25">
      <c r="A225" s="3"/>
      <c r="B225" s="4" t="s">
        <v>246</v>
      </c>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spans="1:38" ht="7.5" customHeight="1" x14ac:dyDescent="0.25">
      <c r="A226" s="3"/>
      <c r="B226" s="4"/>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spans="1:38" x14ac:dyDescent="0.2">
      <c r="A227" s="3"/>
      <c r="B227" s="2" t="str">
        <f>'WS2-Proposal'!B57</f>
        <v>Is the council applying for a one-year increase (s508(2)) or a multi-year increase (s508A)?</v>
      </c>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spans="1:38" x14ac:dyDescent="0.2">
      <c r="A228" s="3"/>
      <c r="B228" s="182" t="s">
        <v>247</v>
      </c>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spans="1:38" x14ac:dyDescent="0.2">
      <c r="A229" s="3"/>
      <c r="B229" s="183" t="s">
        <v>248</v>
      </c>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spans="1:38" x14ac:dyDescent="0.2">
      <c r="A230" s="3"/>
      <c r="B230" s="26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spans="1:38" x14ac:dyDescent="0.2">
      <c r="A231" s="3"/>
      <c r="B231" s="16"/>
      <c r="C231" s="16"/>
      <c r="D231" s="16"/>
      <c r="E231" s="16"/>
      <c r="F231" s="16"/>
      <c r="G231" s="16"/>
      <c r="H231" s="16"/>
      <c r="I231" s="16"/>
      <c r="J231" s="16"/>
      <c r="K231" s="16"/>
      <c r="L231" s="16"/>
      <c r="M231" s="16"/>
      <c r="N231" s="16"/>
      <c r="O231" s="16"/>
      <c r="P231" s="16"/>
      <c r="Q231" s="3"/>
      <c r="R231" s="3"/>
      <c r="S231" s="3"/>
      <c r="T231" s="3"/>
      <c r="U231" s="3"/>
      <c r="V231" s="3"/>
      <c r="W231" s="3"/>
      <c r="X231" s="3"/>
      <c r="Y231" s="3"/>
      <c r="Z231" s="3"/>
      <c r="AA231" s="3"/>
      <c r="AB231" s="3"/>
      <c r="AC231" s="3"/>
      <c r="AD231" s="3"/>
      <c r="AE231" s="3"/>
      <c r="AF231" s="3"/>
      <c r="AG231" s="3"/>
      <c r="AH231" s="3"/>
      <c r="AI231" s="3"/>
      <c r="AJ231" s="3"/>
      <c r="AK231" s="3"/>
      <c r="AL231" s="3"/>
    </row>
    <row r="232" spans="1:38" x14ac:dyDescent="0.2">
      <c r="A232" s="3"/>
      <c r="B232" s="38" t="str">
        <f>'WS2-Proposal'!B58</f>
        <v>For s508A applications: for how many years is the council requesting % increases as part of this application?</v>
      </c>
      <c r="C232" s="3"/>
      <c r="D232" s="3"/>
      <c r="E232" s="3"/>
      <c r="F232" s="3"/>
      <c r="G232" s="3"/>
      <c r="H232" s="3"/>
      <c r="I232" s="3" t="s">
        <v>249</v>
      </c>
      <c r="J232" s="3"/>
      <c r="K232" s="16"/>
      <c r="L232" s="16"/>
      <c r="M232" s="16"/>
      <c r="N232" s="16"/>
      <c r="O232" s="16"/>
      <c r="P232" s="16"/>
      <c r="Q232" s="3"/>
      <c r="R232" s="3"/>
      <c r="S232" s="3"/>
      <c r="T232" s="3"/>
      <c r="U232" s="3"/>
      <c r="V232" s="3"/>
      <c r="W232" s="3"/>
      <c r="X232" s="3"/>
      <c r="Y232" s="3"/>
      <c r="Z232" s="3"/>
      <c r="AA232" s="3"/>
      <c r="AB232" s="3"/>
      <c r="AC232" s="3"/>
      <c r="AD232" s="3"/>
      <c r="AE232" s="3"/>
      <c r="AF232" s="3"/>
      <c r="AG232" s="3"/>
      <c r="AH232" s="3"/>
      <c r="AI232" s="3"/>
      <c r="AJ232" s="3"/>
      <c r="AK232" s="3"/>
      <c r="AL232" s="3"/>
    </row>
    <row r="233" spans="1:38" x14ac:dyDescent="0.2">
      <c r="A233" s="3"/>
      <c r="B233" s="312"/>
      <c r="C233" s="283" t="s">
        <v>250</v>
      </c>
      <c r="D233" s="400" t="s">
        <v>251</v>
      </c>
      <c r="E233" s="450" t="s">
        <v>252</v>
      </c>
      <c r="F233" s="3"/>
      <c r="G233" s="3"/>
      <c r="H233" s="3"/>
      <c r="I233" s="312"/>
      <c r="J233" s="283" t="s">
        <v>250</v>
      </c>
      <c r="K233" s="400" t="s">
        <v>251</v>
      </c>
      <c r="L233" s="450" t="s">
        <v>252</v>
      </c>
      <c r="M233" s="16"/>
      <c r="N233" s="16"/>
      <c r="O233" s="16"/>
      <c r="P233" s="16"/>
      <c r="Q233" s="3"/>
      <c r="R233" s="3"/>
      <c r="S233" s="3"/>
      <c r="T233" s="3"/>
      <c r="U233" s="3"/>
      <c r="V233" s="3"/>
      <c r="W233" s="3"/>
      <c r="X233" s="3"/>
      <c r="Y233" s="3"/>
      <c r="Z233" s="3"/>
      <c r="AA233" s="3"/>
      <c r="AB233" s="3"/>
      <c r="AC233" s="3"/>
      <c r="AD233" s="3"/>
      <c r="AE233" s="3"/>
      <c r="AF233" s="3"/>
      <c r="AG233" s="3"/>
      <c r="AH233" s="3"/>
      <c r="AI233" s="3"/>
      <c r="AJ233" s="3"/>
      <c r="AK233" s="3"/>
      <c r="AL233" s="3"/>
    </row>
    <row r="234" spans="1:38" x14ac:dyDescent="0.2">
      <c r="A234" s="3"/>
      <c r="B234" s="32"/>
      <c r="C234" s="180" t="s">
        <v>253</v>
      </c>
      <c r="D234" s="159"/>
      <c r="E234" s="33"/>
      <c r="F234" s="3"/>
      <c r="G234" s="3"/>
      <c r="H234" s="3"/>
      <c r="I234" s="32"/>
      <c r="J234" s="180" t="s">
        <v>253</v>
      </c>
      <c r="K234" s="159"/>
      <c r="L234" s="33"/>
      <c r="M234" s="16"/>
      <c r="N234" s="16"/>
      <c r="O234" s="16"/>
      <c r="P234" s="16"/>
      <c r="Q234" s="3"/>
      <c r="R234" s="3"/>
      <c r="S234" s="3"/>
      <c r="T234" s="3"/>
      <c r="U234" s="3"/>
      <c r="V234" s="3"/>
      <c r="W234" s="3"/>
      <c r="X234" s="3"/>
      <c r="Y234" s="3"/>
      <c r="Z234" s="3"/>
      <c r="AA234" s="3"/>
      <c r="AB234" s="3"/>
      <c r="AC234" s="3"/>
      <c r="AD234" s="3"/>
      <c r="AE234" s="3"/>
      <c r="AF234" s="3"/>
      <c r="AG234" s="3"/>
      <c r="AH234" s="3"/>
      <c r="AI234" s="3"/>
      <c r="AJ234" s="3"/>
      <c r="AK234" s="3"/>
      <c r="AL234" s="3"/>
    </row>
    <row r="235" spans="1:38" x14ac:dyDescent="0.2">
      <c r="A235" s="3"/>
      <c r="B235" s="312"/>
      <c r="C235" s="282"/>
      <c r="D235" s="400"/>
      <c r="E235" s="540" t="s">
        <v>254</v>
      </c>
      <c r="F235" s="3"/>
      <c r="G235" s="3"/>
      <c r="H235" s="3"/>
      <c r="I235" s="312"/>
      <c r="J235" s="282"/>
      <c r="K235" s="19">
        <v>1</v>
      </c>
      <c r="L235" s="31" t="str">
        <f t="shared" ref="L235:L241" si="14">K235&amp;$C$234</f>
        <v>1 years</v>
      </c>
      <c r="M235" s="16"/>
      <c r="N235" s="16"/>
      <c r="O235" s="16"/>
      <c r="P235" s="16"/>
      <c r="Q235" s="3"/>
      <c r="R235" s="3"/>
      <c r="S235" s="3"/>
      <c r="T235" s="3"/>
      <c r="U235" s="3"/>
      <c r="V235" s="3"/>
      <c r="W235" s="3"/>
      <c r="X235" s="3"/>
      <c r="Y235" s="3"/>
      <c r="Z235" s="3"/>
      <c r="AA235" s="3"/>
      <c r="AB235" s="3"/>
      <c r="AC235" s="3"/>
      <c r="AD235" s="3"/>
      <c r="AE235" s="3"/>
      <c r="AF235" s="3"/>
      <c r="AG235" s="3"/>
      <c r="AH235" s="3"/>
      <c r="AI235" s="3"/>
      <c r="AJ235" s="3"/>
      <c r="AK235" s="3"/>
      <c r="AL235" s="3"/>
    </row>
    <row r="236" spans="1:38" x14ac:dyDescent="0.2">
      <c r="A236" s="3"/>
      <c r="B236" s="54"/>
      <c r="C236" s="3"/>
      <c r="D236" s="19">
        <f t="array" ref="D236:D241">TRANSPOSE(L54:Q54)</f>
        <v>2</v>
      </c>
      <c r="E236" s="31" t="str">
        <f t="shared" ref="E236:E241" si="15">D236&amp;$C$234</f>
        <v>2 years</v>
      </c>
      <c r="F236" s="3"/>
      <c r="G236" s="3"/>
      <c r="H236" s="3"/>
      <c r="I236" s="54"/>
      <c r="J236" s="3"/>
      <c r="K236" s="19">
        <v>2</v>
      </c>
      <c r="L236" s="31" t="str">
        <f t="shared" si="14"/>
        <v>2 years</v>
      </c>
      <c r="M236" s="16"/>
      <c r="N236" s="16"/>
      <c r="O236" s="16"/>
      <c r="P236" s="16"/>
      <c r="Q236" s="3"/>
      <c r="R236" s="3"/>
      <c r="S236" s="3"/>
      <c r="T236" s="3"/>
      <c r="U236" s="3"/>
      <c r="V236" s="3"/>
      <c r="W236" s="3"/>
      <c r="X236" s="3"/>
      <c r="Y236" s="3"/>
      <c r="Z236" s="3"/>
      <c r="AA236" s="3"/>
      <c r="AB236" s="3"/>
      <c r="AC236" s="3"/>
      <c r="AD236" s="3"/>
      <c r="AE236" s="3"/>
      <c r="AF236" s="3"/>
      <c r="AG236" s="3"/>
      <c r="AH236" s="3"/>
      <c r="AI236" s="3"/>
      <c r="AJ236" s="3"/>
      <c r="AK236" s="3"/>
      <c r="AL236" s="3"/>
    </row>
    <row r="237" spans="1:38" x14ac:dyDescent="0.2">
      <c r="A237" s="3"/>
      <c r="B237" s="54"/>
      <c r="C237" s="3"/>
      <c r="D237" s="19">
        <v>3</v>
      </c>
      <c r="E237" s="31" t="str">
        <f t="shared" si="15"/>
        <v>3 years</v>
      </c>
      <c r="F237" s="3"/>
      <c r="G237" s="3"/>
      <c r="H237" s="3"/>
      <c r="I237" s="54"/>
      <c r="J237" s="3"/>
      <c r="K237" s="19">
        <v>3</v>
      </c>
      <c r="L237" s="31" t="str">
        <f t="shared" si="14"/>
        <v>3 years</v>
      </c>
      <c r="M237" s="16"/>
      <c r="N237" s="16"/>
      <c r="O237" s="16"/>
      <c r="P237" s="16"/>
      <c r="Q237" s="3"/>
      <c r="R237" s="3"/>
      <c r="S237" s="3"/>
      <c r="T237" s="3"/>
      <c r="U237" s="3"/>
      <c r="V237" s="3"/>
      <c r="W237" s="3"/>
      <c r="X237" s="3"/>
      <c r="Y237" s="3"/>
      <c r="Z237" s="3"/>
      <c r="AA237" s="3"/>
      <c r="AB237" s="3"/>
      <c r="AC237" s="3"/>
      <c r="AD237" s="3"/>
      <c r="AE237" s="3"/>
      <c r="AF237" s="3"/>
      <c r="AG237" s="3"/>
      <c r="AH237" s="3"/>
      <c r="AI237" s="3"/>
      <c r="AJ237" s="3"/>
      <c r="AK237" s="3"/>
      <c r="AL237" s="3"/>
    </row>
    <row r="238" spans="1:38" x14ac:dyDescent="0.2">
      <c r="A238" s="3"/>
      <c r="B238" s="54"/>
      <c r="C238" s="3"/>
      <c r="D238" s="19">
        <v>4</v>
      </c>
      <c r="E238" s="31" t="str">
        <f t="shared" si="15"/>
        <v>4 years</v>
      </c>
      <c r="F238" s="3"/>
      <c r="G238" s="3"/>
      <c r="H238" s="3"/>
      <c r="I238" s="54"/>
      <c r="J238" s="3"/>
      <c r="K238" s="19">
        <v>4</v>
      </c>
      <c r="L238" s="31" t="str">
        <f t="shared" si="14"/>
        <v>4 years</v>
      </c>
      <c r="M238" s="16"/>
      <c r="N238" s="16"/>
      <c r="O238" s="16"/>
      <c r="P238" s="16"/>
      <c r="Q238" s="3"/>
      <c r="R238" s="3"/>
      <c r="S238" s="3"/>
      <c r="T238" s="3"/>
      <c r="U238" s="3"/>
      <c r="V238" s="3"/>
      <c r="W238" s="3"/>
      <c r="X238" s="3"/>
      <c r="Y238" s="3"/>
      <c r="Z238" s="3"/>
      <c r="AA238" s="3"/>
      <c r="AB238" s="3"/>
      <c r="AC238" s="3"/>
      <c r="AD238" s="3"/>
      <c r="AE238" s="3"/>
      <c r="AF238" s="3"/>
      <c r="AG238" s="3"/>
      <c r="AH238" s="3"/>
      <c r="AI238" s="3"/>
      <c r="AJ238" s="3"/>
      <c r="AK238" s="3"/>
      <c r="AL238" s="3"/>
    </row>
    <row r="239" spans="1:38" x14ac:dyDescent="0.2">
      <c r="A239" s="3"/>
      <c r="B239" s="54"/>
      <c r="C239" s="3"/>
      <c r="D239" s="19">
        <v>5</v>
      </c>
      <c r="E239" s="31" t="str">
        <f t="shared" si="15"/>
        <v>5 years</v>
      </c>
      <c r="F239" s="3"/>
      <c r="G239" s="3"/>
      <c r="H239" s="3"/>
      <c r="I239" s="54"/>
      <c r="J239" s="3"/>
      <c r="K239" s="19">
        <v>5</v>
      </c>
      <c r="L239" s="31" t="str">
        <f t="shared" si="14"/>
        <v>5 years</v>
      </c>
      <c r="M239" s="16"/>
      <c r="N239" s="16"/>
      <c r="O239" s="16"/>
      <c r="P239" s="16"/>
      <c r="Q239" s="3"/>
      <c r="R239" s="3"/>
      <c r="S239" s="3"/>
      <c r="T239" s="3"/>
      <c r="U239" s="3"/>
      <c r="V239" s="3"/>
      <c r="W239" s="3"/>
      <c r="X239" s="3"/>
      <c r="Y239" s="3"/>
      <c r="Z239" s="3"/>
      <c r="AA239" s="3"/>
      <c r="AB239" s="3"/>
      <c r="AC239" s="3"/>
      <c r="AD239" s="3"/>
      <c r="AE239" s="3"/>
      <c r="AF239" s="3"/>
      <c r="AG239" s="3"/>
      <c r="AH239" s="3"/>
      <c r="AI239" s="3"/>
      <c r="AJ239" s="3"/>
      <c r="AK239" s="3"/>
      <c r="AL239" s="3"/>
    </row>
    <row r="240" spans="1:38" x14ac:dyDescent="0.2">
      <c r="A240" s="3"/>
      <c r="B240" s="54"/>
      <c r="C240" s="3"/>
      <c r="D240" s="19">
        <v>6</v>
      </c>
      <c r="E240" s="31" t="str">
        <f t="shared" si="15"/>
        <v>6 years</v>
      </c>
      <c r="F240" s="3"/>
      <c r="G240" s="3"/>
      <c r="H240" s="3"/>
      <c r="I240" s="54"/>
      <c r="J240" s="3"/>
      <c r="K240" s="19">
        <v>6</v>
      </c>
      <c r="L240" s="31" t="str">
        <f t="shared" si="14"/>
        <v>6 years</v>
      </c>
      <c r="M240" s="16"/>
      <c r="N240" s="16"/>
      <c r="O240" s="16"/>
      <c r="P240" s="16"/>
      <c r="Q240" s="3"/>
      <c r="R240" s="3"/>
      <c r="S240" s="3"/>
      <c r="T240" s="3"/>
      <c r="U240" s="3"/>
      <c r="V240" s="3"/>
      <c r="W240" s="3"/>
      <c r="X240" s="3"/>
      <c r="Y240" s="3"/>
      <c r="Z240" s="3"/>
      <c r="AA240" s="3"/>
      <c r="AB240" s="3"/>
      <c r="AC240" s="3"/>
      <c r="AD240" s="3"/>
      <c r="AE240" s="3"/>
      <c r="AF240" s="3"/>
      <c r="AG240" s="3"/>
      <c r="AH240" s="3"/>
      <c r="AI240" s="3"/>
      <c r="AJ240" s="3"/>
      <c r="AK240" s="3"/>
      <c r="AL240" s="3"/>
    </row>
    <row r="241" spans="1:38" x14ac:dyDescent="0.2">
      <c r="A241" s="3"/>
      <c r="B241" s="32"/>
      <c r="C241" s="30"/>
      <c r="D241" s="159">
        <v>7</v>
      </c>
      <c r="E241" s="33" t="str">
        <f t="shared" si="15"/>
        <v>7 years</v>
      </c>
      <c r="F241" s="3"/>
      <c r="G241" s="3"/>
      <c r="H241" s="3"/>
      <c r="I241" s="32"/>
      <c r="J241" s="30"/>
      <c r="K241" s="159">
        <v>7</v>
      </c>
      <c r="L241" s="33" t="str">
        <f t="shared" si="14"/>
        <v>7 years</v>
      </c>
      <c r="M241" s="16"/>
      <c r="N241" s="16"/>
      <c r="O241" s="16"/>
      <c r="P241" s="16"/>
      <c r="Q241" s="3"/>
      <c r="R241" s="3"/>
      <c r="S241" s="3"/>
      <c r="T241" s="3"/>
      <c r="U241" s="3"/>
      <c r="V241" s="3"/>
      <c r="W241" s="3"/>
      <c r="X241" s="3"/>
      <c r="Y241" s="3"/>
      <c r="Z241" s="3"/>
      <c r="AA241" s="3"/>
      <c r="AB241" s="3"/>
      <c r="AC241" s="3"/>
      <c r="AD241" s="3"/>
      <c r="AE241" s="3"/>
      <c r="AF241" s="3"/>
      <c r="AG241" s="3"/>
      <c r="AH241" s="3"/>
      <c r="AI241" s="3"/>
      <c r="AJ241" s="3"/>
      <c r="AK241" s="3"/>
      <c r="AL241" s="3"/>
    </row>
    <row r="242" spans="1:38" x14ac:dyDescent="0.2">
      <c r="A242" s="3"/>
      <c r="B242" s="3"/>
      <c r="C242" s="3"/>
      <c r="D242" s="3"/>
      <c r="E242" s="3"/>
      <c r="F242" s="3"/>
      <c r="G242" s="3"/>
      <c r="H242" s="3"/>
      <c r="I242" s="3"/>
      <c r="J242" s="3"/>
      <c r="M242" s="16"/>
      <c r="N242" s="16"/>
      <c r="O242" s="16"/>
      <c r="P242" s="16"/>
      <c r="Q242" s="3"/>
      <c r="R242" s="3"/>
      <c r="S242" s="3"/>
      <c r="T242" s="3"/>
      <c r="U242" s="3"/>
      <c r="V242" s="3"/>
      <c r="W242" s="3"/>
      <c r="X242" s="3"/>
      <c r="Y242" s="3"/>
      <c r="Z242" s="3"/>
      <c r="AA242" s="3"/>
      <c r="AB242" s="3"/>
      <c r="AC242" s="3"/>
      <c r="AD242" s="3"/>
      <c r="AE242" s="3"/>
      <c r="AF242" s="3"/>
      <c r="AG242" s="3"/>
      <c r="AH242" s="3"/>
      <c r="AI242" s="3"/>
      <c r="AJ242" s="3"/>
      <c r="AK242" s="3"/>
      <c r="AL242" s="3"/>
    </row>
    <row r="243" spans="1:38" x14ac:dyDescent="0.2">
      <c r="A243" s="3"/>
      <c r="B243" s="2" t="str">
        <f>'WS2-Proposal'!B59</f>
        <v xml:space="preserve">For s508A &amp; s508(2) applications: is the special variation permanent or temporary?   </v>
      </c>
      <c r="C243" s="3"/>
      <c r="D243" s="16"/>
      <c r="E243" s="16"/>
      <c r="F243" s="16"/>
      <c r="G243" s="16"/>
      <c r="H243" s="16"/>
      <c r="I243" s="16"/>
      <c r="J243" s="16"/>
      <c r="K243" s="16"/>
      <c r="L243" s="16"/>
      <c r="M243" s="16"/>
      <c r="N243" s="16"/>
      <c r="O243" s="16"/>
      <c r="P243" s="16"/>
      <c r="Q243" s="3"/>
      <c r="R243" s="3"/>
      <c r="S243" s="3"/>
      <c r="T243" s="3"/>
      <c r="U243" s="3"/>
      <c r="V243" s="3"/>
      <c r="W243" s="3"/>
      <c r="X243" s="3"/>
      <c r="Y243" s="3"/>
      <c r="Z243" s="3"/>
      <c r="AA243" s="3"/>
      <c r="AB243" s="3"/>
      <c r="AC243" s="3"/>
      <c r="AD243" s="3"/>
      <c r="AE243" s="3"/>
      <c r="AF243" s="3"/>
      <c r="AG243" s="3"/>
      <c r="AH243" s="3"/>
      <c r="AI243" s="3"/>
      <c r="AJ243" s="3"/>
      <c r="AK243" s="3"/>
      <c r="AL243" s="3"/>
    </row>
    <row r="244" spans="1:38" ht="12.75" x14ac:dyDescent="0.2">
      <c r="A244" s="3"/>
      <c r="B244" s="182" t="s">
        <v>255</v>
      </c>
      <c r="C244" s="16"/>
      <c r="D244" s="16"/>
      <c r="E244" s="181"/>
      <c r="F244" s="16"/>
      <c r="G244" s="16"/>
      <c r="H244" s="16"/>
      <c r="I244" s="16"/>
      <c r="J244" s="16"/>
      <c r="K244" s="16"/>
      <c r="L244" s="16"/>
      <c r="M244" s="16"/>
      <c r="N244" s="16"/>
      <c r="O244" s="16"/>
      <c r="P244" s="16"/>
      <c r="Q244" s="3"/>
      <c r="R244" s="3"/>
      <c r="S244" s="3"/>
      <c r="T244" s="3"/>
      <c r="U244" s="3"/>
      <c r="V244" s="3"/>
      <c r="W244" s="3"/>
      <c r="X244" s="3"/>
      <c r="Y244" s="3"/>
      <c r="Z244" s="3"/>
      <c r="AA244" s="3"/>
      <c r="AB244" s="3"/>
      <c r="AC244" s="3"/>
      <c r="AD244" s="3"/>
      <c r="AE244" s="3"/>
      <c r="AF244" s="3"/>
      <c r="AG244" s="3"/>
      <c r="AH244" s="3"/>
      <c r="AI244" s="3"/>
      <c r="AJ244" s="3"/>
      <c r="AK244" s="3"/>
      <c r="AL244" s="3"/>
    </row>
    <row r="245" spans="1:38" x14ac:dyDescent="0.2">
      <c r="A245" s="3"/>
      <c r="B245" s="380" t="s">
        <v>256</v>
      </c>
      <c r="C245" s="16"/>
      <c r="D245" s="16"/>
      <c r="E245" s="16"/>
      <c r="F245" s="16"/>
      <c r="G245" s="16"/>
      <c r="H245" s="16"/>
      <c r="I245" s="16"/>
      <c r="J245" s="16"/>
      <c r="K245" s="16"/>
      <c r="L245" s="16"/>
      <c r="M245" s="16"/>
      <c r="N245" s="16"/>
      <c r="O245" s="16"/>
      <c r="P245" s="16"/>
      <c r="Q245" s="3"/>
      <c r="R245" s="3"/>
      <c r="S245" s="3"/>
      <c r="T245" s="3"/>
      <c r="U245" s="3"/>
      <c r="V245" s="3"/>
      <c r="W245" s="3"/>
      <c r="X245" s="3"/>
      <c r="Y245" s="3"/>
      <c r="Z245" s="3"/>
      <c r="AA245" s="3"/>
      <c r="AB245" s="3"/>
      <c r="AC245" s="3"/>
      <c r="AD245" s="3"/>
      <c r="AE245" s="3"/>
      <c r="AF245" s="3"/>
      <c r="AG245" s="3"/>
      <c r="AH245" s="3"/>
      <c r="AI245" s="3"/>
      <c r="AJ245" s="3"/>
      <c r="AK245" s="3"/>
      <c r="AL245" s="3"/>
    </row>
    <row r="246" spans="1:38" x14ac:dyDescent="0.2">
      <c r="A246" s="3"/>
      <c r="B246" s="183" t="s">
        <v>257</v>
      </c>
      <c r="C246" s="16"/>
      <c r="D246" s="16"/>
      <c r="E246" s="16"/>
      <c r="F246" s="16"/>
      <c r="G246" s="16"/>
      <c r="H246" s="16"/>
      <c r="I246" s="16"/>
      <c r="J246" s="16"/>
      <c r="K246" s="16"/>
      <c r="L246" s="16"/>
      <c r="M246" s="16"/>
      <c r="N246" s="16"/>
      <c r="O246" s="16"/>
      <c r="P246" s="16"/>
      <c r="Q246" s="3"/>
      <c r="R246" s="3"/>
      <c r="S246" s="3"/>
      <c r="T246" s="3"/>
      <c r="U246" s="3"/>
      <c r="V246" s="3"/>
      <c r="W246" s="3"/>
      <c r="X246" s="3"/>
      <c r="Y246" s="3"/>
      <c r="Z246" s="3"/>
      <c r="AA246" s="3"/>
      <c r="AB246" s="3"/>
      <c r="AC246" s="3"/>
      <c r="AD246" s="3"/>
      <c r="AE246" s="3"/>
      <c r="AF246" s="3"/>
      <c r="AG246" s="3"/>
      <c r="AH246" s="3"/>
      <c r="AI246" s="3"/>
      <c r="AJ246" s="3"/>
      <c r="AK246" s="3"/>
      <c r="AL246" s="3"/>
    </row>
    <row r="247" spans="1:38" x14ac:dyDescent="0.2">
      <c r="A247" s="3"/>
      <c r="B247" s="261"/>
      <c r="C247" s="16"/>
      <c r="D247" s="16"/>
      <c r="E247" s="16"/>
      <c r="F247" s="16"/>
      <c r="G247" s="16"/>
      <c r="H247" s="16"/>
      <c r="I247" s="16"/>
      <c r="J247" s="16"/>
      <c r="K247" s="16"/>
      <c r="L247" s="16"/>
      <c r="M247" s="16"/>
      <c r="N247" s="16"/>
      <c r="O247" s="16"/>
      <c r="P247" s="16"/>
      <c r="Q247" s="3"/>
      <c r="R247" s="3"/>
      <c r="S247" s="3"/>
      <c r="T247" s="3"/>
      <c r="U247" s="3"/>
      <c r="V247" s="3"/>
      <c r="W247" s="3"/>
      <c r="X247" s="3"/>
      <c r="Y247" s="3"/>
      <c r="Z247" s="3"/>
      <c r="AA247" s="3"/>
      <c r="AB247" s="3"/>
      <c r="AC247" s="3"/>
      <c r="AD247" s="3"/>
      <c r="AE247" s="3"/>
      <c r="AF247" s="3"/>
      <c r="AG247" s="3"/>
      <c r="AH247" s="3"/>
      <c r="AI247" s="3"/>
      <c r="AJ247" s="3"/>
      <c r="AK247" s="3"/>
      <c r="AL247" s="3"/>
    </row>
    <row r="248" spans="1:38" x14ac:dyDescent="0.2">
      <c r="A248" s="3"/>
      <c r="B248" s="262" t="str">
        <f>'WS2-Proposal'!B40</f>
        <v>Does the council have any existing SV(s) that means it has an increase above the rate peg for any year from 2024-25 (Year 1) onwards?</v>
      </c>
      <c r="C248" s="16"/>
      <c r="D248" s="16"/>
      <c r="E248" s="16"/>
      <c r="F248" s="16"/>
      <c r="G248" s="16"/>
      <c r="H248" s="16"/>
      <c r="I248" s="16"/>
      <c r="J248" s="16"/>
      <c r="K248" s="16"/>
      <c r="L248" s="16"/>
      <c r="M248" s="16"/>
      <c r="N248" s="16"/>
      <c r="O248" s="16"/>
      <c r="P248" s="16"/>
      <c r="Q248" s="3"/>
      <c r="R248" s="3"/>
      <c r="S248" s="3"/>
      <c r="T248" s="3"/>
      <c r="U248" s="3"/>
      <c r="V248" s="3"/>
      <c r="W248" s="3"/>
      <c r="X248" s="3"/>
      <c r="Y248" s="3"/>
      <c r="Z248" s="3"/>
      <c r="AA248" s="3"/>
      <c r="AB248" s="3"/>
      <c r="AC248" s="3"/>
      <c r="AD248" s="3"/>
      <c r="AE248" s="3"/>
      <c r="AF248" s="3"/>
      <c r="AG248" s="3"/>
      <c r="AH248" s="3"/>
      <c r="AI248" s="3"/>
      <c r="AJ248" s="3"/>
      <c r="AK248" s="3"/>
      <c r="AL248" s="3"/>
    </row>
    <row r="249" spans="1:38" x14ac:dyDescent="0.2">
      <c r="A249" s="3"/>
      <c r="B249" s="182" t="s">
        <v>258</v>
      </c>
      <c r="C249" s="16"/>
      <c r="D249" s="16"/>
      <c r="E249" s="16"/>
      <c r="F249" s="16"/>
      <c r="G249" s="16"/>
      <c r="H249" s="16"/>
      <c r="I249" s="16"/>
      <c r="J249" s="16"/>
      <c r="K249" s="16"/>
      <c r="L249" s="16"/>
      <c r="M249" s="16"/>
      <c r="N249" s="16"/>
      <c r="O249" s="16"/>
      <c r="P249" s="16"/>
      <c r="Q249" s="3"/>
      <c r="R249" s="3"/>
      <c r="S249" s="3"/>
      <c r="T249" s="3"/>
      <c r="U249" s="3"/>
      <c r="V249" s="3"/>
      <c r="W249" s="3"/>
      <c r="X249" s="3"/>
      <c r="Y249" s="3"/>
      <c r="Z249" s="3"/>
      <c r="AA249" s="3"/>
      <c r="AB249" s="3"/>
      <c r="AC249" s="3"/>
      <c r="AD249" s="3"/>
      <c r="AE249" s="3"/>
      <c r="AF249" s="3"/>
      <c r="AG249" s="3"/>
      <c r="AH249" s="3"/>
      <c r="AI249" s="3"/>
      <c r="AJ249" s="3"/>
      <c r="AK249" s="3"/>
      <c r="AL249" s="3"/>
    </row>
    <row r="250" spans="1:38" x14ac:dyDescent="0.2">
      <c r="A250" s="3"/>
      <c r="B250" s="183" t="s">
        <v>259</v>
      </c>
      <c r="C250" s="16"/>
      <c r="D250" s="16"/>
      <c r="E250" s="16"/>
      <c r="F250" s="16"/>
      <c r="G250" s="16"/>
      <c r="H250" s="16"/>
      <c r="I250" s="16"/>
      <c r="J250" s="16"/>
      <c r="K250" s="16"/>
      <c r="L250" s="16"/>
      <c r="M250" s="16"/>
      <c r="N250" s="16"/>
      <c r="O250" s="16"/>
      <c r="P250" s="16"/>
      <c r="Q250" s="3"/>
      <c r="R250" s="3"/>
      <c r="S250" s="3"/>
      <c r="T250" s="3"/>
      <c r="U250" s="3"/>
      <c r="V250" s="3"/>
      <c r="W250" s="3"/>
      <c r="X250" s="3"/>
      <c r="Y250" s="3"/>
      <c r="Z250" s="3"/>
      <c r="AA250" s="3"/>
      <c r="AB250" s="3"/>
      <c r="AC250" s="3"/>
      <c r="AD250" s="3"/>
      <c r="AE250" s="3"/>
      <c r="AF250" s="3"/>
      <c r="AG250" s="3"/>
      <c r="AH250" s="3"/>
      <c r="AI250" s="3"/>
      <c r="AJ250" s="3"/>
      <c r="AK250" s="3"/>
      <c r="AL250" s="3"/>
    </row>
    <row r="251" spans="1:38" x14ac:dyDescent="0.2">
      <c r="A251" s="3"/>
      <c r="B251" s="16"/>
      <c r="C251" s="16"/>
      <c r="D251" s="16"/>
      <c r="E251" s="16"/>
      <c r="F251" s="16"/>
      <c r="G251" s="16"/>
      <c r="H251" s="16"/>
      <c r="I251" s="16"/>
      <c r="J251" s="16"/>
      <c r="K251" s="16"/>
      <c r="L251" s="16"/>
      <c r="M251" s="16"/>
      <c r="N251" s="16"/>
      <c r="O251" s="16"/>
      <c r="P251" s="16"/>
      <c r="Q251" s="3"/>
      <c r="R251" s="3"/>
      <c r="S251" s="3"/>
      <c r="T251" s="3"/>
      <c r="U251" s="3"/>
      <c r="V251" s="3"/>
      <c r="W251" s="3"/>
      <c r="X251" s="3"/>
      <c r="Y251" s="3"/>
      <c r="Z251" s="3"/>
      <c r="AA251" s="3"/>
      <c r="AB251" s="3"/>
      <c r="AC251" s="3"/>
      <c r="AD251" s="3"/>
      <c r="AE251" s="3"/>
      <c r="AF251" s="3"/>
      <c r="AG251" s="3"/>
      <c r="AH251" s="3"/>
      <c r="AI251" s="3"/>
      <c r="AJ251" s="3"/>
      <c r="AK251" s="3"/>
      <c r="AL251" s="3"/>
    </row>
    <row r="252" spans="1:38" x14ac:dyDescent="0.2">
      <c r="A252" s="3"/>
      <c r="B252" s="38" t="str">
        <f>'WS2-Proposal'!B43</f>
        <v>Does the council have an expiring variation? If yes, please specify when.</v>
      </c>
      <c r="C252" s="3"/>
      <c r="D252" s="3"/>
      <c r="E252" s="3"/>
      <c r="F252" s="3"/>
      <c r="G252" s="3"/>
      <c r="H252" s="3"/>
      <c r="I252" s="3"/>
      <c r="J252" s="3"/>
      <c r="K252" s="3"/>
      <c r="L252" s="16"/>
      <c r="M252" s="16"/>
      <c r="N252" s="16"/>
      <c r="O252" s="16"/>
      <c r="P252" s="16"/>
      <c r="Q252" s="3"/>
      <c r="R252" s="3"/>
      <c r="S252" s="3"/>
      <c r="T252" s="3"/>
      <c r="U252" s="3"/>
      <c r="V252" s="3"/>
      <c r="W252" s="3"/>
      <c r="X252" s="3"/>
      <c r="Y252" s="3"/>
      <c r="Z252" s="3"/>
      <c r="AA252" s="3"/>
      <c r="AB252" s="3"/>
      <c r="AC252" s="3"/>
      <c r="AD252" s="3"/>
      <c r="AE252" s="3"/>
      <c r="AF252" s="3"/>
      <c r="AG252" s="3"/>
      <c r="AH252" s="3"/>
      <c r="AI252" s="3"/>
      <c r="AJ252" s="3"/>
      <c r="AK252" s="3"/>
      <c r="AL252" s="3"/>
    </row>
    <row r="253" spans="1:38" x14ac:dyDescent="0.2">
      <c r="A253" s="3"/>
      <c r="B253" s="312"/>
      <c r="C253" s="282"/>
      <c r="D253" s="282"/>
      <c r="E253" s="282"/>
      <c r="F253" s="282"/>
      <c r="G253" s="282"/>
      <c r="H253" s="282"/>
      <c r="I253" s="282"/>
      <c r="J253" s="348"/>
      <c r="K253" s="3"/>
      <c r="L253" s="16"/>
      <c r="M253" s="16"/>
      <c r="N253" s="16"/>
      <c r="O253" s="16"/>
      <c r="P253" s="16"/>
      <c r="Q253" s="3"/>
      <c r="R253" s="3"/>
      <c r="S253" s="3"/>
      <c r="T253" s="3"/>
      <c r="U253" s="3"/>
      <c r="V253" s="3"/>
      <c r="W253" s="3"/>
      <c r="X253" s="3"/>
      <c r="Y253" s="3"/>
      <c r="Z253" s="3"/>
      <c r="AA253" s="3"/>
      <c r="AB253" s="3"/>
      <c r="AC253" s="3"/>
      <c r="AD253" s="3"/>
      <c r="AE253" s="3"/>
      <c r="AF253" s="3"/>
      <c r="AG253" s="3"/>
      <c r="AH253" s="3"/>
      <c r="AI253" s="3"/>
      <c r="AJ253" s="3"/>
      <c r="AK253" s="3"/>
      <c r="AL253" s="3"/>
    </row>
    <row r="254" spans="1:38" x14ac:dyDescent="0.2">
      <c r="A254" s="3"/>
      <c r="B254" s="54"/>
      <c r="C254" s="16" t="s">
        <v>250</v>
      </c>
      <c r="D254" s="19" t="s">
        <v>251</v>
      </c>
      <c r="E254" s="1" t="s">
        <v>252</v>
      </c>
      <c r="F254" s="3"/>
      <c r="G254" s="3"/>
      <c r="H254" s="3" t="str">
        <f>D254</f>
        <v>Yr</v>
      </c>
      <c r="I254" s="3"/>
      <c r="J254" s="31"/>
      <c r="K254" s="3"/>
      <c r="L254" s="16"/>
      <c r="M254" s="16"/>
      <c r="N254" s="16"/>
      <c r="O254" s="16"/>
      <c r="P254" s="16"/>
      <c r="Q254" s="3"/>
      <c r="R254" s="3"/>
      <c r="S254" s="3"/>
      <c r="T254" s="3"/>
      <c r="U254" s="3"/>
      <c r="V254" s="3"/>
      <c r="W254" s="3"/>
      <c r="X254" s="3"/>
      <c r="Y254" s="3"/>
      <c r="Z254" s="3"/>
      <c r="AA254" s="3"/>
      <c r="AB254" s="3"/>
      <c r="AC254" s="3"/>
      <c r="AD254" s="3"/>
      <c r="AE254" s="3"/>
      <c r="AF254" s="3"/>
      <c r="AG254" s="3"/>
      <c r="AH254" s="3"/>
      <c r="AI254" s="3"/>
      <c r="AJ254" s="3"/>
      <c r="AK254" s="3"/>
      <c r="AL254" s="3"/>
    </row>
    <row r="255" spans="1:38" x14ac:dyDescent="0.2">
      <c r="A255" s="3"/>
      <c r="B255" s="54"/>
      <c r="C255" s="172" t="s">
        <v>260</v>
      </c>
      <c r="D255" s="3"/>
      <c r="E255" s="3" t="str">
        <f>'WS2-Proposal'!C43</f>
        <v xml:space="preserve">1st Expiring SV </v>
      </c>
      <c r="F255" s="3"/>
      <c r="G255" s="3"/>
      <c r="H255" s="3" t="str">
        <f>'WS2-Proposal'!C44</f>
        <v>2nd Expiring SV</v>
      </c>
      <c r="I255" s="3"/>
      <c r="J255" s="31"/>
      <c r="K255" s="3"/>
      <c r="L255" s="16"/>
      <c r="M255" s="16"/>
      <c r="N255" s="16"/>
      <c r="O255" s="16"/>
      <c r="P255" s="16"/>
      <c r="Q255" s="3"/>
      <c r="R255" s="3"/>
      <c r="S255" s="3"/>
      <c r="T255" s="3"/>
      <c r="U255" s="3"/>
      <c r="V255" s="3"/>
      <c r="W255" s="3"/>
      <c r="X255" s="3"/>
      <c r="Y255" s="3"/>
      <c r="Z255" s="3"/>
      <c r="AA255" s="3"/>
      <c r="AB255" s="3"/>
      <c r="AC255" s="3"/>
      <c r="AD255" s="3"/>
      <c r="AE255" s="3"/>
      <c r="AF255" s="3"/>
      <c r="AG255" s="3"/>
      <c r="AH255" s="3"/>
      <c r="AI255" s="3"/>
      <c r="AJ255" s="3"/>
      <c r="AK255" s="3"/>
      <c r="AL255" s="3"/>
    </row>
    <row r="256" spans="1:38" x14ac:dyDescent="0.2">
      <c r="A256" s="3"/>
      <c r="B256" s="54"/>
      <c r="C256" s="172" t="s">
        <v>261</v>
      </c>
      <c r="D256" s="3"/>
      <c r="E256" s="3"/>
      <c r="F256" s="3"/>
      <c r="G256" s="3"/>
      <c r="H256" s="3"/>
      <c r="I256" s="3"/>
      <c r="J256" s="31"/>
      <c r="K256" s="3"/>
      <c r="L256" s="16"/>
      <c r="M256" s="16"/>
      <c r="N256" s="16"/>
      <c r="O256" s="16"/>
      <c r="P256" s="16"/>
      <c r="Q256" s="3"/>
      <c r="R256" s="3"/>
      <c r="S256" s="3"/>
      <c r="T256" s="3"/>
      <c r="U256" s="3"/>
      <c r="V256" s="3"/>
      <c r="W256" s="3"/>
      <c r="X256" s="3"/>
      <c r="Y256" s="3"/>
      <c r="Z256" s="3"/>
      <c r="AA256" s="3"/>
      <c r="AB256" s="3"/>
      <c r="AC256" s="3"/>
      <c r="AD256" s="3"/>
      <c r="AE256" s="3"/>
      <c r="AF256" s="3"/>
      <c r="AG256" s="3"/>
      <c r="AH256" s="3"/>
      <c r="AI256" s="3"/>
      <c r="AJ256" s="3"/>
      <c r="AK256" s="3"/>
      <c r="AL256" s="3"/>
    </row>
    <row r="257" spans="1:38" x14ac:dyDescent="0.2">
      <c r="A257" s="3"/>
      <c r="B257" s="32"/>
      <c r="C257" s="180" t="s">
        <v>262</v>
      </c>
      <c r="D257" s="30"/>
      <c r="E257" s="30"/>
      <c r="F257" s="30"/>
      <c r="G257" s="30"/>
      <c r="H257" s="30"/>
      <c r="I257" s="30"/>
      <c r="J257" s="33"/>
      <c r="K257" s="3"/>
      <c r="L257" s="16"/>
      <c r="M257" s="16"/>
      <c r="N257" s="16"/>
      <c r="O257" s="16"/>
      <c r="P257" s="16"/>
      <c r="Q257" s="3"/>
      <c r="R257" s="3"/>
      <c r="S257" s="3"/>
      <c r="T257" s="3"/>
      <c r="U257" s="3"/>
      <c r="V257" s="3"/>
      <c r="W257" s="3"/>
      <c r="X257" s="3"/>
      <c r="Y257" s="3"/>
      <c r="Z257" s="3"/>
      <c r="AA257" s="3"/>
      <c r="AB257" s="3"/>
      <c r="AC257" s="3"/>
      <c r="AD257" s="3"/>
      <c r="AE257" s="3"/>
      <c r="AF257" s="3"/>
      <c r="AG257" s="3"/>
      <c r="AH257" s="3"/>
      <c r="AI257" s="3"/>
      <c r="AJ257" s="3"/>
      <c r="AK257" s="3"/>
      <c r="AL257" s="3"/>
    </row>
    <row r="258" spans="1:38" x14ac:dyDescent="0.2">
      <c r="A258" s="3"/>
      <c r="B258" s="54"/>
      <c r="C258" s="3"/>
      <c r="D258" s="3"/>
      <c r="E258" s="172" t="s">
        <v>254</v>
      </c>
      <c r="F258" s="3"/>
      <c r="G258" s="3"/>
      <c r="H258" s="172" t="s">
        <v>254</v>
      </c>
      <c r="I258" s="3"/>
      <c r="J258" s="31"/>
      <c r="K258" s="3"/>
      <c r="L258" s="16"/>
      <c r="M258" s="16"/>
      <c r="N258" s="16"/>
      <c r="O258" s="16"/>
      <c r="P258" s="16"/>
      <c r="Q258" s="3"/>
      <c r="R258" s="3"/>
      <c r="S258" s="3"/>
      <c r="T258" s="3"/>
      <c r="U258" s="3"/>
      <c r="V258" s="3"/>
      <c r="W258" s="3"/>
      <c r="X258" s="3"/>
      <c r="Y258" s="3"/>
      <c r="Z258" s="3"/>
      <c r="AA258" s="3"/>
      <c r="AB258" s="3"/>
      <c r="AC258" s="3"/>
      <c r="AD258" s="3"/>
      <c r="AE258" s="3"/>
      <c r="AF258" s="3"/>
      <c r="AG258" s="3"/>
      <c r="AH258" s="3"/>
      <c r="AI258" s="3"/>
      <c r="AJ258" s="3"/>
      <c r="AK258" s="3"/>
      <c r="AL258" s="3"/>
    </row>
    <row r="259" spans="1:38" x14ac:dyDescent="0.2">
      <c r="A259" s="3"/>
      <c r="B259" s="54"/>
      <c r="C259" s="3">
        <f t="array" ref="C259:C266">TRANSPOSE($K$57:$T$57)</f>
        <v>2024</v>
      </c>
      <c r="D259" s="3"/>
      <c r="E259" s="1" t="str">
        <f>$C$255&amp;C259&amp;$C$257</f>
        <v>Yes - 30 June 2024 expiry</v>
      </c>
      <c r="F259" s="3"/>
      <c r="G259" s="3"/>
      <c r="H259" s="1" t="str">
        <f>$C$256&amp;C259&amp;$C$257</f>
        <v>&amp; 30 June 2024 expiry</v>
      </c>
      <c r="I259" s="3"/>
      <c r="J259" s="31"/>
      <c r="K259" s="3"/>
      <c r="L259" s="16"/>
      <c r="M259" s="16"/>
      <c r="N259" s="16"/>
      <c r="O259" s="16"/>
      <c r="P259" s="16"/>
      <c r="Q259" s="3"/>
      <c r="R259" s="3"/>
      <c r="S259" s="3"/>
      <c r="T259" s="3"/>
      <c r="U259" s="3"/>
      <c r="V259" s="3"/>
      <c r="W259" s="3"/>
      <c r="X259" s="3"/>
      <c r="Y259" s="3"/>
      <c r="Z259" s="3"/>
      <c r="AA259" s="3"/>
      <c r="AB259" s="3"/>
      <c r="AC259" s="3"/>
      <c r="AD259" s="3"/>
      <c r="AE259" s="3"/>
      <c r="AF259" s="3"/>
      <c r="AG259" s="3"/>
      <c r="AH259" s="3"/>
      <c r="AI259" s="3"/>
      <c r="AJ259" s="3"/>
      <c r="AK259" s="3"/>
      <c r="AL259" s="3"/>
    </row>
    <row r="260" spans="1:38" x14ac:dyDescent="0.2">
      <c r="A260" s="3"/>
      <c r="B260" s="54"/>
      <c r="C260" s="3">
        <v>2025</v>
      </c>
      <c r="D260" s="3"/>
      <c r="E260" s="1" t="str">
        <f t="shared" ref="E260:E266" si="16">$C$255&amp;C260&amp;$C$257</f>
        <v>Yes - 30 June 2025 expiry</v>
      </c>
      <c r="F260" s="3"/>
      <c r="G260" s="3"/>
      <c r="H260" s="1" t="str">
        <f t="shared" ref="H260:H266" si="17">$C$256&amp;C260&amp;$C$257</f>
        <v>&amp; 30 June 2025 expiry</v>
      </c>
      <c r="I260" s="3"/>
      <c r="J260" s="31"/>
      <c r="K260" s="3"/>
      <c r="L260" s="16"/>
      <c r="M260" s="16"/>
      <c r="N260" s="16"/>
      <c r="O260" s="16"/>
      <c r="P260" s="16"/>
      <c r="Q260" s="3"/>
      <c r="R260" s="3"/>
      <c r="S260" s="3"/>
      <c r="T260" s="3"/>
      <c r="U260" s="3"/>
      <c r="V260" s="3"/>
      <c r="W260" s="3"/>
      <c r="X260" s="3"/>
      <c r="Y260" s="3"/>
      <c r="Z260" s="3"/>
      <c r="AA260" s="3"/>
      <c r="AB260" s="3"/>
      <c r="AC260" s="3"/>
      <c r="AD260" s="3"/>
      <c r="AE260" s="3"/>
      <c r="AF260" s="3"/>
      <c r="AG260" s="3"/>
      <c r="AH260" s="3"/>
      <c r="AI260" s="3"/>
      <c r="AJ260" s="3"/>
      <c r="AK260" s="3"/>
      <c r="AL260" s="3"/>
    </row>
    <row r="261" spans="1:38" x14ac:dyDescent="0.2">
      <c r="A261" s="3"/>
      <c r="B261" s="54"/>
      <c r="C261" s="3">
        <v>2026</v>
      </c>
      <c r="D261" s="3"/>
      <c r="E261" s="1" t="str">
        <f t="shared" si="16"/>
        <v>Yes - 30 June 2026 expiry</v>
      </c>
      <c r="F261" s="3"/>
      <c r="G261" s="3"/>
      <c r="H261" s="1" t="str">
        <f t="shared" si="17"/>
        <v>&amp; 30 June 2026 expiry</v>
      </c>
      <c r="I261" s="3"/>
      <c r="J261" s="31"/>
      <c r="K261" s="3"/>
      <c r="L261" s="16"/>
      <c r="M261" s="16"/>
      <c r="N261" s="16"/>
      <c r="O261" s="16"/>
      <c r="P261" s="16"/>
      <c r="Q261" s="3"/>
      <c r="R261" s="3"/>
      <c r="S261" s="3"/>
      <c r="T261" s="3"/>
      <c r="U261" s="3"/>
      <c r="V261" s="3"/>
      <c r="W261" s="3"/>
      <c r="X261" s="3"/>
      <c r="Y261" s="3"/>
      <c r="Z261" s="3"/>
      <c r="AA261" s="3"/>
      <c r="AB261" s="3"/>
      <c r="AC261" s="3"/>
      <c r="AD261" s="3"/>
      <c r="AE261" s="3"/>
      <c r="AF261" s="3"/>
      <c r="AG261" s="3"/>
      <c r="AH261" s="3"/>
      <c r="AI261" s="3"/>
      <c r="AJ261" s="3"/>
      <c r="AK261" s="3"/>
      <c r="AL261" s="3"/>
    </row>
    <row r="262" spans="1:38" x14ac:dyDescent="0.2">
      <c r="A262" s="3"/>
      <c r="B262" s="54"/>
      <c r="C262" s="3">
        <v>2027</v>
      </c>
      <c r="D262" s="3"/>
      <c r="E262" s="1" t="str">
        <f t="shared" si="16"/>
        <v>Yes - 30 June 2027 expiry</v>
      </c>
      <c r="F262" s="3"/>
      <c r="G262" s="3"/>
      <c r="H262" s="1" t="str">
        <f t="shared" si="17"/>
        <v>&amp; 30 June 2027 expiry</v>
      </c>
      <c r="I262" s="3"/>
      <c r="J262" s="31"/>
      <c r="K262" s="3"/>
      <c r="L262" s="16"/>
      <c r="M262" s="16"/>
      <c r="N262" s="16"/>
      <c r="O262" s="16"/>
      <c r="P262" s="16"/>
      <c r="Q262" s="3"/>
      <c r="R262" s="3"/>
      <c r="S262" s="3"/>
      <c r="T262" s="3"/>
      <c r="U262" s="3"/>
      <c r="V262" s="3"/>
      <c r="W262" s="3"/>
      <c r="X262" s="3"/>
      <c r="Y262" s="3"/>
      <c r="Z262" s="3"/>
      <c r="AA262" s="3"/>
      <c r="AB262" s="3"/>
      <c r="AC262" s="3"/>
      <c r="AD262" s="3"/>
      <c r="AE262" s="3"/>
      <c r="AF262" s="3"/>
      <c r="AG262" s="3"/>
      <c r="AH262" s="3"/>
      <c r="AI262" s="3"/>
      <c r="AJ262" s="3"/>
      <c r="AK262" s="3"/>
      <c r="AL262" s="3"/>
    </row>
    <row r="263" spans="1:38" x14ac:dyDescent="0.2">
      <c r="A263" s="3"/>
      <c r="B263" s="54"/>
      <c r="C263" s="3">
        <v>2028</v>
      </c>
      <c r="D263" s="3"/>
      <c r="E263" s="1" t="str">
        <f t="shared" si="16"/>
        <v>Yes - 30 June 2028 expiry</v>
      </c>
      <c r="F263" s="3"/>
      <c r="G263" s="3"/>
      <c r="H263" s="1" t="str">
        <f t="shared" si="17"/>
        <v>&amp; 30 June 2028 expiry</v>
      </c>
      <c r="I263" s="3"/>
      <c r="J263" s="31"/>
      <c r="K263" s="3"/>
      <c r="L263" s="16"/>
      <c r="M263" s="16"/>
      <c r="N263" s="16"/>
      <c r="O263" s="16"/>
      <c r="P263" s="16"/>
      <c r="Q263" s="3"/>
      <c r="R263" s="3"/>
      <c r="S263" s="3"/>
      <c r="T263" s="3"/>
      <c r="U263" s="3"/>
      <c r="V263" s="3"/>
      <c r="W263" s="3"/>
      <c r="X263" s="3"/>
      <c r="Y263" s="3"/>
      <c r="Z263" s="3"/>
      <c r="AA263" s="3"/>
      <c r="AB263" s="3"/>
      <c r="AC263" s="3"/>
      <c r="AD263" s="3"/>
      <c r="AE263" s="3"/>
      <c r="AF263" s="3"/>
      <c r="AG263" s="3"/>
      <c r="AH263" s="3"/>
      <c r="AI263" s="3"/>
      <c r="AJ263" s="3"/>
      <c r="AK263" s="3"/>
      <c r="AL263" s="3"/>
    </row>
    <row r="264" spans="1:38" x14ac:dyDescent="0.2">
      <c r="A264" s="3"/>
      <c r="B264" s="54"/>
      <c r="C264" s="3">
        <v>2029</v>
      </c>
      <c r="D264" s="3"/>
      <c r="E264" s="1" t="str">
        <f t="shared" si="16"/>
        <v>Yes - 30 June 2029 expiry</v>
      </c>
      <c r="F264" s="3"/>
      <c r="G264" s="3"/>
      <c r="H264" s="1" t="str">
        <f t="shared" si="17"/>
        <v>&amp; 30 June 2029 expiry</v>
      </c>
      <c r="I264" s="3"/>
      <c r="J264" s="31"/>
      <c r="K264" s="3"/>
      <c r="L264" s="16"/>
      <c r="M264" s="16"/>
      <c r="N264" s="16"/>
      <c r="O264" s="16"/>
      <c r="P264" s="16"/>
      <c r="Q264" s="3"/>
      <c r="R264" s="3"/>
      <c r="S264" s="3"/>
      <c r="T264" s="3"/>
      <c r="U264" s="3"/>
      <c r="V264" s="3"/>
      <c r="W264" s="3"/>
      <c r="X264" s="3"/>
      <c r="Y264" s="3"/>
      <c r="Z264" s="3"/>
      <c r="AA264" s="3"/>
      <c r="AB264" s="3"/>
      <c r="AC264" s="3"/>
      <c r="AD264" s="3"/>
      <c r="AE264" s="3"/>
      <c r="AF264" s="3"/>
      <c r="AG264" s="3"/>
      <c r="AH264" s="3"/>
      <c r="AI264" s="3"/>
      <c r="AJ264" s="3"/>
      <c r="AK264" s="3"/>
      <c r="AL264" s="3"/>
    </row>
    <row r="265" spans="1:38" x14ac:dyDescent="0.2">
      <c r="A265" s="3"/>
      <c r="B265" s="54"/>
      <c r="C265" s="3">
        <v>2030</v>
      </c>
      <c r="D265" s="3"/>
      <c r="E265" s="1" t="str">
        <f t="shared" si="16"/>
        <v>Yes - 30 June 2030 expiry</v>
      </c>
      <c r="F265" s="3"/>
      <c r="G265" s="3"/>
      <c r="H265" s="1" t="str">
        <f t="shared" si="17"/>
        <v>&amp; 30 June 2030 expiry</v>
      </c>
      <c r="I265" s="3"/>
      <c r="J265" s="31"/>
      <c r="K265" s="3"/>
      <c r="L265" s="16"/>
      <c r="M265" s="16"/>
      <c r="N265" s="16"/>
      <c r="O265" s="16"/>
      <c r="P265" s="16"/>
      <c r="Q265" s="3"/>
      <c r="R265" s="3"/>
      <c r="S265" s="3"/>
      <c r="T265" s="3"/>
      <c r="U265" s="3"/>
      <c r="V265" s="3"/>
      <c r="W265" s="3"/>
      <c r="X265" s="3"/>
      <c r="Y265" s="3"/>
      <c r="Z265" s="3"/>
      <c r="AA265" s="3"/>
      <c r="AB265" s="3"/>
      <c r="AC265" s="3"/>
      <c r="AD265" s="3"/>
      <c r="AE265" s="3"/>
      <c r="AF265" s="3"/>
      <c r="AG265" s="3"/>
      <c r="AH265" s="3"/>
      <c r="AI265" s="3"/>
      <c r="AJ265" s="3"/>
      <c r="AK265" s="3"/>
      <c r="AL265" s="3"/>
    </row>
    <row r="266" spans="1:38" x14ac:dyDescent="0.2">
      <c r="A266" s="3"/>
      <c r="B266" s="32"/>
      <c r="C266" s="30">
        <v>2031</v>
      </c>
      <c r="D266" s="30"/>
      <c r="E266" s="138" t="str">
        <f t="shared" si="16"/>
        <v>Yes - 30 June 2031 expiry</v>
      </c>
      <c r="F266" s="30"/>
      <c r="G266" s="30"/>
      <c r="H266" s="138" t="str">
        <f t="shared" si="17"/>
        <v>&amp; 30 June 2031 expiry</v>
      </c>
      <c r="I266" s="30"/>
      <c r="J266" s="33"/>
      <c r="K266" s="3"/>
      <c r="L266" s="16"/>
      <c r="M266" s="16"/>
      <c r="N266" s="16"/>
      <c r="O266" s="16"/>
      <c r="P266" s="16"/>
      <c r="Q266" s="3"/>
      <c r="R266" s="3"/>
      <c r="S266" s="3"/>
      <c r="T266" s="3"/>
      <c r="U266" s="3"/>
      <c r="V266" s="3"/>
      <c r="W266" s="3"/>
      <c r="X266" s="3"/>
      <c r="Y266" s="3"/>
      <c r="Z266" s="3"/>
      <c r="AA266" s="3"/>
      <c r="AB266" s="3"/>
      <c r="AC266" s="3"/>
      <c r="AD266" s="3"/>
      <c r="AE266" s="3"/>
      <c r="AF266" s="3"/>
      <c r="AG266" s="3"/>
      <c r="AH266" s="3"/>
      <c r="AI266" s="3"/>
      <c r="AJ266" s="3"/>
      <c r="AK266" s="3"/>
      <c r="AL266" s="3"/>
    </row>
    <row r="267" spans="1:38" x14ac:dyDescent="0.2">
      <c r="A267" s="3"/>
      <c r="B267" s="3"/>
      <c r="C267" s="3"/>
      <c r="D267" s="3"/>
      <c r="E267" s="3"/>
      <c r="F267" s="3"/>
      <c r="G267" s="3"/>
      <c r="H267" s="3"/>
      <c r="I267" s="3"/>
      <c r="J267" s="3"/>
      <c r="K267" s="3"/>
      <c r="L267" s="16"/>
      <c r="M267" s="16"/>
      <c r="N267" s="16"/>
      <c r="O267" s="16"/>
      <c r="P267" s="16"/>
      <c r="Q267" s="3"/>
      <c r="R267" s="3"/>
      <c r="S267" s="3"/>
      <c r="T267" s="3"/>
      <c r="U267" s="3"/>
      <c r="V267" s="3"/>
      <c r="W267" s="3"/>
      <c r="X267" s="3"/>
      <c r="Y267" s="3"/>
      <c r="Z267" s="3"/>
      <c r="AA267" s="3"/>
      <c r="AB267" s="3"/>
      <c r="AC267" s="3"/>
      <c r="AD267" s="3"/>
      <c r="AE267" s="3"/>
      <c r="AF267" s="3"/>
      <c r="AG267" s="3"/>
      <c r="AH267" s="3"/>
      <c r="AI267" s="3"/>
      <c r="AJ267" s="3"/>
      <c r="AK267" s="3"/>
      <c r="AL267" s="3"/>
    </row>
    <row r="268" spans="1:38" x14ac:dyDescent="0.2">
      <c r="A268" s="3"/>
      <c r="B268" s="3"/>
      <c r="C268" s="16"/>
      <c r="D268" s="16"/>
      <c r="E268" s="16"/>
      <c r="F268" s="16"/>
      <c r="G268" s="3"/>
      <c r="H268" s="3"/>
      <c r="I268" s="3"/>
      <c r="J268" s="3"/>
      <c r="K268" s="16"/>
      <c r="L268" s="16"/>
      <c r="M268" s="16"/>
      <c r="N268" s="16"/>
      <c r="O268" s="16"/>
      <c r="P268" s="16"/>
      <c r="Q268" s="3"/>
      <c r="R268" s="3"/>
      <c r="S268" s="3"/>
      <c r="T268" s="3"/>
      <c r="U268" s="3"/>
      <c r="V268" s="3"/>
      <c r="W268" s="3"/>
      <c r="X268" s="3"/>
      <c r="Y268" s="3"/>
      <c r="Z268" s="3"/>
      <c r="AA268" s="3"/>
      <c r="AB268" s="3"/>
      <c r="AC268" s="3"/>
      <c r="AD268" s="3"/>
      <c r="AE268" s="3"/>
      <c r="AF268" s="3"/>
      <c r="AG268" s="3"/>
      <c r="AH268" s="3"/>
      <c r="AI268" s="3"/>
      <c r="AJ268" s="3"/>
      <c r="AK268" s="3"/>
      <c r="AL268" s="3"/>
    </row>
    <row r="269" spans="1:38" ht="15.75" x14ac:dyDescent="0.25">
      <c r="A269" s="3"/>
      <c r="B269" s="4" t="s">
        <v>950</v>
      </c>
      <c r="D269" s="3"/>
      <c r="Q269" s="3"/>
      <c r="R269" s="3"/>
      <c r="S269" s="3"/>
      <c r="T269" s="3"/>
      <c r="U269" s="3"/>
      <c r="V269" s="3"/>
      <c r="W269" s="3"/>
      <c r="X269" s="3"/>
      <c r="Y269" s="3"/>
      <c r="Z269" s="3"/>
      <c r="AA269" s="3"/>
      <c r="AB269" s="3"/>
      <c r="AC269" s="3"/>
      <c r="AD269" s="3"/>
      <c r="AE269" s="3"/>
      <c r="AF269" s="3"/>
      <c r="AG269" s="3"/>
      <c r="AH269" s="3"/>
      <c r="AI269" s="3"/>
      <c r="AJ269" s="3"/>
      <c r="AK269" s="3"/>
      <c r="AL269" s="3"/>
    </row>
    <row r="270" spans="1:38" x14ac:dyDescent="0.2">
      <c r="B270" s="410"/>
      <c r="C270" s="401"/>
      <c r="D270" s="401"/>
      <c r="E270" s="401"/>
      <c r="F270" s="401"/>
      <c r="G270" s="401"/>
      <c r="H270" s="401"/>
      <c r="I270" s="411"/>
      <c r="L270" s="1488" t="s">
        <v>953</v>
      </c>
      <c r="M270" s="1489"/>
      <c r="N270" s="1490"/>
    </row>
    <row r="271" spans="1:38" ht="48" x14ac:dyDescent="0.2">
      <c r="B271" s="403" t="s">
        <v>263</v>
      </c>
      <c r="C271" s="414" t="s">
        <v>264</v>
      </c>
      <c r="D271" s="414" t="s">
        <v>265</v>
      </c>
      <c r="E271" s="414" t="s">
        <v>266</v>
      </c>
      <c r="I271" s="412"/>
      <c r="L271" s="415" t="s">
        <v>267</v>
      </c>
      <c r="M271" s="417" t="s">
        <v>268</v>
      </c>
      <c r="N271" s="407"/>
      <c r="O271" s="1486" t="s">
        <v>978</v>
      </c>
    </row>
    <row r="272" spans="1:38" x14ac:dyDescent="0.2">
      <c r="B272" s="408" t="str">
        <f t="shared" ref="B272:B303" si="18">C68</f>
        <v>Albury City Council</v>
      </c>
      <c r="C272" t="s">
        <v>269</v>
      </c>
      <c r="D272" s="443">
        <f>INDEX($L$272:$L$399,MATCH(C272,$M$272:$M$399,0))</f>
        <v>4.7E-2</v>
      </c>
      <c r="E272" t="b">
        <f t="shared" ref="E272:E303" si="19">IF(ISNUMBER(SEARCH(C272,B272)),TRUE,FALSE)</f>
        <v>1</v>
      </c>
      <c r="I272" s="412"/>
      <c r="L272" s="1487">
        <v>4.7E-2</v>
      </c>
      <c r="M272" s="416" t="s">
        <v>269</v>
      </c>
      <c r="N272" s="412"/>
      <c r="P272" s="419"/>
    </row>
    <row r="273" spans="2:16" x14ac:dyDescent="0.2">
      <c r="B273" s="408" t="str">
        <f t="shared" si="18"/>
        <v>Armidale Regional Council</v>
      </c>
      <c r="C273" t="s">
        <v>270</v>
      </c>
      <c r="D273" s="443">
        <f t="shared" ref="D273:D336" si="20">INDEX($L$272:$L$399,MATCH(C273,$M$272:$M$399,0))</f>
        <v>4.4999999999999998E-2</v>
      </c>
      <c r="E273" t="b">
        <f t="shared" si="19"/>
        <v>1</v>
      </c>
      <c r="I273" s="412"/>
      <c r="L273" s="1487">
        <v>4.4999999999999998E-2</v>
      </c>
      <c r="M273" s="416" t="s">
        <v>270</v>
      </c>
      <c r="N273" s="412"/>
      <c r="P273" s="419"/>
    </row>
    <row r="274" spans="2:16" x14ac:dyDescent="0.2">
      <c r="B274" s="408" t="str">
        <f t="shared" si="18"/>
        <v>Ballina Shire Council</v>
      </c>
      <c r="C274" t="s">
        <v>271</v>
      </c>
      <c r="D274" s="443">
        <f t="shared" si="20"/>
        <v>4.5999999999999999E-2</v>
      </c>
      <c r="E274" t="b">
        <f t="shared" si="19"/>
        <v>1</v>
      </c>
      <c r="I274" s="412"/>
      <c r="L274" s="1487">
        <v>4.5999999999999999E-2</v>
      </c>
      <c r="M274" s="416" t="s">
        <v>271</v>
      </c>
      <c r="N274" s="412"/>
      <c r="P274" s="419"/>
    </row>
    <row r="275" spans="2:16" x14ac:dyDescent="0.2">
      <c r="B275" s="408" t="str">
        <f t="shared" si="18"/>
        <v>Balranald Shire Council</v>
      </c>
      <c r="C275" t="s">
        <v>272</v>
      </c>
      <c r="D275" s="443">
        <f t="shared" si="20"/>
        <v>4.4999999999999998E-2</v>
      </c>
      <c r="E275" t="b">
        <f t="shared" si="19"/>
        <v>1</v>
      </c>
      <c r="I275" s="412"/>
      <c r="L275" s="1487">
        <v>4.4999999999999998E-2</v>
      </c>
      <c r="M275" s="416" t="s">
        <v>272</v>
      </c>
      <c r="N275" s="412"/>
    </row>
    <row r="276" spans="2:16" x14ac:dyDescent="0.2">
      <c r="B276" s="408" t="str">
        <f t="shared" si="18"/>
        <v>Bathurst Regional Council</v>
      </c>
      <c r="C276" t="s">
        <v>273</v>
      </c>
      <c r="D276" s="443">
        <f t="shared" si="20"/>
        <v>4.8000000000000001E-2</v>
      </c>
      <c r="E276" t="b">
        <f t="shared" si="19"/>
        <v>1</v>
      </c>
      <c r="I276" s="412"/>
      <c r="L276" s="1487">
        <v>4.8000000000000001E-2</v>
      </c>
      <c r="M276" s="416" t="s">
        <v>273</v>
      </c>
      <c r="N276" s="412"/>
    </row>
    <row r="277" spans="2:16" x14ac:dyDescent="0.2">
      <c r="B277" s="408" t="str">
        <f t="shared" si="18"/>
        <v>Bayside Council</v>
      </c>
      <c r="C277" t="s">
        <v>274</v>
      </c>
      <c r="D277" s="443">
        <f t="shared" si="20"/>
        <v>4.8000000000000001E-2</v>
      </c>
      <c r="E277" t="b">
        <f t="shared" si="19"/>
        <v>1</v>
      </c>
      <c r="I277" s="412"/>
      <c r="L277" s="1487">
        <v>4.8000000000000001E-2</v>
      </c>
      <c r="M277" s="416" t="s">
        <v>274</v>
      </c>
      <c r="N277" s="412"/>
    </row>
    <row r="278" spans="2:16" x14ac:dyDescent="0.2">
      <c r="B278" s="408" t="str">
        <f t="shared" si="18"/>
        <v>Bega Valley Shire Council</v>
      </c>
      <c r="C278" t="s">
        <v>275</v>
      </c>
      <c r="D278" s="443">
        <f t="shared" si="20"/>
        <v>4.9000000000000002E-2</v>
      </c>
      <c r="E278" t="b">
        <f t="shared" si="19"/>
        <v>1</v>
      </c>
      <c r="I278" s="412"/>
      <c r="L278" s="1487">
        <v>4.9000000000000002E-2</v>
      </c>
      <c r="M278" s="416" t="s">
        <v>275</v>
      </c>
      <c r="N278" s="412"/>
    </row>
    <row r="279" spans="2:16" x14ac:dyDescent="0.2">
      <c r="B279" s="408" t="str">
        <f t="shared" si="18"/>
        <v>Bellingen Shire Council</v>
      </c>
      <c r="C279" t="s">
        <v>276</v>
      </c>
      <c r="D279" s="443">
        <f t="shared" si="20"/>
        <v>4.4999999999999998E-2</v>
      </c>
      <c r="E279" t="b">
        <f t="shared" si="19"/>
        <v>1</v>
      </c>
      <c r="I279" s="412"/>
      <c r="L279" s="1487">
        <v>4.4999999999999998E-2</v>
      </c>
      <c r="M279" s="416" t="s">
        <v>276</v>
      </c>
      <c r="N279" s="412"/>
    </row>
    <row r="280" spans="2:16" x14ac:dyDescent="0.2">
      <c r="B280" s="408" t="str">
        <f t="shared" si="18"/>
        <v>Berrigan Shire Council</v>
      </c>
      <c r="C280" t="s">
        <v>277</v>
      </c>
      <c r="D280" s="443">
        <f t="shared" si="20"/>
        <v>4.4999999999999998E-2</v>
      </c>
      <c r="E280" t="b">
        <f t="shared" si="19"/>
        <v>1</v>
      </c>
      <c r="I280" s="412"/>
      <c r="L280" s="1487">
        <v>4.4999999999999998E-2</v>
      </c>
      <c r="M280" s="416" t="s">
        <v>277</v>
      </c>
      <c r="N280" s="412"/>
    </row>
    <row r="281" spans="2:16" x14ac:dyDescent="0.2">
      <c r="B281" s="408" t="str">
        <f t="shared" si="18"/>
        <v>Blacktown City Council</v>
      </c>
      <c r="C281" t="s">
        <v>278</v>
      </c>
      <c r="D281" s="443">
        <f t="shared" si="20"/>
        <v>7.1000000000000008E-2</v>
      </c>
      <c r="E281" t="b">
        <f t="shared" si="19"/>
        <v>1</v>
      </c>
      <c r="I281" s="412"/>
      <c r="L281" s="1487">
        <v>7.1000000000000008E-2</v>
      </c>
      <c r="M281" s="416" t="s">
        <v>278</v>
      </c>
      <c r="N281" s="412"/>
    </row>
    <row r="282" spans="2:16" x14ac:dyDescent="0.2">
      <c r="B282" s="408" t="str">
        <f t="shared" si="18"/>
        <v>Bland Shire Council</v>
      </c>
      <c r="C282" t="s">
        <v>279</v>
      </c>
      <c r="D282" s="443">
        <f t="shared" si="20"/>
        <v>4.4999999999999998E-2</v>
      </c>
      <c r="E282" t="b">
        <f t="shared" si="19"/>
        <v>1</v>
      </c>
      <c r="I282" s="412"/>
      <c r="L282" s="1487">
        <v>4.4999999999999998E-2</v>
      </c>
      <c r="M282" s="416" t="s">
        <v>279</v>
      </c>
      <c r="N282" s="412"/>
    </row>
    <row r="283" spans="2:16" x14ac:dyDescent="0.2">
      <c r="B283" s="408" t="str">
        <f t="shared" si="18"/>
        <v>Blayney Shire Council</v>
      </c>
      <c r="C283" t="s">
        <v>280</v>
      </c>
      <c r="D283" s="443">
        <f t="shared" si="20"/>
        <v>5.6999999999999995E-2</v>
      </c>
      <c r="E283" t="b">
        <f t="shared" si="19"/>
        <v>1</v>
      </c>
      <c r="I283" s="412"/>
      <c r="L283" s="1487">
        <v>5.6999999999999995E-2</v>
      </c>
      <c r="M283" s="416" t="s">
        <v>280</v>
      </c>
      <c r="N283" s="412"/>
    </row>
    <row r="284" spans="2:16" x14ac:dyDescent="0.2">
      <c r="B284" s="408" t="str">
        <f t="shared" si="18"/>
        <v>Blue Mountains City Council</v>
      </c>
      <c r="C284" t="s">
        <v>281</v>
      </c>
      <c r="D284" s="443">
        <f t="shared" si="20"/>
        <v>4.5999999999999999E-2</v>
      </c>
      <c r="E284" t="b">
        <f t="shared" si="19"/>
        <v>1</v>
      </c>
      <c r="I284" s="412"/>
      <c r="L284" s="1487">
        <v>4.5999999999999999E-2</v>
      </c>
      <c r="M284" s="416" t="s">
        <v>281</v>
      </c>
      <c r="N284" s="412"/>
    </row>
    <row r="285" spans="2:16" x14ac:dyDescent="0.2">
      <c r="B285" s="408" t="str">
        <f t="shared" si="18"/>
        <v>Bogan Shire Council</v>
      </c>
      <c r="C285" t="s">
        <v>282</v>
      </c>
      <c r="D285" s="443">
        <f t="shared" si="20"/>
        <v>4.4999999999999998E-2</v>
      </c>
      <c r="E285" t="b">
        <f t="shared" si="19"/>
        <v>1</v>
      </c>
      <c r="I285" s="412"/>
      <c r="L285" s="1487">
        <v>4.4999999999999998E-2</v>
      </c>
      <c r="M285" s="416" t="s">
        <v>282</v>
      </c>
      <c r="N285" s="412"/>
    </row>
    <row r="286" spans="2:16" x14ac:dyDescent="0.2">
      <c r="B286" s="408" t="str">
        <f t="shared" si="18"/>
        <v>Bourke Shire Council</v>
      </c>
      <c r="C286" t="s">
        <v>283</v>
      </c>
      <c r="D286" s="443">
        <f t="shared" si="20"/>
        <v>4.4999999999999998E-2</v>
      </c>
      <c r="E286" t="b">
        <f t="shared" si="19"/>
        <v>1</v>
      </c>
      <c r="I286" s="412"/>
      <c r="L286" s="1487">
        <v>4.4999999999999998E-2</v>
      </c>
      <c r="M286" s="416" t="s">
        <v>283</v>
      </c>
      <c r="N286" s="412"/>
    </row>
    <row r="287" spans="2:16" x14ac:dyDescent="0.2">
      <c r="B287" s="408" t="str">
        <f t="shared" si="18"/>
        <v>Brewarrina Shire Council</v>
      </c>
      <c r="C287" t="s">
        <v>284</v>
      </c>
      <c r="D287" s="443">
        <f t="shared" si="20"/>
        <v>4.4999999999999998E-2</v>
      </c>
      <c r="E287" t="b">
        <f t="shared" si="19"/>
        <v>1</v>
      </c>
      <c r="I287" s="412"/>
      <c r="L287" s="1487">
        <v>4.4999999999999998E-2</v>
      </c>
      <c r="M287" s="416" t="s">
        <v>284</v>
      </c>
      <c r="N287" s="412"/>
    </row>
    <row r="288" spans="2:16" x14ac:dyDescent="0.2">
      <c r="B288" s="408" t="str">
        <f t="shared" si="18"/>
        <v>Broken Hill City Council</v>
      </c>
      <c r="C288" t="s">
        <v>285</v>
      </c>
      <c r="D288" s="443">
        <f t="shared" si="20"/>
        <v>4.9000000000000002E-2</v>
      </c>
      <c r="E288" t="b">
        <f t="shared" si="19"/>
        <v>1</v>
      </c>
      <c r="I288" s="412"/>
      <c r="L288" s="1487">
        <v>4.9000000000000002E-2</v>
      </c>
      <c r="M288" s="416" t="s">
        <v>285</v>
      </c>
      <c r="N288" s="412"/>
    </row>
    <row r="289" spans="2:14" x14ac:dyDescent="0.2">
      <c r="B289" s="408" t="str">
        <f t="shared" si="18"/>
        <v>Burwood Council</v>
      </c>
      <c r="C289" t="s">
        <v>286</v>
      </c>
      <c r="D289" s="443">
        <f t="shared" si="20"/>
        <v>4.8000000000000001E-2</v>
      </c>
      <c r="E289" t="b">
        <f t="shared" si="19"/>
        <v>1</v>
      </c>
      <c r="I289" s="412"/>
      <c r="L289" s="1487">
        <v>4.8000000000000001E-2</v>
      </c>
      <c r="M289" s="416" t="s">
        <v>286</v>
      </c>
      <c r="N289" s="412"/>
    </row>
    <row r="290" spans="2:14" x14ac:dyDescent="0.2">
      <c r="B290" s="408" t="str">
        <f t="shared" si="18"/>
        <v>Byron Shire Council</v>
      </c>
      <c r="C290" t="s">
        <v>287</v>
      </c>
      <c r="D290" s="443">
        <f t="shared" si="20"/>
        <v>4.8000000000000001E-2</v>
      </c>
      <c r="E290" t="b">
        <f t="shared" si="19"/>
        <v>1</v>
      </c>
      <c r="I290" s="412"/>
      <c r="L290" s="1487">
        <v>4.8000000000000001E-2</v>
      </c>
      <c r="M290" s="416" t="s">
        <v>287</v>
      </c>
      <c r="N290" s="412"/>
    </row>
    <row r="291" spans="2:14" x14ac:dyDescent="0.2">
      <c r="B291" s="408" t="str">
        <f t="shared" si="18"/>
        <v>Cabonne Council</v>
      </c>
      <c r="C291" t="s">
        <v>288</v>
      </c>
      <c r="D291" s="443">
        <f t="shared" si="20"/>
        <v>4.4999999999999998E-2</v>
      </c>
      <c r="E291" t="b">
        <f t="shared" si="19"/>
        <v>1</v>
      </c>
      <c r="I291" s="412"/>
      <c r="L291" s="1487">
        <v>4.4999999999999998E-2</v>
      </c>
      <c r="M291" s="416" t="s">
        <v>288</v>
      </c>
      <c r="N291" s="412"/>
    </row>
    <row r="292" spans="2:14" x14ac:dyDescent="0.2">
      <c r="B292" s="408" t="str">
        <f t="shared" si="18"/>
        <v>Camden Council</v>
      </c>
      <c r="C292" t="s">
        <v>289</v>
      </c>
      <c r="D292" s="443">
        <f t="shared" si="20"/>
        <v>8.2000000000000003E-2</v>
      </c>
      <c r="E292" t="b">
        <f t="shared" si="19"/>
        <v>1</v>
      </c>
      <c r="I292" s="412"/>
      <c r="L292" s="1487">
        <v>8.2000000000000003E-2</v>
      </c>
      <c r="M292" s="416" t="s">
        <v>289</v>
      </c>
      <c r="N292" s="412"/>
    </row>
    <row r="293" spans="2:14" x14ac:dyDescent="0.2">
      <c r="B293" s="408" t="str">
        <f t="shared" si="18"/>
        <v>Campbelltown City Council</v>
      </c>
      <c r="C293" t="s">
        <v>290</v>
      </c>
      <c r="D293" s="443">
        <f t="shared" si="20"/>
        <v>5.2999999999999999E-2</v>
      </c>
      <c r="E293" t="b">
        <f t="shared" si="19"/>
        <v>1</v>
      </c>
      <c r="I293" s="412"/>
      <c r="L293" s="1487">
        <v>5.2999999999999999E-2</v>
      </c>
      <c r="M293" s="416" t="s">
        <v>290</v>
      </c>
      <c r="N293" s="412"/>
    </row>
    <row r="294" spans="2:14" x14ac:dyDescent="0.2">
      <c r="B294" s="408" t="str">
        <f t="shared" si="18"/>
        <v>Canterbury-Bankstown Council</v>
      </c>
      <c r="C294" t="s">
        <v>291</v>
      </c>
      <c r="D294" s="443">
        <f t="shared" si="20"/>
        <v>4.9000000000000002E-2</v>
      </c>
      <c r="E294" t="b">
        <f t="shared" si="19"/>
        <v>1</v>
      </c>
      <c r="I294" s="412"/>
      <c r="L294" s="1487">
        <v>5.2999999999999999E-2</v>
      </c>
      <c r="M294" s="416" t="s">
        <v>292</v>
      </c>
      <c r="N294" s="412"/>
    </row>
    <row r="295" spans="2:14" x14ac:dyDescent="0.2">
      <c r="B295" s="408" t="str">
        <f t="shared" si="18"/>
        <v>Carrathool Shire Council</v>
      </c>
      <c r="C295" t="s">
        <v>293</v>
      </c>
      <c r="D295" s="443">
        <f t="shared" si="20"/>
        <v>5.5E-2</v>
      </c>
      <c r="E295" t="b">
        <f t="shared" si="19"/>
        <v>1</v>
      </c>
      <c r="I295" s="412"/>
      <c r="L295" s="1487">
        <v>4.9000000000000002E-2</v>
      </c>
      <c r="M295" s="416" t="s">
        <v>291</v>
      </c>
      <c r="N295" s="412"/>
    </row>
    <row r="296" spans="2:14" x14ac:dyDescent="0.2">
      <c r="B296" s="408" t="str">
        <f t="shared" si="18"/>
        <v>Central Coast Council</v>
      </c>
      <c r="C296" t="s">
        <v>294</v>
      </c>
      <c r="D296" s="443">
        <f t="shared" si="20"/>
        <v>4.8000000000000001E-2</v>
      </c>
      <c r="E296" t="b">
        <f t="shared" si="19"/>
        <v>1</v>
      </c>
      <c r="I296" s="412"/>
      <c r="L296" s="1487">
        <v>5.5E-2</v>
      </c>
      <c r="M296" s="416" t="s">
        <v>293</v>
      </c>
      <c r="N296" s="412"/>
    </row>
    <row r="297" spans="2:14" x14ac:dyDescent="0.2">
      <c r="B297" s="408" t="str">
        <f t="shared" si="18"/>
        <v>Central Darling Shire Council</v>
      </c>
      <c r="C297" t="s">
        <v>295</v>
      </c>
      <c r="D297" s="443">
        <f t="shared" si="20"/>
        <v>4.4999999999999998E-2</v>
      </c>
      <c r="E297" t="b">
        <f t="shared" si="19"/>
        <v>1</v>
      </c>
      <c r="I297" s="412"/>
      <c r="L297" s="1487">
        <v>4.8000000000000001E-2</v>
      </c>
      <c r="M297" s="416" t="s">
        <v>294</v>
      </c>
      <c r="N297" s="412"/>
    </row>
    <row r="298" spans="2:14" x14ac:dyDescent="0.2">
      <c r="B298" s="408" t="str">
        <f t="shared" si="18"/>
        <v>Cessnock City Council</v>
      </c>
      <c r="C298" t="s">
        <v>296</v>
      </c>
      <c r="D298" s="443">
        <f t="shared" si="20"/>
        <v>5.2999999999999999E-2</v>
      </c>
      <c r="E298" t="b">
        <f t="shared" si="19"/>
        <v>1</v>
      </c>
      <c r="I298" s="412"/>
      <c r="L298" s="1487">
        <v>4.4999999999999998E-2</v>
      </c>
      <c r="M298" s="416" t="s">
        <v>295</v>
      </c>
      <c r="N298" s="412"/>
    </row>
    <row r="299" spans="2:14" x14ac:dyDescent="0.2">
      <c r="B299" s="408" t="str">
        <f t="shared" si="18"/>
        <v>City of Canada Bay Council</v>
      </c>
      <c r="C299" t="s">
        <v>292</v>
      </c>
      <c r="D299" s="443">
        <f t="shared" si="20"/>
        <v>5.2999999999999999E-2</v>
      </c>
      <c r="E299" t="b">
        <f t="shared" si="19"/>
        <v>1</v>
      </c>
      <c r="I299" s="412"/>
      <c r="L299" s="1487">
        <v>5.2999999999999999E-2</v>
      </c>
      <c r="M299" s="416" t="s">
        <v>296</v>
      </c>
      <c r="N299" s="412"/>
    </row>
    <row r="300" spans="2:14" x14ac:dyDescent="0.2">
      <c r="B300" s="408" t="str">
        <f t="shared" si="18"/>
        <v>City of Parramatta Council</v>
      </c>
      <c r="C300" t="s">
        <v>952</v>
      </c>
      <c r="D300" s="443">
        <f t="shared" si="20"/>
        <v>5.1000000000000004E-2</v>
      </c>
      <c r="E300" t="b">
        <f>IF(ISNUMBER(SEARCH(C300,B300)),TRUE,FALSE)</f>
        <v>1</v>
      </c>
      <c r="I300" s="412"/>
      <c r="L300" s="1487">
        <v>4.7E-2</v>
      </c>
      <c r="M300" s="416" t="s">
        <v>297</v>
      </c>
      <c r="N300" s="412"/>
    </row>
    <row r="301" spans="2:14" x14ac:dyDescent="0.2">
      <c r="B301" s="408" t="str">
        <f t="shared" si="18"/>
        <v>City of Ryde Council</v>
      </c>
      <c r="C301" t="s">
        <v>298</v>
      </c>
      <c r="D301" s="443">
        <f t="shared" si="20"/>
        <v>5.0999999999999997E-2</v>
      </c>
      <c r="E301" t="b">
        <f t="shared" si="19"/>
        <v>1</v>
      </c>
      <c r="I301" s="412"/>
      <c r="L301" s="1487">
        <v>4.4999999999999998E-2</v>
      </c>
      <c r="M301" s="416" t="s">
        <v>299</v>
      </c>
      <c r="N301" s="412"/>
    </row>
    <row r="302" spans="2:14" x14ac:dyDescent="0.2">
      <c r="B302" s="408" t="str">
        <f t="shared" si="18"/>
        <v>City of Sydney Council</v>
      </c>
      <c r="C302" t="s">
        <v>300</v>
      </c>
      <c r="D302" s="443">
        <f t="shared" si="20"/>
        <v>5.0999999999999997E-2</v>
      </c>
      <c r="E302" t="b">
        <f t="shared" si="19"/>
        <v>1</v>
      </c>
      <c r="I302" s="412"/>
      <c r="L302" s="1487">
        <v>5.6000000000000001E-2</v>
      </c>
      <c r="M302" s="416" t="s">
        <v>301</v>
      </c>
      <c r="N302" s="412"/>
    </row>
    <row r="303" spans="2:14" x14ac:dyDescent="0.2">
      <c r="B303" s="408" t="str">
        <f t="shared" si="18"/>
        <v>Clarence Valley Council</v>
      </c>
      <c r="C303" t="s">
        <v>297</v>
      </c>
      <c r="D303" s="443">
        <f t="shared" si="20"/>
        <v>4.7E-2</v>
      </c>
      <c r="E303" t="b">
        <f t="shared" si="19"/>
        <v>1</v>
      </c>
      <c r="I303" s="412"/>
      <c r="L303" s="1487">
        <v>5.8999999999999997E-2</v>
      </c>
      <c r="M303" s="416" t="s">
        <v>302</v>
      </c>
      <c r="N303" s="412"/>
    </row>
    <row r="304" spans="2:14" x14ac:dyDescent="0.2">
      <c r="B304" s="408" t="str">
        <f t="shared" ref="B304:B335" si="21">C100</f>
        <v>Cobar Shire Council</v>
      </c>
      <c r="C304" t="s">
        <v>299</v>
      </c>
      <c r="D304" s="443">
        <f t="shared" si="20"/>
        <v>4.4999999999999998E-2</v>
      </c>
      <c r="E304" t="b">
        <f t="shared" ref="E304:E335" si="22">IF(ISNUMBER(SEARCH(C304,B304)),TRUE,FALSE)</f>
        <v>1</v>
      </c>
      <c r="I304" s="412"/>
      <c r="L304" s="1487">
        <v>4.4999999999999998E-2</v>
      </c>
      <c r="M304" s="416" t="s">
        <v>303</v>
      </c>
      <c r="N304" s="412"/>
    </row>
    <row r="305" spans="2:14" x14ac:dyDescent="0.2">
      <c r="B305" s="408" t="str">
        <f t="shared" si="21"/>
        <v>Coffs Harbour City Council</v>
      </c>
      <c r="C305" t="s">
        <v>301</v>
      </c>
      <c r="D305" s="443">
        <f t="shared" si="20"/>
        <v>5.6000000000000001E-2</v>
      </c>
      <c r="E305" t="b">
        <f t="shared" si="22"/>
        <v>1</v>
      </c>
      <c r="I305" s="412"/>
      <c r="L305" s="1487">
        <v>4.7E-2</v>
      </c>
      <c r="M305" s="416" t="s">
        <v>304</v>
      </c>
      <c r="N305" s="412"/>
    </row>
    <row r="306" spans="2:14" x14ac:dyDescent="0.2">
      <c r="B306" s="408" t="str">
        <f t="shared" si="21"/>
        <v>Coolamon Shire Council</v>
      </c>
      <c r="C306" t="s">
        <v>302</v>
      </c>
      <c r="D306" s="443">
        <f t="shared" si="20"/>
        <v>5.8999999999999997E-2</v>
      </c>
      <c r="E306" t="b">
        <f t="shared" si="22"/>
        <v>1</v>
      </c>
      <c r="I306" s="412"/>
      <c r="L306" s="1487">
        <v>4.4999999999999998E-2</v>
      </c>
      <c r="M306" s="416" t="s">
        <v>305</v>
      </c>
      <c r="N306" s="412"/>
    </row>
    <row r="307" spans="2:14" x14ac:dyDescent="0.2">
      <c r="B307" s="408" t="str">
        <f t="shared" si="21"/>
        <v>Coonamble Shire Council</v>
      </c>
      <c r="C307" t="s">
        <v>303</v>
      </c>
      <c r="D307" s="443">
        <f t="shared" si="20"/>
        <v>4.4999999999999998E-2</v>
      </c>
      <c r="E307" t="b">
        <f t="shared" si="22"/>
        <v>1</v>
      </c>
      <c r="I307" s="412"/>
      <c r="L307" s="1487">
        <v>0.05</v>
      </c>
      <c r="M307" s="416" t="s">
        <v>306</v>
      </c>
      <c r="N307" s="412"/>
    </row>
    <row r="308" spans="2:14" x14ac:dyDescent="0.2">
      <c r="B308" s="408" t="str">
        <f t="shared" si="21"/>
        <v>Cootamundra-Gundagai Council</v>
      </c>
      <c r="C308" t="s">
        <v>304</v>
      </c>
      <c r="D308" s="443">
        <f t="shared" si="20"/>
        <v>4.7E-2</v>
      </c>
      <c r="E308" t="b">
        <f t="shared" si="22"/>
        <v>0</v>
      </c>
      <c r="F308" s="1491" t="b">
        <f>C308=M305</f>
        <v>1</v>
      </c>
      <c r="G308" s="1491" t="s">
        <v>954</v>
      </c>
      <c r="H308" s="1491"/>
      <c r="I308" s="412"/>
      <c r="L308" s="1487">
        <v>4.9999999999999996E-2</v>
      </c>
      <c r="M308" s="416" t="s">
        <v>307</v>
      </c>
      <c r="N308" s="412"/>
    </row>
    <row r="309" spans="2:14" x14ac:dyDescent="0.2">
      <c r="B309" s="408" t="str">
        <f t="shared" si="21"/>
        <v>Cowra Shire Council</v>
      </c>
      <c r="C309" t="s">
        <v>305</v>
      </c>
      <c r="D309" s="443">
        <f t="shared" si="20"/>
        <v>4.4999999999999998E-2</v>
      </c>
      <c r="E309" t="b">
        <f t="shared" si="22"/>
        <v>1</v>
      </c>
      <c r="I309" s="412"/>
      <c r="L309" s="1487">
        <v>4.4999999999999998E-2</v>
      </c>
      <c r="M309" s="416" t="s">
        <v>308</v>
      </c>
      <c r="N309" s="412"/>
    </row>
    <row r="310" spans="2:14" x14ac:dyDescent="0.2">
      <c r="B310" s="408" t="str">
        <f t="shared" si="21"/>
        <v>Cumberland Council</v>
      </c>
      <c r="C310" t="s">
        <v>306</v>
      </c>
      <c r="D310" s="443">
        <f t="shared" si="20"/>
        <v>0.05</v>
      </c>
      <c r="E310" t="b">
        <f t="shared" si="22"/>
        <v>1</v>
      </c>
      <c r="I310" s="412"/>
      <c r="L310" s="1487">
        <v>4.4999999999999998E-2</v>
      </c>
      <c r="M310" s="416" t="s">
        <v>309</v>
      </c>
      <c r="N310" s="412"/>
    </row>
    <row r="311" spans="2:14" x14ac:dyDescent="0.2">
      <c r="B311" s="408" t="str">
        <f t="shared" si="21"/>
        <v>Dubbo Regional Council</v>
      </c>
      <c r="C311" t="s">
        <v>307</v>
      </c>
      <c r="D311" s="443">
        <f t="shared" si="20"/>
        <v>4.9999999999999996E-2</v>
      </c>
      <c r="E311" t="b">
        <f t="shared" si="22"/>
        <v>1</v>
      </c>
      <c r="I311" s="412"/>
      <c r="L311" s="1487">
        <v>5.5E-2</v>
      </c>
      <c r="M311" s="416" t="s">
        <v>310</v>
      </c>
      <c r="N311" s="412"/>
    </row>
    <row r="312" spans="2:14" x14ac:dyDescent="0.2">
      <c r="B312" s="408" t="str">
        <f t="shared" si="21"/>
        <v>Dungog Shire Council</v>
      </c>
      <c r="C312" t="s">
        <v>308</v>
      </c>
      <c r="D312" s="443">
        <f t="shared" si="20"/>
        <v>4.4999999999999998E-2</v>
      </c>
      <c r="E312" t="b">
        <f t="shared" si="22"/>
        <v>1</v>
      </c>
      <c r="I312" s="412"/>
      <c r="L312" s="1487">
        <v>4.9000000000000002E-2</v>
      </c>
      <c r="M312" s="416" t="s">
        <v>311</v>
      </c>
      <c r="N312" s="412"/>
    </row>
    <row r="313" spans="2:14" x14ac:dyDescent="0.2">
      <c r="B313" s="408" t="str">
        <f t="shared" si="21"/>
        <v>Edward River Council</v>
      </c>
      <c r="C313" t="s">
        <v>309</v>
      </c>
      <c r="D313" s="443">
        <f t="shared" si="20"/>
        <v>4.4999999999999998E-2</v>
      </c>
      <c r="E313" t="b">
        <f t="shared" si="22"/>
        <v>1</v>
      </c>
      <c r="I313" s="412"/>
      <c r="L313" s="1487">
        <v>4.4999999999999998E-2</v>
      </c>
      <c r="M313" s="416" t="s">
        <v>312</v>
      </c>
      <c r="N313" s="412"/>
    </row>
    <row r="314" spans="2:14" x14ac:dyDescent="0.2">
      <c r="B314" s="408" t="str">
        <f t="shared" si="21"/>
        <v>Eurobodalla Shire Council</v>
      </c>
      <c r="C314" t="s">
        <v>310</v>
      </c>
      <c r="D314" s="443">
        <f t="shared" si="20"/>
        <v>5.5E-2</v>
      </c>
      <c r="E314" t="b">
        <f t="shared" si="22"/>
        <v>1</v>
      </c>
      <c r="I314" s="412"/>
      <c r="L314" s="1487">
        <v>4.4999999999999998E-2</v>
      </c>
      <c r="M314" s="416" t="s">
        <v>313</v>
      </c>
      <c r="N314" s="412"/>
    </row>
    <row r="315" spans="2:14" x14ac:dyDescent="0.2">
      <c r="B315" s="408" t="str">
        <f t="shared" si="21"/>
        <v>Fairfield City Council</v>
      </c>
      <c r="C315" t="s">
        <v>311</v>
      </c>
      <c r="D315" s="443">
        <f t="shared" si="20"/>
        <v>4.9000000000000002E-2</v>
      </c>
      <c r="E315" t="b">
        <f t="shared" si="22"/>
        <v>1</v>
      </c>
      <c r="I315" s="412"/>
      <c r="L315" s="1487">
        <v>4.8000000000000001E-2</v>
      </c>
      <c r="M315" s="416" t="s">
        <v>314</v>
      </c>
      <c r="N315" s="412"/>
    </row>
    <row r="316" spans="2:14" x14ac:dyDescent="0.2">
      <c r="B316" s="408" t="str">
        <f t="shared" si="21"/>
        <v>Federation Council</v>
      </c>
      <c r="C316" t="s">
        <v>312</v>
      </c>
      <c r="D316" s="443">
        <f t="shared" si="20"/>
        <v>4.4999999999999998E-2</v>
      </c>
      <c r="E316" t="b">
        <f t="shared" si="22"/>
        <v>1</v>
      </c>
      <c r="I316" s="412"/>
      <c r="L316" s="1487">
        <v>4.4999999999999998E-2</v>
      </c>
      <c r="M316" s="416" t="s">
        <v>315</v>
      </c>
      <c r="N316" s="412"/>
    </row>
    <row r="317" spans="2:14" x14ac:dyDescent="0.2">
      <c r="B317" s="408" t="str">
        <f t="shared" si="21"/>
        <v>Forbes Shire Council</v>
      </c>
      <c r="C317" t="s">
        <v>313</v>
      </c>
      <c r="D317" s="443">
        <f t="shared" si="20"/>
        <v>4.4999999999999998E-2</v>
      </c>
      <c r="E317" t="b">
        <f t="shared" si="22"/>
        <v>1</v>
      </c>
      <c r="I317" s="412"/>
      <c r="L317" s="1487">
        <v>4.8000000000000001E-2</v>
      </c>
      <c r="M317" s="416" t="s">
        <v>316</v>
      </c>
      <c r="N317" s="412"/>
    </row>
    <row r="318" spans="2:14" x14ac:dyDescent="0.2">
      <c r="B318" s="408" t="str">
        <f t="shared" si="21"/>
        <v>Georges River Council</v>
      </c>
      <c r="C318" t="s">
        <v>314</v>
      </c>
      <c r="D318" s="443">
        <f t="shared" si="20"/>
        <v>4.8000000000000001E-2</v>
      </c>
      <c r="E318" t="b">
        <f t="shared" si="22"/>
        <v>1</v>
      </c>
      <c r="I318" s="412"/>
      <c r="L318" s="1487">
        <v>4.4999999999999998E-2</v>
      </c>
      <c r="M318" s="416" t="s">
        <v>317</v>
      </c>
      <c r="N318" s="412"/>
    </row>
    <row r="319" spans="2:14" x14ac:dyDescent="0.2">
      <c r="B319" s="408" t="str">
        <f t="shared" si="21"/>
        <v>Gilgandra Shire Council</v>
      </c>
      <c r="C319" t="s">
        <v>315</v>
      </c>
      <c r="D319" s="443">
        <f t="shared" si="20"/>
        <v>4.4999999999999998E-2</v>
      </c>
      <c r="E319" t="b">
        <f t="shared" si="22"/>
        <v>1</v>
      </c>
      <c r="I319" s="412"/>
      <c r="L319" s="1487">
        <v>5.1999999999999998E-2</v>
      </c>
      <c r="M319" s="416" t="s">
        <v>318</v>
      </c>
      <c r="N319" s="412"/>
    </row>
    <row r="320" spans="2:14" x14ac:dyDescent="0.2">
      <c r="B320" s="408" t="str">
        <f t="shared" si="21"/>
        <v>Glen Innes Severn Shire Council</v>
      </c>
      <c r="C320" t="s">
        <v>316</v>
      </c>
      <c r="D320" s="443">
        <f t="shared" si="20"/>
        <v>4.8000000000000001E-2</v>
      </c>
      <c r="E320" t="b">
        <f t="shared" si="22"/>
        <v>1</v>
      </c>
      <c r="I320" s="412"/>
      <c r="L320" s="1487">
        <v>4.4999999999999998E-2</v>
      </c>
      <c r="M320" s="416" t="s">
        <v>319</v>
      </c>
      <c r="N320" s="412"/>
    </row>
    <row r="321" spans="2:14" x14ac:dyDescent="0.2">
      <c r="B321" s="408" t="str">
        <f t="shared" si="21"/>
        <v>Goulburn Mulwaree Council</v>
      </c>
      <c r="C321" t="s">
        <v>317</v>
      </c>
      <c r="D321" s="443">
        <f t="shared" si="20"/>
        <v>4.4999999999999998E-2</v>
      </c>
      <c r="E321" t="b">
        <f t="shared" si="22"/>
        <v>1</v>
      </c>
      <c r="I321" s="412"/>
      <c r="L321" s="1487">
        <v>5.5999999999999994E-2</v>
      </c>
      <c r="M321" s="416" t="s">
        <v>320</v>
      </c>
      <c r="N321" s="412"/>
    </row>
    <row r="322" spans="2:14" x14ac:dyDescent="0.2">
      <c r="B322" s="408" t="str">
        <f t="shared" si="21"/>
        <v>Greater Hume Shire Council</v>
      </c>
      <c r="C322" t="s">
        <v>318</v>
      </c>
      <c r="D322" s="443">
        <f t="shared" si="20"/>
        <v>5.1999999999999998E-2</v>
      </c>
      <c r="E322" t="b">
        <f t="shared" si="22"/>
        <v>1</v>
      </c>
      <c r="I322" s="412"/>
      <c r="L322" s="1487">
        <v>4.4999999999999998E-2</v>
      </c>
      <c r="M322" s="416" t="s">
        <v>321</v>
      </c>
      <c r="N322" s="412"/>
    </row>
    <row r="323" spans="2:14" x14ac:dyDescent="0.2">
      <c r="B323" s="408" t="str">
        <f t="shared" si="21"/>
        <v>Griffith City Council</v>
      </c>
      <c r="C323" t="s">
        <v>319</v>
      </c>
      <c r="D323" s="443">
        <f t="shared" si="20"/>
        <v>4.4999999999999998E-2</v>
      </c>
      <c r="E323" t="b">
        <f t="shared" si="22"/>
        <v>1</v>
      </c>
      <c r="I323" s="412"/>
      <c r="L323" s="1487">
        <v>4.4999999999999998E-2</v>
      </c>
      <c r="M323" s="416" t="s">
        <v>322</v>
      </c>
      <c r="N323" s="412"/>
    </row>
    <row r="324" spans="2:14" x14ac:dyDescent="0.2">
      <c r="B324" s="408" t="str">
        <f t="shared" si="21"/>
        <v>Gunnedah Shire Council</v>
      </c>
      <c r="C324" t="s">
        <v>320</v>
      </c>
      <c r="D324" s="443">
        <f t="shared" si="20"/>
        <v>5.5999999999999994E-2</v>
      </c>
      <c r="E324" t="b">
        <f t="shared" si="22"/>
        <v>1</v>
      </c>
      <c r="I324" s="412"/>
      <c r="L324" s="1487">
        <v>4.4999999999999998E-2</v>
      </c>
      <c r="M324" s="416" t="s">
        <v>323</v>
      </c>
      <c r="N324" s="412"/>
    </row>
    <row r="325" spans="2:14" x14ac:dyDescent="0.2">
      <c r="B325" s="408" t="str">
        <f t="shared" si="21"/>
        <v>Gwydir Shire Council</v>
      </c>
      <c r="C325" t="s">
        <v>321</v>
      </c>
      <c r="D325" s="443">
        <f t="shared" si="20"/>
        <v>4.4999999999999998E-2</v>
      </c>
      <c r="E325" t="b">
        <f t="shared" si="22"/>
        <v>1</v>
      </c>
      <c r="I325" s="412"/>
      <c r="L325" s="1487">
        <v>5.0999999999999997E-2</v>
      </c>
      <c r="M325" s="416" t="s">
        <v>324</v>
      </c>
      <c r="N325" s="412"/>
    </row>
    <row r="326" spans="2:14" x14ac:dyDescent="0.2">
      <c r="B326" s="408" t="str">
        <f t="shared" si="21"/>
        <v>Hawkesbury City Council</v>
      </c>
      <c r="C326" t="s">
        <v>322</v>
      </c>
      <c r="D326" s="443">
        <f t="shared" si="20"/>
        <v>4.4999999999999998E-2</v>
      </c>
      <c r="E326" t="b">
        <f t="shared" si="22"/>
        <v>1</v>
      </c>
      <c r="I326" s="412"/>
      <c r="L326" s="1487">
        <v>4.9000000000000002E-2</v>
      </c>
      <c r="M326" s="416" t="s">
        <v>325</v>
      </c>
      <c r="N326" s="412"/>
    </row>
    <row r="327" spans="2:14" x14ac:dyDescent="0.2">
      <c r="B327" s="408" t="str">
        <f t="shared" si="21"/>
        <v>Hay Shire Council</v>
      </c>
      <c r="C327" t="s">
        <v>323</v>
      </c>
      <c r="D327" s="443">
        <f t="shared" si="20"/>
        <v>4.4999999999999998E-2</v>
      </c>
      <c r="E327" t="b">
        <f t="shared" si="22"/>
        <v>1</v>
      </c>
      <c r="I327" s="412"/>
      <c r="L327" s="1487">
        <v>0.05</v>
      </c>
      <c r="M327" s="416" t="s">
        <v>326</v>
      </c>
      <c r="N327" s="412"/>
    </row>
    <row r="328" spans="2:14" x14ac:dyDescent="0.2">
      <c r="B328" s="408" t="str">
        <f t="shared" si="21"/>
        <v>Hills Shire Council, The</v>
      </c>
      <c r="C328" t="s">
        <v>327</v>
      </c>
      <c r="D328" s="443">
        <f t="shared" si="20"/>
        <v>7.1000000000000008E-2</v>
      </c>
      <c r="E328" t="b">
        <f t="shared" si="22"/>
        <v>1</v>
      </c>
      <c r="I328" s="412"/>
      <c r="L328" s="1487">
        <v>4.9000000000000002E-2</v>
      </c>
      <c r="M328" s="416" t="s">
        <v>328</v>
      </c>
      <c r="N328" s="412"/>
    </row>
    <row r="329" spans="2:14" x14ac:dyDescent="0.2">
      <c r="B329" s="408" t="str">
        <f t="shared" si="21"/>
        <v>Hilltops Council</v>
      </c>
      <c r="C329" t="s">
        <v>324</v>
      </c>
      <c r="D329" s="443">
        <f t="shared" si="20"/>
        <v>5.0999999999999997E-2</v>
      </c>
      <c r="E329" t="b">
        <f t="shared" si="22"/>
        <v>1</v>
      </c>
      <c r="I329" s="412"/>
      <c r="L329" s="1487">
        <v>4.4999999999999998E-2</v>
      </c>
      <c r="M329" s="416" t="s">
        <v>329</v>
      </c>
      <c r="N329" s="412"/>
    </row>
    <row r="330" spans="2:14" x14ac:dyDescent="0.2">
      <c r="B330" s="408" t="str">
        <f t="shared" si="21"/>
        <v>Hornsby, The Council of the Shire of</v>
      </c>
      <c r="C330" t="s">
        <v>325</v>
      </c>
      <c r="D330" s="443">
        <f t="shared" si="20"/>
        <v>4.9000000000000002E-2</v>
      </c>
      <c r="E330" t="b">
        <f t="shared" si="22"/>
        <v>0</v>
      </c>
      <c r="F330" s="1491" t="b">
        <f>C330=M326</f>
        <v>1</v>
      </c>
      <c r="G330" s="1491" t="s">
        <v>954</v>
      </c>
      <c r="I330" s="412"/>
      <c r="L330" s="1487">
        <v>4.4999999999999998E-2</v>
      </c>
      <c r="M330" s="416" t="s">
        <v>330</v>
      </c>
      <c r="N330" s="412"/>
    </row>
    <row r="331" spans="2:14" x14ac:dyDescent="0.2">
      <c r="B331" s="408" t="str">
        <f t="shared" si="21"/>
        <v>Hunters Hill, The Council of the Municipality of</v>
      </c>
      <c r="C331" t="s">
        <v>326</v>
      </c>
      <c r="D331" s="443">
        <f t="shared" si="20"/>
        <v>0.05</v>
      </c>
      <c r="E331" t="b">
        <f t="shared" si="22"/>
        <v>0</v>
      </c>
      <c r="F331" s="1491" t="b">
        <f>C331=M327</f>
        <v>1</v>
      </c>
      <c r="G331" s="1491" t="s">
        <v>954</v>
      </c>
      <c r="I331" s="412"/>
      <c r="L331" s="1487">
        <v>4.7E-2</v>
      </c>
      <c r="M331" s="416" t="s">
        <v>331</v>
      </c>
      <c r="N331" s="412"/>
    </row>
    <row r="332" spans="2:14" x14ac:dyDescent="0.2">
      <c r="B332" s="408" t="str">
        <f t="shared" si="21"/>
        <v>Inner West Council</v>
      </c>
      <c r="C332" t="s">
        <v>328</v>
      </c>
      <c r="D332" s="443">
        <f t="shared" si="20"/>
        <v>4.9000000000000002E-2</v>
      </c>
      <c r="E332" t="b">
        <f t="shared" si="22"/>
        <v>1</v>
      </c>
      <c r="I332" s="412"/>
      <c r="L332" s="1487">
        <v>4.4999999999999998E-2</v>
      </c>
      <c r="M332" s="416" t="s">
        <v>332</v>
      </c>
      <c r="N332" s="412"/>
    </row>
    <row r="333" spans="2:14" x14ac:dyDescent="0.2">
      <c r="B333" s="408" t="str">
        <f t="shared" si="21"/>
        <v>Inverell Shire Council</v>
      </c>
      <c r="C333" t="s">
        <v>329</v>
      </c>
      <c r="D333" s="443">
        <f t="shared" si="20"/>
        <v>4.4999999999999998E-2</v>
      </c>
      <c r="E333" t="b">
        <f t="shared" si="22"/>
        <v>1</v>
      </c>
      <c r="I333" s="412"/>
      <c r="L333" s="1487">
        <v>5.1999999999999998E-2</v>
      </c>
      <c r="M333" s="416" t="s">
        <v>333</v>
      </c>
      <c r="N333" s="412"/>
    </row>
    <row r="334" spans="2:14" x14ac:dyDescent="0.2">
      <c r="B334" s="408" t="str">
        <f t="shared" si="21"/>
        <v>Junee Shire Council</v>
      </c>
      <c r="C334" t="s">
        <v>330</v>
      </c>
      <c r="D334" s="443">
        <f t="shared" si="20"/>
        <v>4.4999999999999998E-2</v>
      </c>
      <c r="E334" t="b">
        <f t="shared" si="22"/>
        <v>1</v>
      </c>
      <c r="I334" s="412"/>
      <c r="L334" s="1487">
        <v>4.7E-2</v>
      </c>
      <c r="M334" s="416" t="s">
        <v>334</v>
      </c>
      <c r="N334" s="412"/>
    </row>
    <row r="335" spans="2:14" x14ac:dyDescent="0.2">
      <c r="B335" s="408" t="str">
        <f t="shared" si="21"/>
        <v>Kempsey Shire Council</v>
      </c>
      <c r="C335" t="s">
        <v>331</v>
      </c>
      <c r="D335" s="443">
        <f t="shared" si="20"/>
        <v>4.7E-2</v>
      </c>
      <c r="E335" t="b">
        <f t="shared" si="22"/>
        <v>1</v>
      </c>
      <c r="I335" s="412"/>
      <c r="L335" s="1487">
        <v>4.4999999999999998E-2</v>
      </c>
      <c r="M335" s="416" t="s">
        <v>335</v>
      </c>
      <c r="N335" s="412"/>
    </row>
    <row r="336" spans="2:14" x14ac:dyDescent="0.2">
      <c r="B336" s="408" t="str">
        <f t="shared" ref="B336:B367" si="23">C132</f>
        <v>Kiama, The Council of the Municipality of</v>
      </c>
      <c r="C336" t="s">
        <v>332</v>
      </c>
      <c r="D336" s="443">
        <f t="shared" si="20"/>
        <v>4.4999999999999998E-2</v>
      </c>
      <c r="E336" t="b">
        <f t="shared" ref="E336:E367" si="24">IF(ISNUMBER(SEARCH(C336,B336)),TRUE,FALSE)</f>
        <v>0</v>
      </c>
      <c r="F336" s="1491" t="b">
        <f>C336=M332</f>
        <v>1</v>
      </c>
      <c r="G336" s="1491" t="s">
        <v>954</v>
      </c>
      <c r="I336" s="412"/>
      <c r="L336" s="1487">
        <v>5.6000000000000001E-2</v>
      </c>
      <c r="M336" s="416" t="s">
        <v>336</v>
      </c>
      <c r="N336" s="412"/>
    </row>
    <row r="337" spans="2:14" x14ac:dyDescent="0.2">
      <c r="B337" s="408" t="str">
        <f t="shared" si="23"/>
        <v>Ku-ring-gai Municipal Council</v>
      </c>
      <c r="C337" t="s">
        <v>333</v>
      </c>
      <c r="D337" s="443">
        <f t="shared" ref="D337:D399" si="25">INDEX($L$272:$L$399,MATCH(C337,$M$272:$M$399,0))</f>
        <v>5.1999999999999998E-2</v>
      </c>
      <c r="E337" t="b">
        <f t="shared" si="24"/>
        <v>1</v>
      </c>
      <c r="I337" s="412"/>
      <c r="L337" s="1487">
        <v>4.9000000000000002E-2</v>
      </c>
      <c r="M337" s="416" t="s">
        <v>337</v>
      </c>
      <c r="N337" s="412"/>
    </row>
    <row r="338" spans="2:14" x14ac:dyDescent="0.2">
      <c r="B338" s="408" t="str">
        <f t="shared" si="23"/>
        <v>Kyogle Council</v>
      </c>
      <c r="C338" t="s">
        <v>334</v>
      </c>
      <c r="D338" s="443">
        <f t="shared" si="25"/>
        <v>4.7E-2</v>
      </c>
      <c r="E338" t="b">
        <f t="shared" si="24"/>
        <v>1</v>
      </c>
      <c r="I338" s="412"/>
      <c r="L338" s="1487">
        <v>4.4999999999999998E-2</v>
      </c>
      <c r="M338" s="416" t="s">
        <v>338</v>
      </c>
      <c r="N338" s="412"/>
    </row>
    <row r="339" spans="2:14" x14ac:dyDescent="0.2">
      <c r="B339" s="408" t="str">
        <f t="shared" si="23"/>
        <v>Lachlan Shire Council</v>
      </c>
      <c r="C339" t="s">
        <v>335</v>
      </c>
      <c r="D339" s="443">
        <f t="shared" si="25"/>
        <v>4.4999999999999998E-2</v>
      </c>
      <c r="E339" t="b">
        <f t="shared" si="24"/>
        <v>1</v>
      </c>
      <c r="I339" s="412"/>
      <c r="L339" s="1487">
        <v>4.7E-2</v>
      </c>
      <c r="M339" s="416" t="s">
        <v>339</v>
      </c>
      <c r="N339" s="412"/>
    </row>
    <row r="340" spans="2:14" x14ac:dyDescent="0.2">
      <c r="B340" s="408" t="str">
        <f t="shared" si="23"/>
        <v>Lake Macquarie City Council</v>
      </c>
      <c r="C340" t="s">
        <v>336</v>
      </c>
      <c r="D340" s="443">
        <f t="shared" si="25"/>
        <v>5.6000000000000001E-2</v>
      </c>
      <c r="E340" t="b">
        <f t="shared" si="24"/>
        <v>1</v>
      </c>
      <c r="I340" s="412"/>
      <c r="L340" s="1487">
        <v>4.4999999999999998E-2</v>
      </c>
      <c r="M340" s="416" t="s">
        <v>340</v>
      </c>
      <c r="N340" s="412"/>
    </row>
    <row r="341" spans="2:14" x14ac:dyDescent="0.2">
      <c r="B341" s="408" t="str">
        <f t="shared" si="23"/>
        <v>Lane Cove Council</v>
      </c>
      <c r="C341" t="s">
        <v>337</v>
      </c>
      <c r="D341" s="443">
        <f t="shared" si="25"/>
        <v>4.9000000000000002E-2</v>
      </c>
      <c r="E341" t="b">
        <f t="shared" si="24"/>
        <v>1</v>
      </c>
      <c r="I341" s="412"/>
      <c r="L341" s="1487">
        <v>0.05</v>
      </c>
      <c r="M341" s="416" t="s">
        <v>341</v>
      </c>
      <c r="N341" s="412"/>
    </row>
    <row r="342" spans="2:14" x14ac:dyDescent="0.2">
      <c r="B342" s="408" t="str">
        <f t="shared" si="23"/>
        <v>Leeton Shire Council</v>
      </c>
      <c r="C342" t="s">
        <v>338</v>
      </c>
      <c r="D342" s="443">
        <f t="shared" si="25"/>
        <v>4.4999999999999998E-2</v>
      </c>
      <c r="E342" t="b">
        <f t="shared" si="24"/>
        <v>1</v>
      </c>
      <c r="I342" s="412"/>
      <c r="L342" s="1487">
        <v>4.8000000000000001E-2</v>
      </c>
      <c r="M342" s="416" t="s">
        <v>342</v>
      </c>
      <c r="N342" s="412"/>
    </row>
    <row r="343" spans="2:14" x14ac:dyDescent="0.2">
      <c r="B343" s="408" t="str">
        <f t="shared" si="23"/>
        <v>Lismore City Council</v>
      </c>
      <c r="C343" t="s">
        <v>339</v>
      </c>
      <c r="D343" s="443">
        <f t="shared" si="25"/>
        <v>4.7E-2</v>
      </c>
      <c r="E343" t="b">
        <f t="shared" si="24"/>
        <v>1</v>
      </c>
      <c r="I343" s="412"/>
      <c r="L343" s="1487">
        <v>7.1999999999999995E-2</v>
      </c>
      <c r="M343" s="416" t="s">
        <v>343</v>
      </c>
      <c r="N343" s="412"/>
    </row>
    <row r="344" spans="2:14" x14ac:dyDescent="0.2">
      <c r="B344" s="408" t="str">
        <f t="shared" si="23"/>
        <v>Lithgow Council, City of</v>
      </c>
      <c r="C344" t="s">
        <v>340</v>
      </c>
      <c r="D344" s="443">
        <f t="shared" si="25"/>
        <v>4.4999999999999998E-2</v>
      </c>
      <c r="E344" t="b">
        <f t="shared" si="24"/>
        <v>1</v>
      </c>
      <c r="I344" s="412"/>
      <c r="L344" s="1487">
        <v>0.05</v>
      </c>
      <c r="M344" s="416" t="s">
        <v>344</v>
      </c>
      <c r="N344" s="412"/>
    </row>
    <row r="345" spans="2:14" x14ac:dyDescent="0.2">
      <c r="B345" s="408" t="str">
        <f t="shared" si="23"/>
        <v>Liverpool City Council</v>
      </c>
      <c r="C345" t="s">
        <v>341</v>
      </c>
      <c r="D345" s="443">
        <f t="shared" si="25"/>
        <v>0.05</v>
      </c>
      <c r="E345" t="b">
        <f t="shared" si="24"/>
        <v>1</v>
      </c>
      <c r="I345" s="412"/>
      <c r="L345" s="1487">
        <v>5.1999999999999998E-2</v>
      </c>
      <c r="M345" s="416" t="s">
        <v>345</v>
      </c>
      <c r="N345" s="412"/>
    </row>
    <row r="346" spans="2:14" x14ac:dyDescent="0.2">
      <c r="B346" s="408" t="str">
        <f t="shared" si="23"/>
        <v>Liverpool Plains Shire Council</v>
      </c>
      <c r="C346" t="s">
        <v>342</v>
      </c>
      <c r="D346" s="443">
        <f t="shared" si="25"/>
        <v>4.8000000000000001E-2</v>
      </c>
      <c r="E346" t="b">
        <f t="shared" si="24"/>
        <v>1</v>
      </c>
      <c r="I346" s="412"/>
      <c r="L346" s="1487">
        <v>4.4999999999999998E-2</v>
      </c>
      <c r="M346" s="416" t="s">
        <v>346</v>
      </c>
      <c r="N346" s="412"/>
    </row>
    <row r="347" spans="2:14" x14ac:dyDescent="0.2">
      <c r="B347" s="408" t="str">
        <f t="shared" si="23"/>
        <v>Lockhart Shire Council</v>
      </c>
      <c r="C347" t="s">
        <v>343</v>
      </c>
      <c r="D347" s="443">
        <f t="shared" si="25"/>
        <v>7.1999999999999995E-2</v>
      </c>
      <c r="E347" t="b">
        <f t="shared" si="24"/>
        <v>1</v>
      </c>
      <c r="I347" s="412"/>
      <c r="L347" s="1487">
        <v>4.4999999999999998E-2</v>
      </c>
      <c r="M347" s="416" t="s">
        <v>347</v>
      </c>
      <c r="N347" s="412"/>
    </row>
    <row r="348" spans="2:14" x14ac:dyDescent="0.2">
      <c r="B348" s="408" t="str">
        <f t="shared" si="23"/>
        <v>Maitland City Council</v>
      </c>
      <c r="C348" t="s">
        <v>344</v>
      </c>
      <c r="D348" s="443">
        <f t="shared" si="25"/>
        <v>0.05</v>
      </c>
      <c r="E348" t="b">
        <f t="shared" si="24"/>
        <v>1</v>
      </c>
      <c r="I348" s="412"/>
      <c r="L348" s="1487">
        <v>5.2999999999999999E-2</v>
      </c>
      <c r="M348" s="416" t="s">
        <v>348</v>
      </c>
      <c r="N348" s="412"/>
    </row>
    <row r="349" spans="2:14" x14ac:dyDescent="0.2">
      <c r="B349" s="408" t="str">
        <f t="shared" si="23"/>
        <v>Mid-Coast Council</v>
      </c>
      <c r="C349" t="s">
        <v>345</v>
      </c>
      <c r="D349" s="443">
        <f t="shared" si="25"/>
        <v>5.1999999999999998E-2</v>
      </c>
      <c r="E349" t="b">
        <f t="shared" si="24"/>
        <v>1</v>
      </c>
      <c r="I349" s="412"/>
      <c r="L349" s="1487">
        <v>4.7E-2</v>
      </c>
      <c r="M349" s="416" t="s">
        <v>349</v>
      </c>
      <c r="N349" s="412"/>
    </row>
    <row r="350" spans="2:14" x14ac:dyDescent="0.2">
      <c r="B350" s="408" t="str">
        <f t="shared" si="23"/>
        <v>Mid-Western Regional Council</v>
      </c>
      <c r="C350" t="s">
        <v>346</v>
      </c>
      <c r="D350" s="443">
        <f t="shared" si="25"/>
        <v>4.4999999999999998E-2</v>
      </c>
      <c r="E350" t="b">
        <f t="shared" si="24"/>
        <v>1</v>
      </c>
      <c r="I350" s="412"/>
      <c r="L350" s="1487">
        <v>4.4999999999999998E-2</v>
      </c>
      <c r="M350" s="416" t="s">
        <v>951</v>
      </c>
      <c r="N350" s="412"/>
    </row>
    <row r="351" spans="2:14" x14ac:dyDescent="0.2">
      <c r="B351" s="408" t="str">
        <f t="shared" si="23"/>
        <v>Moree Plains Shire Council</v>
      </c>
      <c r="C351" t="s">
        <v>347</v>
      </c>
      <c r="D351" s="443">
        <f t="shared" si="25"/>
        <v>4.4999999999999998E-2</v>
      </c>
      <c r="E351" t="b">
        <f t="shared" si="24"/>
        <v>1</v>
      </c>
      <c r="I351" s="412"/>
      <c r="L351" s="1487">
        <v>4.4999999999999998E-2</v>
      </c>
      <c r="M351" s="416" t="s">
        <v>350</v>
      </c>
      <c r="N351" s="412"/>
    </row>
    <row r="352" spans="2:14" x14ac:dyDescent="0.2">
      <c r="B352" s="408" t="str">
        <f t="shared" si="23"/>
        <v>Mosman Municipal Council</v>
      </c>
      <c r="C352" t="s">
        <v>348</v>
      </c>
      <c r="D352" s="443">
        <f t="shared" si="25"/>
        <v>5.2999999999999999E-2</v>
      </c>
      <c r="E352" t="b">
        <f t="shared" si="24"/>
        <v>1</v>
      </c>
      <c r="I352" s="412"/>
      <c r="L352" s="1487">
        <v>4.4999999999999998E-2</v>
      </c>
      <c r="M352" s="416" t="s">
        <v>351</v>
      </c>
      <c r="N352" s="412"/>
    </row>
    <row r="353" spans="2:14" x14ac:dyDescent="0.2">
      <c r="B353" s="408" t="str">
        <f t="shared" si="23"/>
        <v>Murray River Council</v>
      </c>
      <c r="C353" t="s">
        <v>349</v>
      </c>
      <c r="D353" s="443">
        <f t="shared" si="25"/>
        <v>4.7E-2</v>
      </c>
      <c r="E353" t="b">
        <f t="shared" si="24"/>
        <v>1</v>
      </c>
      <c r="I353" s="412"/>
      <c r="L353" s="1487">
        <v>4.4999999999999998E-2</v>
      </c>
      <c r="M353" s="416" t="s">
        <v>352</v>
      </c>
      <c r="N353" s="412"/>
    </row>
    <row r="354" spans="2:14" x14ac:dyDescent="0.2">
      <c r="B354" s="408" t="str">
        <f t="shared" si="23"/>
        <v>Murrumbidgee Shire Council</v>
      </c>
      <c r="C354" t="s">
        <v>951</v>
      </c>
      <c r="D354" s="443">
        <f t="shared" si="25"/>
        <v>4.4999999999999998E-2</v>
      </c>
      <c r="E354" t="b">
        <f t="shared" si="24"/>
        <v>1</v>
      </c>
      <c r="I354" s="412"/>
      <c r="L354" s="1487">
        <v>4.4999999999999998E-2</v>
      </c>
      <c r="M354" s="416" t="s">
        <v>353</v>
      </c>
      <c r="N354" s="412"/>
    </row>
    <row r="355" spans="2:14" x14ac:dyDescent="0.2">
      <c r="B355" s="408" t="str">
        <f t="shared" si="23"/>
        <v>Muswellbrook Shire Council</v>
      </c>
      <c r="C355" t="s">
        <v>350</v>
      </c>
      <c r="D355" s="443">
        <f t="shared" si="25"/>
        <v>4.4999999999999998E-2</v>
      </c>
      <c r="E355" t="b">
        <f t="shared" si="24"/>
        <v>1</v>
      </c>
      <c r="I355" s="412"/>
      <c r="L355" s="1487">
        <v>4.4999999999999998E-2</v>
      </c>
      <c r="M355" s="416" t="s">
        <v>354</v>
      </c>
      <c r="N355" s="412"/>
    </row>
    <row r="356" spans="2:14" x14ac:dyDescent="0.2">
      <c r="B356" s="408" t="str">
        <f t="shared" si="23"/>
        <v>Nambucca Shire Council</v>
      </c>
      <c r="C356" t="s">
        <v>351</v>
      </c>
      <c r="D356" s="443">
        <f t="shared" si="25"/>
        <v>4.4999999999999998E-2</v>
      </c>
      <c r="E356" t="b">
        <f t="shared" si="24"/>
        <v>1</v>
      </c>
      <c r="I356" s="412"/>
      <c r="L356" s="1487">
        <v>5.1999999999999998E-2</v>
      </c>
      <c r="M356" s="416" t="s">
        <v>355</v>
      </c>
      <c r="N356" s="412"/>
    </row>
    <row r="357" spans="2:14" x14ac:dyDescent="0.2">
      <c r="B357" s="408" t="str">
        <f t="shared" si="23"/>
        <v>Narrabri Shire Council</v>
      </c>
      <c r="C357" t="s">
        <v>352</v>
      </c>
      <c r="D357" s="443">
        <f t="shared" si="25"/>
        <v>4.4999999999999998E-2</v>
      </c>
      <c r="E357" t="b">
        <f t="shared" si="24"/>
        <v>1</v>
      </c>
      <c r="I357" s="412"/>
      <c r="L357" s="1487">
        <v>0.05</v>
      </c>
      <c r="M357" s="416" t="s">
        <v>356</v>
      </c>
      <c r="N357" s="412"/>
    </row>
    <row r="358" spans="2:14" x14ac:dyDescent="0.2">
      <c r="B358" s="408" t="str">
        <f t="shared" si="23"/>
        <v>Narrandera Shire Council</v>
      </c>
      <c r="C358" t="s">
        <v>353</v>
      </c>
      <c r="D358" s="443">
        <f t="shared" si="25"/>
        <v>4.4999999999999998E-2</v>
      </c>
      <c r="E358" t="b">
        <f t="shared" si="24"/>
        <v>1</v>
      </c>
      <c r="I358" s="412"/>
      <c r="L358" s="1487">
        <v>4.9000000000000002E-2</v>
      </c>
      <c r="M358" s="416" t="s">
        <v>357</v>
      </c>
      <c r="N358" s="412"/>
    </row>
    <row r="359" spans="2:14" x14ac:dyDescent="0.2">
      <c r="B359" s="408" t="str">
        <f t="shared" si="23"/>
        <v>Narromine Shire Council</v>
      </c>
      <c r="C359" t="s">
        <v>354</v>
      </c>
      <c r="D359" s="443">
        <f t="shared" si="25"/>
        <v>4.4999999999999998E-2</v>
      </c>
      <c r="E359" t="b">
        <f t="shared" si="24"/>
        <v>1</v>
      </c>
      <c r="I359" s="412"/>
      <c r="L359" s="1487">
        <v>5.1999999999999998E-2</v>
      </c>
      <c r="M359" s="416" t="s">
        <v>358</v>
      </c>
      <c r="N359" s="412"/>
    </row>
    <row r="360" spans="2:14" x14ac:dyDescent="0.2">
      <c r="B360" s="408" t="str">
        <f t="shared" si="23"/>
        <v>Newcastle City Council</v>
      </c>
      <c r="C360" t="s">
        <v>355</v>
      </c>
      <c r="D360" s="443">
        <f t="shared" si="25"/>
        <v>5.1999999999999998E-2</v>
      </c>
      <c r="E360" t="b">
        <f t="shared" si="24"/>
        <v>1</v>
      </c>
      <c r="I360" s="412"/>
      <c r="L360" s="1487">
        <v>4.7E-2</v>
      </c>
      <c r="M360" s="416" t="s">
        <v>359</v>
      </c>
      <c r="N360" s="412"/>
    </row>
    <row r="361" spans="2:14" x14ac:dyDescent="0.2">
      <c r="B361" s="408" t="str">
        <f t="shared" si="23"/>
        <v>Northern Beaches Council</v>
      </c>
      <c r="C361" t="s">
        <v>357</v>
      </c>
      <c r="D361" s="443">
        <f t="shared" si="25"/>
        <v>4.9000000000000002E-2</v>
      </c>
      <c r="E361" t="b">
        <f t="shared" si="24"/>
        <v>1</v>
      </c>
      <c r="I361" s="412"/>
      <c r="L361" s="1487">
        <v>4.4999999999999998E-2</v>
      </c>
      <c r="M361" s="416" t="s">
        <v>360</v>
      </c>
      <c r="N361" s="412"/>
    </row>
    <row r="362" spans="2:14" x14ac:dyDescent="0.2">
      <c r="B362" s="408" t="str">
        <f t="shared" si="23"/>
        <v>North Sydney Council</v>
      </c>
      <c r="C362" t="s">
        <v>356</v>
      </c>
      <c r="D362" s="443">
        <f t="shared" si="25"/>
        <v>0.05</v>
      </c>
      <c r="E362" t="b">
        <f t="shared" si="24"/>
        <v>1</v>
      </c>
      <c r="I362" s="412"/>
      <c r="L362" s="1487">
        <v>5.1000000000000004E-2</v>
      </c>
      <c r="M362" s="416" t="s">
        <v>952</v>
      </c>
      <c r="N362" s="412"/>
    </row>
    <row r="363" spans="2:14" x14ac:dyDescent="0.2">
      <c r="B363" s="408" t="str">
        <f t="shared" si="23"/>
        <v>Oberon Council</v>
      </c>
      <c r="C363" t="s">
        <v>358</v>
      </c>
      <c r="D363" s="443">
        <f t="shared" si="25"/>
        <v>5.1999999999999998E-2</v>
      </c>
      <c r="E363" t="b">
        <f t="shared" si="24"/>
        <v>1</v>
      </c>
      <c r="I363" s="412"/>
      <c r="L363" s="1487">
        <v>4.8000000000000001E-2</v>
      </c>
      <c r="M363" s="416" t="s">
        <v>361</v>
      </c>
      <c r="N363" s="412"/>
    </row>
    <row r="364" spans="2:14" x14ac:dyDescent="0.2">
      <c r="B364" s="408" t="str">
        <f t="shared" si="23"/>
        <v>Orange City Council</v>
      </c>
      <c r="C364" t="s">
        <v>359</v>
      </c>
      <c r="D364" s="443">
        <f t="shared" si="25"/>
        <v>4.7E-2</v>
      </c>
      <c r="E364" t="b">
        <f t="shared" si="24"/>
        <v>1</v>
      </c>
      <c r="I364" s="412"/>
      <c r="L364" s="1487">
        <v>4.5999999999999999E-2</v>
      </c>
      <c r="M364" s="416" t="s">
        <v>362</v>
      </c>
      <c r="N364" s="412"/>
    </row>
    <row r="365" spans="2:14" x14ac:dyDescent="0.2">
      <c r="B365" s="408" t="str">
        <f t="shared" si="23"/>
        <v>Parkes Shire Council</v>
      </c>
      <c r="C365" t="s">
        <v>360</v>
      </c>
      <c r="D365" s="443">
        <f t="shared" si="25"/>
        <v>4.4999999999999998E-2</v>
      </c>
      <c r="E365" t="b">
        <f t="shared" si="24"/>
        <v>1</v>
      </c>
      <c r="I365" s="412"/>
      <c r="L365" s="1487">
        <v>4.8000000000000001E-2</v>
      </c>
      <c r="M365" s="416" t="s">
        <v>363</v>
      </c>
      <c r="N365" s="412"/>
    </row>
    <row r="366" spans="2:14" x14ac:dyDescent="0.2">
      <c r="B366" s="408" t="str">
        <f t="shared" si="23"/>
        <v>Penrith City Council</v>
      </c>
      <c r="C366" t="s">
        <v>361</v>
      </c>
      <c r="D366" s="443">
        <f t="shared" si="25"/>
        <v>4.8000000000000001E-2</v>
      </c>
      <c r="E366" t="b">
        <f t="shared" si="24"/>
        <v>1</v>
      </c>
      <c r="I366" s="412"/>
      <c r="L366" s="1487">
        <v>4.4999999999999998E-2</v>
      </c>
      <c r="M366" s="416" t="s">
        <v>364</v>
      </c>
      <c r="N366" s="412"/>
    </row>
    <row r="367" spans="2:14" x14ac:dyDescent="0.2">
      <c r="B367" s="408" t="str">
        <f t="shared" si="23"/>
        <v>Port Macquarie-Hastings Council</v>
      </c>
      <c r="C367" t="s">
        <v>362</v>
      </c>
      <c r="D367" s="443">
        <f t="shared" si="25"/>
        <v>4.5999999999999999E-2</v>
      </c>
      <c r="E367" t="b">
        <f t="shared" si="24"/>
        <v>1</v>
      </c>
      <c r="I367" s="412"/>
      <c r="L367" s="1487">
        <v>4.9000000000000002E-2</v>
      </c>
      <c r="M367" s="416" t="s">
        <v>365</v>
      </c>
      <c r="N367" s="412"/>
    </row>
    <row r="368" spans="2:14" x14ac:dyDescent="0.2">
      <c r="B368" s="408" t="str">
        <f t="shared" ref="B368:B378" si="26">C164</f>
        <v>Port Stephens Council</v>
      </c>
      <c r="C368" t="s">
        <v>363</v>
      </c>
      <c r="D368" s="443">
        <f t="shared" si="25"/>
        <v>4.8000000000000001E-2</v>
      </c>
      <c r="E368" t="b">
        <f t="shared" ref="E368:E399" si="27">IF(ISNUMBER(SEARCH(C368,B368)),TRUE,FALSE)</f>
        <v>1</v>
      </c>
      <c r="I368" s="412"/>
      <c r="L368" s="1487">
        <v>4.5999999999999999E-2</v>
      </c>
      <c r="M368" s="416" t="s">
        <v>366</v>
      </c>
      <c r="N368" s="412"/>
    </row>
    <row r="369" spans="2:14" x14ac:dyDescent="0.2">
      <c r="B369" s="408" t="str">
        <f t="shared" si="26"/>
        <v>Queanbeyan-Palerang Regional Council</v>
      </c>
      <c r="C369" t="s">
        <v>364</v>
      </c>
      <c r="D369" s="443">
        <f t="shared" si="25"/>
        <v>4.4999999999999998E-2</v>
      </c>
      <c r="E369" t="b">
        <f t="shared" si="27"/>
        <v>1</v>
      </c>
      <c r="I369" s="412"/>
      <c r="L369" s="1487">
        <v>5.0999999999999997E-2</v>
      </c>
      <c r="M369" s="416" t="s">
        <v>298</v>
      </c>
      <c r="N369" s="412"/>
    </row>
    <row r="370" spans="2:14" x14ac:dyDescent="0.2">
      <c r="B370" s="408" t="str">
        <f t="shared" si="26"/>
        <v>Randwick City Council</v>
      </c>
      <c r="C370" t="s">
        <v>365</v>
      </c>
      <c r="D370" s="443">
        <f t="shared" si="25"/>
        <v>4.9000000000000002E-2</v>
      </c>
      <c r="E370" t="b">
        <f t="shared" si="27"/>
        <v>1</v>
      </c>
      <c r="I370" s="412"/>
      <c r="L370" s="1487">
        <v>6.2E-2</v>
      </c>
      <c r="M370" s="416" t="s">
        <v>367</v>
      </c>
      <c r="N370" s="412"/>
    </row>
    <row r="371" spans="2:14" x14ac:dyDescent="0.2">
      <c r="B371" s="408" t="str">
        <f t="shared" si="26"/>
        <v>Richmond Valley Council</v>
      </c>
      <c r="C371" t="s">
        <v>366</v>
      </c>
      <c r="D371" s="443">
        <f t="shared" si="25"/>
        <v>4.5999999999999999E-2</v>
      </c>
      <c r="E371" t="b">
        <f t="shared" si="27"/>
        <v>1</v>
      </c>
      <c r="I371" s="412"/>
      <c r="L371" s="1487">
        <v>4.4999999999999998E-2</v>
      </c>
      <c r="M371" s="416" t="s">
        <v>368</v>
      </c>
      <c r="N371" s="412"/>
    </row>
    <row r="372" spans="2:14" x14ac:dyDescent="0.2">
      <c r="B372" s="408" t="str">
        <f t="shared" si="26"/>
        <v>Shellharbour City Council</v>
      </c>
      <c r="C372" t="s">
        <v>367</v>
      </c>
      <c r="D372" s="443">
        <f t="shared" si="25"/>
        <v>6.2E-2</v>
      </c>
      <c r="E372" t="b">
        <f t="shared" si="27"/>
        <v>1</v>
      </c>
      <c r="I372" s="412"/>
      <c r="L372" s="1487">
        <v>5.6999999999999995E-2</v>
      </c>
      <c r="M372" s="416" t="s">
        <v>369</v>
      </c>
      <c r="N372" s="412"/>
    </row>
    <row r="373" spans="2:14" x14ac:dyDescent="0.2">
      <c r="B373" s="408" t="str">
        <f t="shared" si="26"/>
        <v>Shoalhaven City Council</v>
      </c>
      <c r="C373" t="s">
        <v>368</v>
      </c>
      <c r="D373" s="443">
        <f t="shared" si="25"/>
        <v>4.4999999999999998E-2</v>
      </c>
      <c r="E373" t="b">
        <f t="shared" si="27"/>
        <v>1</v>
      </c>
      <c r="I373" s="412"/>
      <c r="L373" s="1487">
        <v>5.1999999999999998E-2</v>
      </c>
      <c r="M373" s="416" t="s">
        <v>370</v>
      </c>
      <c r="N373" s="412"/>
    </row>
    <row r="374" spans="2:14" x14ac:dyDescent="0.2">
      <c r="B374" s="408" t="str">
        <f t="shared" si="26"/>
        <v>Singleton Shire Council</v>
      </c>
      <c r="C374" t="s">
        <v>369</v>
      </c>
      <c r="D374" s="443">
        <f t="shared" si="25"/>
        <v>5.6999999999999995E-2</v>
      </c>
      <c r="E374" t="b">
        <f t="shared" si="27"/>
        <v>1</v>
      </c>
      <c r="I374" s="412"/>
      <c r="L374" s="1487">
        <v>4.9999999999999996E-2</v>
      </c>
      <c r="M374" s="416" t="s">
        <v>371</v>
      </c>
      <c r="N374" s="412"/>
    </row>
    <row r="375" spans="2:14" x14ac:dyDescent="0.2">
      <c r="B375" s="408" t="str">
        <f t="shared" si="26"/>
        <v>Snowy Monaro Regional Council</v>
      </c>
      <c r="C375" t="s">
        <v>370</v>
      </c>
      <c r="D375" s="443">
        <f t="shared" si="25"/>
        <v>5.1999999999999998E-2</v>
      </c>
      <c r="E375" t="b">
        <f t="shared" si="27"/>
        <v>1</v>
      </c>
      <c r="I375" s="412"/>
      <c r="L375" s="1487">
        <v>0.05</v>
      </c>
      <c r="M375" s="416" t="s">
        <v>372</v>
      </c>
      <c r="N375" s="412"/>
    </row>
    <row r="376" spans="2:14" x14ac:dyDescent="0.2">
      <c r="B376" s="408" t="str">
        <f t="shared" si="26"/>
        <v>Snowy Valleys Council</v>
      </c>
      <c r="C376" t="s">
        <v>371</v>
      </c>
      <c r="D376" s="443">
        <f t="shared" si="25"/>
        <v>4.9999999999999996E-2</v>
      </c>
      <c r="E376" t="b">
        <f t="shared" si="27"/>
        <v>1</v>
      </c>
      <c r="I376" s="412"/>
      <c r="L376" s="1487">
        <v>4.8000000000000001E-2</v>
      </c>
      <c r="M376" s="416" t="s">
        <v>373</v>
      </c>
      <c r="N376" s="412"/>
    </row>
    <row r="377" spans="2:14" x14ac:dyDescent="0.2">
      <c r="B377" s="408" t="str">
        <f t="shared" si="26"/>
        <v>Strathfield Municipal Council</v>
      </c>
      <c r="C377" t="s">
        <v>372</v>
      </c>
      <c r="D377" s="443">
        <f t="shared" si="25"/>
        <v>0.05</v>
      </c>
      <c r="E377" t="b">
        <f t="shared" si="27"/>
        <v>1</v>
      </c>
      <c r="I377" s="412"/>
      <c r="L377" s="1487">
        <v>5.0999999999999997E-2</v>
      </c>
      <c r="M377" s="416" t="s">
        <v>300</v>
      </c>
      <c r="N377" s="412"/>
    </row>
    <row r="378" spans="2:14" x14ac:dyDescent="0.2">
      <c r="B378" s="408" t="str">
        <f t="shared" si="26"/>
        <v>Sutherland Shire Council</v>
      </c>
      <c r="C378" t="s">
        <v>373</v>
      </c>
      <c r="D378" s="443">
        <f t="shared" si="25"/>
        <v>4.8000000000000001E-2</v>
      </c>
      <c r="E378" t="b">
        <f t="shared" si="27"/>
        <v>1</v>
      </c>
      <c r="I378" s="412"/>
      <c r="L378" s="1487">
        <v>4.9000000000000002E-2</v>
      </c>
      <c r="M378" s="416" t="s">
        <v>374</v>
      </c>
      <c r="N378" s="412"/>
    </row>
    <row r="379" spans="2:14" x14ac:dyDescent="0.2">
      <c r="B379" s="408" t="str">
        <f t="shared" ref="B379:B393" si="28">C175</f>
        <v>Tamworth Regional Council</v>
      </c>
      <c r="C379" t="s">
        <v>374</v>
      </c>
      <c r="D379" s="443">
        <f t="shared" si="25"/>
        <v>4.9000000000000002E-2</v>
      </c>
      <c r="E379" t="b">
        <f t="shared" si="27"/>
        <v>1</v>
      </c>
      <c r="I379" s="412"/>
      <c r="L379" s="1487">
        <v>4.4999999999999998E-2</v>
      </c>
      <c r="M379" s="416" t="s">
        <v>375</v>
      </c>
      <c r="N379" s="412"/>
    </row>
    <row r="380" spans="2:14" x14ac:dyDescent="0.2">
      <c r="B380" s="408" t="str">
        <f t="shared" si="28"/>
        <v>Temora Shire Council</v>
      </c>
      <c r="C380" t="s">
        <v>375</v>
      </c>
      <c r="D380" s="443">
        <f t="shared" si="25"/>
        <v>4.4999999999999998E-2</v>
      </c>
      <c r="E380" t="b">
        <f t="shared" si="27"/>
        <v>1</v>
      </c>
      <c r="I380" s="412"/>
      <c r="L380" s="1487">
        <v>5.6999999999999995E-2</v>
      </c>
      <c r="M380" s="416" t="s">
        <v>376</v>
      </c>
      <c r="N380" s="412"/>
    </row>
    <row r="381" spans="2:14" x14ac:dyDescent="0.2">
      <c r="B381" s="408" t="str">
        <f t="shared" si="28"/>
        <v>Tenterfield Shire Council</v>
      </c>
      <c r="C381" t="s">
        <v>376</v>
      </c>
      <c r="D381" s="443">
        <f t="shared" si="25"/>
        <v>5.6999999999999995E-2</v>
      </c>
      <c r="E381" t="b">
        <f t="shared" si="27"/>
        <v>1</v>
      </c>
      <c r="I381" s="412"/>
      <c r="L381" s="1487">
        <v>7.1000000000000008E-2</v>
      </c>
      <c r="M381" s="416" t="s">
        <v>327</v>
      </c>
      <c r="N381" s="412"/>
    </row>
    <row r="382" spans="2:14" x14ac:dyDescent="0.2">
      <c r="B382" s="408" t="str">
        <f t="shared" si="28"/>
        <v>Tweed Shire Council</v>
      </c>
      <c r="C382" t="s">
        <v>377</v>
      </c>
      <c r="D382" s="443">
        <f t="shared" si="25"/>
        <v>4.5999999999999999E-2</v>
      </c>
      <c r="E382" t="b">
        <f t="shared" si="27"/>
        <v>1</v>
      </c>
      <c r="I382" s="412"/>
      <c r="L382" s="1487">
        <v>4.5999999999999999E-2</v>
      </c>
      <c r="M382" s="416" t="s">
        <v>377</v>
      </c>
      <c r="N382" s="412"/>
    </row>
    <row r="383" spans="2:14" x14ac:dyDescent="0.2">
      <c r="B383" s="408" t="str">
        <f t="shared" si="28"/>
        <v>Upper Hunter Shire Council</v>
      </c>
      <c r="C383" t="s">
        <v>378</v>
      </c>
      <c r="D383" s="443">
        <f t="shared" si="25"/>
        <v>4.4999999999999998E-2</v>
      </c>
      <c r="E383" t="b">
        <f t="shared" si="27"/>
        <v>1</v>
      </c>
      <c r="I383" s="412"/>
      <c r="L383" s="1487">
        <v>4.4999999999999998E-2</v>
      </c>
      <c r="M383" s="416" t="s">
        <v>378</v>
      </c>
      <c r="N383" s="412"/>
    </row>
    <row r="384" spans="2:14" x14ac:dyDescent="0.2">
      <c r="B384" s="408" t="str">
        <f t="shared" si="28"/>
        <v>Upper Lachlan Shire Council</v>
      </c>
      <c r="C384" t="s">
        <v>379</v>
      </c>
      <c r="D384" s="443">
        <f t="shared" si="25"/>
        <v>4.4999999999999998E-2</v>
      </c>
      <c r="E384" t="b">
        <f t="shared" si="27"/>
        <v>1</v>
      </c>
      <c r="I384" s="412"/>
      <c r="L384" s="1487">
        <v>4.4999999999999998E-2</v>
      </c>
      <c r="M384" s="416" t="s">
        <v>379</v>
      </c>
      <c r="N384" s="412"/>
    </row>
    <row r="385" spans="2:14" x14ac:dyDescent="0.2">
      <c r="B385" s="408" t="str">
        <f t="shared" si="28"/>
        <v>Uralla Shire Council</v>
      </c>
      <c r="C385" t="s">
        <v>380</v>
      </c>
      <c r="D385" s="443">
        <f t="shared" si="25"/>
        <v>4.4999999999999998E-2</v>
      </c>
      <c r="E385" t="b">
        <f t="shared" si="27"/>
        <v>1</v>
      </c>
      <c r="I385" s="412"/>
      <c r="L385" s="1487">
        <v>4.4999999999999998E-2</v>
      </c>
      <c r="M385" s="416" t="s">
        <v>380</v>
      </c>
      <c r="N385" s="412"/>
    </row>
    <row r="386" spans="2:14" x14ac:dyDescent="0.2">
      <c r="B386" s="408" t="str">
        <f t="shared" si="28"/>
        <v>Wagga Wagga City Council</v>
      </c>
      <c r="C386" t="s">
        <v>381</v>
      </c>
      <c r="D386" s="443">
        <f t="shared" si="25"/>
        <v>0.05</v>
      </c>
      <c r="E386" t="b">
        <f t="shared" si="27"/>
        <v>1</v>
      </c>
      <c r="I386" s="412"/>
      <c r="L386" s="1487">
        <v>0.05</v>
      </c>
      <c r="M386" s="416" t="s">
        <v>381</v>
      </c>
      <c r="N386" s="412"/>
    </row>
    <row r="387" spans="2:14" x14ac:dyDescent="0.2">
      <c r="B387" s="408" t="str">
        <f t="shared" si="28"/>
        <v>Walcha Council</v>
      </c>
      <c r="C387" t="s">
        <v>382</v>
      </c>
      <c r="D387" s="443">
        <f t="shared" si="25"/>
        <v>4.4999999999999998E-2</v>
      </c>
      <c r="E387" t="b">
        <f t="shared" si="27"/>
        <v>1</v>
      </c>
      <c r="I387" s="412"/>
      <c r="L387" s="1487">
        <v>4.4999999999999998E-2</v>
      </c>
      <c r="M387" s="416" t="s">
        <v>382</v>
      </c>
      <c r="N387" s="412"/>
    </row>
    <row r="388" spans="2:14" x14ac:dyDescent="0.2">
      <c r="B388" s="408" t="str">
        <f t="shared" si="28"/>
        <v>Walgett Shire Council</v>
      </c>
      <c r="C388" t="s">
        <v>383</v>
      </c>
      <c r="D388" s="443">
        <f t="shared" si="25"/>
        <v>4.4999999999999998E-2</v>
      </c>
      <c r="E388" t="b">
        <f t="shared" si="27"/>
        <v>1</v>
      </c>
      <c r="I388" s="412"/>
      <c r="L388" s="1487">
        <v>4.4999999999999998E-2</v>
      </c>
      <c r="M388" s="416" t="s">
        <v>383</v>
      </c>
      <c r="N388" s="412"/>
    </row>
    <row r="389" spans="2:14" x14ac:dyDescent="0.2">
      <c r="B389" s="408" t="str">
        <f t="shared" si="28"/>
        <v>Warren Shire Council</v>
      </c>
      <c r="C389" t="s">
        <v>384</v>
      </c>
      <c r="D389" s="443">
        <f t="shared" si="25"/>
        <v>4.4999999999999998E-2</v>
      </c>
      <c r="E389" t="b">
        <f t="shared" si="27"/>
        <v>1</v>
      </c>
      <c r="I389" s="412"/>
      <c r="L389" s="1487">
        <v>4.4999999999999998E-2</v>
      </c>
      <c r="M389" s="416" t="s">
        <v>384</v>
      </c>
      <c r="N389" s="412"/>
    </row>
    <row r="390" spans="2:14" x14ac:dyDescent="0.2">
      <c r="B390" s="408" t="str">
        <f t="shared" si="28"/>
        <v>Warrumbungle Shire Council</v>
      </c>
      <c r="C390" t="s">
        <v>385</v>
      </c>
      <c r="D390" s="443">
        <f t="shared" si="25"/>
        <v>4.4999999999999998E-2</v>
      </c>
      <c r="E390" t="b">
        <f t="shared" si="27"/>
        <v>1</v>
      </c>
      <c r="I390" s="412"/>
      <c r="L390" s="1487">
        <v>4.4999999999999998E-2</v>
      </c>
      <c r="M390" s="416" t="s">
        <v>385</v>
      </c>
      <c r="N390" s="412"/>
    </row>
    <row r="391" spans="2:14" x14ac:dyDescent="0.2">
      <c r="B391" s="408" t="str">
        <f t="shared" si="28"/>
        <v>Waverley Council</v>
      </c>
      <c r="C391" t="s">
        <v>386</v>
      </c>
      <c r="D391" s="443">
        <f t="shared" si="25"/>
        <v>0.05</v>
      </c>
      <c r="E391" t="b">
        <f t="shared" si="27"/>
        <v>1</v>
      </c>
      <c r="I391" s="412"/>
      <c r="L391" s="1487">
        <v>0.05</v>
      </c>
      <c r="M391" s="416" t="s">
        <v>386</v>
      </c>
      <c r="N391" s="412"/>
    </row>
    <row r="392" spans="2:14" x14ac:dyDescent="0.2">
      <c r="B392" s="408" t="str">
        <f t="shared" si="28"/>
        <v>Weddin Shire Council</v>
      </c>
      <c r="C392" t="s">
        <v>387</v>
      </c>
      <c r="D392" s="443">
        <f t="shared" si="25"/>
        <v>4.7E-2</v>
      </c>
      <c r="E392" t="b">
        <f t="shared" si="27"/>
        <v>1</v>
      </c>
      <c r="I392" s="412"/>
      <c r="L392" s="1487">
        <v>4.7E-2</v>
      </c>
      <c r="M392" s="416" t="s">
        <v>387</v>
      </c>
      <c r="N392" s="412"/>
    </row>
    <row r="393" spans="2:14" x14ac:dyDescent="0.2">
      <c r="B393" s="408" t="str">
        <f t="shared" si="28"/>
        <v>Wentworth Shire Council</v>
      </c>
      <c r="C393" t="s">
        <v>388</v>
      </c>
      <c r="D393" s="443">
        <f t="shared" si="25"/>
        <v>5.1999999999999998E-2</v>
      </c>
      <c r="E393" t="b">
        <f t="shared" si="27"/>
        <v>1</v>
      </c>
      <c r="I393" s="412"/>
      <c r="L393" s="1487">
        <v>5.1999999999999998E-2</v>
      </c>
      <c r="M393" s="416" t="s">
        <v>388</v>
      </c>
      <c r="N393" s="412"/>
    </row>
    <row r="394" spans="2:14" x14ac:dyDescent="0.2">
      <c r="B394" s="408" t="str">
        <f t="shared" ref="B394:B399" si="29">C190</f>
        <v>Willoughby City Council</v>
      </c>
      <c r="C394" t="s">
        <v>389</v>
      </c>
      <c r="D394" s="443">
        <f t="shared" si="25"/>
        <v>0.05</v>
      </c>
      <c r="E394" t="b">
        <f t="shared" si="27"/>
        <v>1</v>
      </c>
      <c r="I394" s="412"/>
      <c r="L394" s="1487">
        <v>0.05</v>
      </c>
      <c r="M394" s="416" t="s">
        <v>389</v>
      </c>
      <c r="N394" s="412"/>
    </row>
    <row r="395" spans="2:14" x14ac:dyDescent="0.2">
      <c r="B395" s="408" t="str">
        <f t="shared" si="29"/>
        <v>Wingecarribee Shire Council</v>
      </c>
      <c r="C395" t="s">
        <v>390</v>
      </c>
      <c r="D395" s="443">
        <f t="shared" si="25"/>
        <v>4.5999999999999999E-2</v>
      </c>
      <c r="E395" t="b">
        <f t="shared" si="27"/>
        <v>1</v>
      </c>
      <c r="I395" s="412"/>
      <c r="L395" s="1487">
        <v>4.5999999999999999E-2</v>
      </c>
      <c r="M395" s="416" t="s">
        <v>390</v>
      </c>
      <c r="N395" s="412"/>
    </row>
    <row r="396" spans="2:14" x14ac:dyDescent="0.2">
      <c r="B396" s="408" t="str">
        <f t="shared" si="29"/>
        <v>Wollondilly Shire Council</v>
      </c>
      <c r="C396" t="s">
        <v>391</v>
      </c>
      <c r="D396" s="443">
        <f t="shared" si="25"/>
        <v>5.3999999999999999E-2</v>
      </c>
      <c r="E396" t="b">
        <f t="shared" si="27"/>
        <v>1</v>
      </c>
      <c r="I396" s="412"/>
      <c r="L396" s="1487">
        <v>5.3999999999999999E-2</v>
      </c>
      <c r="M396" s="416" t="s">
        <v>391</v>
      </c>
      <c r="N396" s="412"/>
    </row>
    <row r="397" spans="2:14" x14ac:dyDescent="0.2">
      <c r="B397" s="408" t="str">
        <f t="shared" si="29"/>
        <v>Wollongong City Council</v>
      </c>
      <c r="C397" t="s">
        <v>392</v>
      </c>
      <c r="D397" s="443">
        <f t="shared" si="25"/>
        <v>0.05</v>
      </c>
      <c r="E397" t="b">
        <f t="shared" si="27"/>
        <v>1</v>
      </c>
      <c r="I397" s="412"/>
      <c r="L397" s="1487">
        <v>0.05</v>
      </c>
      <c r="M397" s="416" t="s">
        <v>392</v>
      </c>
      <c r="N397" s="412"/>
    </row>
    <row r="398" spans="2:14" x14ac:dyDescent="0.2">
      <c r="B398" s="408" t="str">
        <f t="shared" si="29"/>
        <v>Woollahra Municipal Council</v>
      </c>
      <c r="C398" t="s">
        <v>393</v>
      </c>
      <c r="D398" s="443">
        <f t="shared" si="25"/>
        <v>5.2999999999999999E-2</v>
      </c>
      <c r="E398" t="b">
        <f t="shared" si="27"/>
        <v>1</v>
      </c>
      <c r="I398" s="412"/>
      <c r="L398" s="1487">
        <v>5.2999999999999999E-2</v>
      </c>
      <c r="M398" s="416" t="s">
        <v>393</v>
      </c>
      <c r="N398" s="412"/>
    </row>
    <row r="399" spans="2:14" x14ac:dyDescent="0.2">
      <c r="B399" s="408" t="str">
        <f t="shared" si="29"/>
        <v>Yass Valley Council</v>
      </c>
      <c r="C399" t="s">
        <v>394</v>
      </c>
      <c r="D399" s="443">
        <f t="shared" si="25"/>
        <v>4.4999999999999998E-2</v>
      </c>
      <c r="E399" t="b">
        <f t="shared" si="27"/>
        <v>1</v>
      </c>
      <c r="I399" s="412"/>
      <c r="L399" s="1487">
        <v>4.4999999999999998E-2</v>
      </c>
      <c r="M399" s="416" t="s">
        <v>394</v>
      </c>
      <c r="N399" s="412"/>
    </row>
    <row r="400" spans="2:14" x14ac:dyDescent="0.2">
      <c r="B400" s="413"/>
      <c r="C400" s="404"/>
      <c r="D400" s="404"/>
      <c r="E400" s="404"/>
      <c r="F400" s="404"/>
      <c r="G400" s="404"/>
      <c r="H400" s="404"/>
      <c r="I400" s="407"/>
      <c r="L400" s="406"/>
      <c r="M400" s="404"/>
      <c r="N400" s="407"/>
    </row>
    <row r="401" spans="2:9" x14ac:dyDescent="0.2">
      <c r="B401" s="409"/>
    </row>
    <row r="402" spans="2:9" x14ac:dyDescent="0.2">
      <c r="B402" s="409"/>
    </row>
    <row r="403" spans="2:9" x14ac:dyDescent="0.2">
      <c r="B403" s="593" t="s">
        <v>395</v>
      </c>
      <c r="C403" s="401"/>
      <c r="D403" s="401"/>
      <c r="E403" s="401"/>
      <c r="F403" s="401"/>
      <c r="G403" s="401"/>
      <c r="H403" s="401"/>
      <c r="I403" s="411"/>
    </row>
    <row r="404" spans="2:9" x14ac:dyDescent="0.2">
      <c r="B404" s="594" t="s">
        <v>396</v>
      </c>
      <c r="I404" s="412"/>
    </row>
    <row r="405" spans="2:9" x14ac:dyDescent="0.2">
      <c r="B405" s="594" t="s">
        <v>397</v>
      </c>
      <c r="I405" s="412"/>
    </row>
    <row r="406" spans="2:9" x14ac:dyDescent="0.2">
      <c r="B406" s="594" t="s">
        <v>398</v>
      </c>
      <c r="I406" s="412"/>
    </row>
    <row r="407" spans="2:9" x14ac:dyDescent="0.2">
      <c r="B407" s="594" t="s">
        <v>399</v>
      </c>
      <c r="I407" s="412"/>
    </row>
    <row r="408" spans="2:9" x14ac:dyDescent="0.2">
      <c r="B408" s="413"/>
      <c r="C408" s="404"/>
      <c r="D408" s="404"/>
      <c r="E408" s="404"/>
      <c r="F408" s="404"/>
      <c r="G408" s="404"/>
      <c r="H408" s="404"/>
      <c r="I408" s="407"/>
    </row>
    <row r="409" spans="2:9" x14ac:dyDescent="0.2">
      <c r="B409" s="409"/>
    </row>
    <row r="410" spans="2:9" x14ac:dyDescent="0.2">
      <c r="B410" s="1492" t="s">
        <v>400</v>
      </c>
      <c r="C410" s="401"/>
      <c r="D410" s="401"/>
      <c r="E410" s="401"/>
      <c r="F410" s="401"/>
      <c r="G410" s="401"/>
      <c r="H410" s="401"/>
      <c r="I410" s="411"/>
    </row>
    <row r="411" spans="2:9" x14ac:dyDescent="0.2">
      <c r="B411" s="1493">
        <v>1</v>
      </c>
      <c r="C411" s="416" t="s">
        <v>401</v>
      </c>
      <c r="D411" s="1494"/>
      <c r="E411" s="1494"/>
      <c r="F411" s="1494"/>
      <c r="G411" s="1494"/>
      <c r="H411" s="1494"/>
      <c r="I411" s="412"/>
    </row>
    <row r="412" spans="2:9" x14ac:dyDescent="0.2">
      <c r="B412" s="1493">
        <v>2</v>
      </c>
      <c r="C412" s="416" t="s">
        <v>402</v>
      </c>
      <c r="D412" s="1494"/>
      <c r="E412" s="1494"/>
      <c r="F412" s="1494"/>
      <c r="G412" s="1494"/>
      <c r="H412" s="1494"/>
      <c r="I412" s="412"/>
    </row>
    <row r="413" spans="2:9" x14ac:dyDescent="0.2">
      <c r="B413" s="1493">
        <v>3</v>
      </c>
      <c r="C413" s="416" t="s">
        <v>403</v>
      </c>
      <c r="D413" s="1494"/>
      <c r="E413" s="1494"/>
      <c r="F413" s="1494"/>
      <c r="G413" s="1494"/>
      <c r="H413" s="1494"/>
      <c r="I413" s="412"/>
    </row>
    <row r="414" spans="2:9" x14ac:dyDescent="0.2">
      <c r="B414" s="1493">
        <v>4</v>
      </c>
      <c r="C414" s="416" t="s">
        <v>404</v>
      </c>
      <c r="D414" s="1494"/>
      <c r="E414" s="1494"/>
      <c r="F414" s="1494"/>
      <c r="G414" s="1494"/>
      <c r="H414" s="1494"/>
      <c r="I414" s="412"/>
    </row>
    <row r="415" spans="2:9" x14ac:dyDescent="0.2">
      <c r="B415" s="1493">
        <v>5</v>
      </c>
      <c r="C415" s="416" t="s">
        <v>405</v>
      </c>
      <c r="D415" s="1494"/>
      <c r="E415" s="1494"/>
      <c r="F415" s="1494"/>
      <c r="G415" s="1494"/>
      <c r="H415" s="1494"/>
      <c r="I415" s="412"/>
    </row>
    <row r="416" spans="2:9" x14ac:dyDescent="0.2">
      <c r="B416" s="1493">
        <v>6</v>
      </c>
      <c r="C416" s="416" t="s">
        <v>406</v>
      </c>
      <c r="D416" s="1494"/>
      <c r="E416" s="1494"/>
      <c r="F416" s="1494"/>
      <c r="G416" s="1494"/>
      <c r="H416" s="1494"/>
      <c r="I416" s="412"/>
    </row>
    <row r="417" spans="2:9" x14ac:dyDescent="0.2">
      <c r="B417" s="1493">
        <v>7</v>
      </c>
      <c r="C417" s="416" t="s">
        <v>407</v>
      </c>
      <c r="D417" s="1494"/>
      <c r="E417" s="1494"/>
      <c r="F417" s="1494"/>
      <c r="G417" s="1494"/>
      <c r="H417" s="1494"/>
      <c r="I417" s="412"/>
    </row>
    <row r="418" spans="2:9" x14ac:dyDescent="0.2">
      <c r="B418" s="1493">
        <v>8</v>
      </c>
      <c r="C418" s="416" t="s">
        <v>408</v>
      </c>
      <c r="D418" s="1494"/>
      <c r="E418" s="1494"/>
      <c r="F418" s="1494"/>
      <c r="G418" s="1494"/>
      <c r="H418" s="1494"/>
      <c r="I418" s="412"/>
    </row>
    <row r="419" spans="2:9" x14ac:dyDescent="0.2">
      <c r="B419" s="1493">
        <v>9</v>
      </c>
      <c r="C419" s="416" t="s">
        <v>409</v>
      </c>
      <c r="D419" s="1494"/>
      <c r="E419" s="1494"/>
      <c r="F419" s="1494"/>
      <c r="G419" s="1494"/>
      <c r="H419" s="1494"/>
      <c r="I419" s="412"/>
    </row>
    <row r="420" spans="2:9" x14ac:dyDescent="0.2">
      <c r="B420" s="1493">
        <v>10</v>
      </c>
      <c r="C420" s="416" t="s">
        <v>410</v>
      </c>
      <c r="D420" s="1494"/>
      <c r="E420" s="1494"/>
      <c r="F420" s="1494"/>
      <c r="G420" s="1494"/>
      <c r="H420" s="1494"/>
      <c r="I420" s="412"/>
    </row>
    <row r="421" spans="2:9" x14ac:dyDescent="0.2">
      <c r="B421" s="1493">
        <v>11</v>
      </c>
      <c r="C421" s="416" t="s">
        <v>411</v>
      </c>
      <c r="D421" s="1494"/>
      <c r="E421" s="1494"/>
      <c r="F421" s="1494"/>
      <c r="G421" s="1494"/>
      <c r="H421" s="1494"/>
      <c r="I421" s="412"/>
    </row>
    <row r="422" spans="2:9" x14ac:dyDescent="0.2">
      <c r="B422" s="1493">
        <v>12</v>
      </c>
      <c r="C422" s="416" t="s">
        <v>412</v>
      </c>
      <c r="D422" s="1494"/>
      <c r="E422" s="1494"/>
      <c r="F422" s="1494"/>
      <c r="G422" s="1494"/>
      <c r="H422" s="1494"/>
      <c r="I422" s="412"/>
    </row>
    <row r="423" spans="2:9" x14ac:dyDescent="0.2">
      <c r="B423" s="1493">
        <v>13</v>
      </c>
      <c r="C423" s="416" t="s">
        <v>413</v>
      </c>
      <c r="D423" s="1494"/>
      <c r="E423" s="1494"/>
      <c r="F423" s="1494"/>
      <c r="G423" s="1494"/>
      <c r="H423" s="1494"/>
      <c r="I423" s="412"/>
    </row>
    <row r="424" spans="2:9" x14ac:dyDescent="0.2">
      <c r="B424" s="1493">
        <v>14</v>
      </c>
      <c r="C424" s="416" t="s">
        <v>414</v>
      </c>
      <c r="D424" s="1494"/>
      <c r="E424" s="1494"/>
      <c r="F424" s="1494"/>
      <c r="G424" s="1494"/>
      <c r="H424" s="1494"/>
      <c r="I424" s="412"/>
    </row>
    <row r="425" spans="2:9" x14ac:dyDescent="0.2">
      <c r="B425" s="1493">
        <v>15</v>
      </c>
      <c r="C425" s="416" t="s">
        <v>415</v>
      </c>
      <c r="D425" s="1494"/>
      <c r="E425" s="1494"/>
      <c r="F425" s="1494"/>
      <c r="G425" s="1494"/>
      <c r="H425" s="1494"/>
      <c r="I425" s="412"/>
    </row>
    <row r="426" spans="2:9" x14ac:dyDescent="0.2">
      <c r="B426" s="1493">
        <v>16</v>
      </c>
      <c r="C426" s="416" t="s">
        <v>416</v>
      </c>
      <c r="D426" s="1494"/>
      <c r="E426" s="1494"/>
      <c r="F426" s="1494"/>
      <c r="G426" s="1494"/>
      <c r="H426" s="1494"/>
      <c r="I426" s="412"/>
    </row>
    <row r="427" spans="2:9" x14ac:dyDescent="0.2">
      <c r="B427" s="1493">
        <v>17</v>
      </c>
      <c r="C427" s="416" t="s">
        <v>417</v>
      </c>
      <c r="D427" s="1494"/>
      <c r="E427" s="1494"/>
      <c r="F427" s="1494"/>
      <c r="G427" s="1494"/>
      <c r="H427" s="1494"/>
      <c r="I427" s="412"/>
    </row>
    <row r="428" spans="2:9" x14ac:dyDescent="0.2">
      <c r="B428" s="1493">
        <v>18</v>
      </c>
      <c r="C428" s="416" t="s">
        <v>418</v>
      </c>
      <c r="D428" s="1494"/>
      <c r="E428" s="1494"/>
      <c r="F428" s="1494"/>
      <c r="G428" s="1494"/>
      <c r="H428" s="1494"/>
      <c r="I428" s="412"/>
    </row>
    <row r="429" spans="2:9" x14ac:dyDescent="0.2">
      <c r="B429" s="1493">
        <v>19</v>
      </c>
      <c r="C429" s="416" t="s">
        <v>419</v>
      </c>
      <c r="D429" s="1494"/>
      <c r="E429" s="1494"/>
      <c r="F429" s="1494"/>
      <c r="G429" s="1494"/>
      <c r="H429" s="1494"/>
      <c r="I429" s="412"/>
    </row>
    <row r="430" spans="2:9" x14ac:dyDescent="0.2">
      <c r="B430" s="1493">
        <v>20</v>
      </c>
      <c r="C430" s="416" t="s">
        <v>420</v>
      </c>
      <c r="D430" s="1494"/>
      <c r="E430" s="1494"/>
      <c r="F430" s="1494"/>
      <c r="G430" s="1494"/>
      <c r="H430" s="1494"/>
      <c r="I430" s="412"/>
    </row>
    <row r="431" spans="2:9" x14ac:dyDescent="0.2">
      <c r="B431" s="1493">
        <v>21</v>
      </c>
      <c r="C431" s="416" t="s">
        <v>421</v>
      </c>
      <c r="D431" s="1494"/>
      <c r="E431" s="1494"/>
      <c r="F431" s="1494"/>
      <c r="G431" s="1494"/>
      <c r="H431" s="1494"/>
      <c r="I431" s="412"/>
    </row>
    <row r="432" spans="2:9" x14ac:dyDescent="0.2">
      <c r="B432" s="406"/>
      <c r="C432" s="404"/>
      <c r="D432" s="404"/>
      <c r="E432" s="404"/>
      <c r="F432" s="404"/>
      <c r="G432" s="404"/>
      <c r="H432" s="404"/>
      <c r="I432" s="407"/>
    </row>
  </sheetData>
  <sheetProtection algorithmName="SHA-512" hashValue="8tqdt5gFMwVu3A3iUprvacySZ54Wt2HZi1o87+/p/YYVHM6cVqNp2NC4r4AqaBnhDWD2nTHtwwkajcB8Ufv8lA==" saltValue="mo1ztYhBNPfKB+tvpH37+w==" spinCount="100000" sheet="1" objects="1" scenarios="1"/>
  <conditionalFormatting sqref="E272:E399">
    <cfRule type="cellIs" dxfId="35" priority="1" operator="equal">
      <formula>FALSE</formula>
    </cfRule>
  </conditionalFormatting>
  <hyperlinks>
    <hyperlink ref="D31" r:id="rId1"/>
    <hyperlink ref="D37" r:id="rId2"/>
  </hyperlinks>
  <pageMargins left="0.7" right="0.7" top="0.75" bottom="0.75" header="0.3" footer="0.3"/>
  <pageSetup paperSize="9" orientation="portrait" r:id="rId3"/>
  <headerFooter>
    <oddHeader>&amp;C&amp;"Calibri"&amp;10&amp;KFF0000 UNOFFICIAL&amp;1#_x000D_</oddHeader>
    <oddFooter>&amp;C_x000D_&amp;1#&amp;"Calibri"&amp;10&amp;KFF0000 UNOFFICIAL</oddFooter>
  </headerFooter>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T107"/>
  <sheetViews>
    <sheetView showGridLines="0" topLeftCell="A100" workbookViewId="0">
      <selection activeCell="B74" sqref="B74"/>
    </sheetView>
  </sheetViews>
  <sheetFormatPr defaultRowHeight="12" x14ac:dyDescent="0.2"/>
  <cols>
    <col min="1" max="1" width="2.7109375" style="3" customWidth="1"/>
    <col min="2" max="2" width="8.140625" style="5" customWidth="1"/>
    <col min="3" max="3" width="5.42578125" style="5" customWidth="1"/>
    <col min="4" max="4" width="5.7109375" style="5" customWidth="1"/>
    <col min="5" max="9" width="9" style="5"/>
    <col min="10" max="10" width="5.7109375" style="5" customWidth="1"/>
    <col min="11" max="11" width="12.140625" style="5" customWidth="1"/>
    <col min="12" max="12" width="12.42578125" style="5" customWidth="1"/>
    <col min="13" max="13" width="19.7109375" style="5" customWidth="1"/>
    <col min="14" max="14" width="27" style="5" customWidth="1"/>
    <col min="15" max="15" width="16" bestFit="1" customWidth="1"/>
    <col min="16" max="16" width="19.140625" customWidth="1"/>
    <col min="17" max="17" width="13.42578125" customWidth="1"/>
    <col min="18" max="18" width="2.28515625" customWidth="1"/>
    <col min="19" max="20" width="9" customWidth="1"/>
    <col min="21" max="22" width="9.42578125" customWidth="1"/>
    <col min="23" max="23" width="43.140625" customWidth="1"/>
    <col min="24" max="24" width="6.42578125" customWidth="1"/>
    <col min="25" max="25" width="0.140625" customWidth="1"/>
    <col min="26" max="46" width="9.42578125" customWidth="1"/>
    <col min="47" max="252" width="9"/>
    <col min="253" max="253" width="8.140625" customWidth="1"/>
    <col min="254" max="254" width="10.85546875" customWidth="1"/>
    <col min="255" max="260" width="9"/>
    <col min="261" max="261" width="10.42578125" bestFit="1" customWidth="1"/>
    <col min="262" max="262" width="10.7109375" bestFit="1" customWidth="1"/>
    <col min="263" max="263" width="10" customWidth="1"/>
    <col min="264" max="264" width="35.7109375" customWidth="1"/>
    <col min="265" max="265" width="2.28515625" customWidth="1"/>
    <col min="266" max="266" width="3.140625" customWidth="1"/>
    <col min="267" max="508" width="9"/>
    <col min="509" max="509" width="8.140625" customWidth="1"/>
    <col min="510" max="510" width="10.85546875" customWidth="1"/>
    <col min="511" max="516" width="9"/>
    <col min="517" max="517" width="10.42578125" bestFit="1" customWidth="1"/>
    <col min="518" max="518" width="10.7109375" bestFit="1" customWidth="1"/>
    <col min="519" max="519" width="10" customWidth="1"/>
    <col min="520" max="520" width="35.7109375" customWidth="1"/>
    <col min="521" max="521" width="2.28515625" customWidth="1"/>
    <col min="522" max="522" width="3.140625" customWidth="1"/>
    <col min="523" max="764" width="9"/>
    <col min="765" max="765" width="8.140625" customWidth="1"/>
    <col min="766" max="766" width="10.85546875" customWidth="1"/>
    <col min="767" max="772" width="9"/>
    <col min="773" max="773" width="10.42578125" bestFit="1" customWidth="1"/>
    <col min="774" max="774" width="10.7109375" bestFit="1" customWidth="1"/>
    <col min="775" max="775" width="10" customWidth="1"/>
    <col min="776" max="776" width="35.7109375" customWidth="1"/>
    <col min="777" max="777" width="2.28515625" customWidth="1"/>
    <col min="778" max="778" width="3.140625" customWidth="1"/>
    <col min="779" max="1020" width="9"/>
    <col min="1021" max="1021" width="8.140625" customWidth="1"/>
    <col min="1022" max="1022" width="10.85546875" customWidth="1"/>
    <col min="1023" max="1028" width="9"/>
    <col min="1029" max="1029" width="10.42578125" bestFit="1" customWidth="1"/>
    <col min="1030" max="1030" width="10.7109375" bestFit="1" customWidth="1"/>
    <col min="1031" max="1031" width="10" customWidth="1"/>
    <col min="1032" max="1032" width="35.7109375" customWidth="1"/>
    <col min="1033" max="1033" width="2.28515625" customWidth="1"/>
    <col min="1034" max="1034" width="3.140625" customWidth="1"/>
    <col min="1035" max="1276" width="9"/>
    <col min="1277" max="1277" width="8.140625" customWidth="1"/>
    <col min="1278" max="1278" width="10.85546875" customWidth="1"/>
    <col min="1279" max="1284" width="9"/>
    <col min="1285" max="1285" width="10.42578125" bestFit="1" customWidth="1"/>
    <col min="1286" max="1286" width="10.7109375" bestFit="1" customWidth="1"/>
    <col min="1287" max="1287" width="10" customWidth="1"/>
    <col min="1288" max="1288" width="35.7109375" customWidth="1"/>
    <col min="1289" max="1289" width="2.28515625" customWidth="1"/>
    <col min="1290" max="1290" width="3.140625" customWidth="1"/>
    <col min="1291" max="1532" width="9"/>
    <col min="1533" max="1533" width="8.140625" customWidth="1"/>
    <col min="1534" max="1534" width="10.85546875" customWidth="1"/>
    <col min="1535" max="1540" width="9"/>
    <col min="1541" max="1541" width="10.42578125" bestFit="1" customWidth="1"/>
    <col min="1542" max="1542" width="10.7109375" bestFit="1" customWidth="1"/>
    <col min="1543" max="1543" width="10" customWidth="1"/>
    <col min="1544" max="1544" width="35.7109375" customWidth="1"/>
    <col min="1545" max="1545" width="2.28515625" customWidth="1"/>
    <col min="1546" max="1546" width="3.140625" customWidth="1"/>
    <col min="1547" max="1788" width="9"/>
    <col min="1789" max="1789" width="8.140625" customWidth="1"/>
    <col min="1790" max="1790" width="10.85546875" customWidth="1"/>
    <col min="1791" max="1796" width="9"/>
    <col min="1797" max="1797" width="10.42578125" bestFit="1" customWidth="1"/>
    <col min="1798" max="1798" width="10.7109375" bestFit="1" customWidth="1"/>
    <col min="1799" max="1799" width="10" customWidth="1"/>
    <col min="1800" max="1800" width="35.7109375" customWidth="1"/>
    <col min="1801" max="1801" width="2.28515625" customWidth="1"/>
    <col min="1802" max="1802" width="3.140625" customWidth="1"/>
    <col min="1803" max="2044" width="9"/>
    <col min="2045" max="2045" width="8.140625" customWidth="1"/>
    <col min="2046" max="2046" width="10.85546875" customWidth="1"/>
    <col min="2047" max="2052" width="9"/>
    <col min="2053" max="2053" width="10.42578125" bestFit="1" customWidth="1"/>
    <col min="2054" max="2054" width="10.7109375" bestFit="1" customWidth="1"/>
    <col min="2055" max="2055" width="10" customWidth="1"/>
    <col min="2056" max="2056" width="35.7109375" customWidth="1"/>
    <col min="2057" max="2057" width="2.28515625" customWidth="1"/>
    <col min="2058" max="2058" width="3.140625" customWidth="1"/>
    <col min="2059" max="2300" width="9"/>
    <col min="2301" max="2301" width="8.140625" customWidth="1"/>
    <col min="2302" max="2302" width="10.85546875" customWidth="1"/>
    <col min="2303" max="2308" width="9"/>
    <col min="2309" max="2309" width="10.42578125" bestFit="1" customWidth="1"/>
    <col min="2310" max="2310" width="10.7109375" bestFit="1" customWidth="1"/>
    <col min="2311" max="2311" width="10" customWidth="1"/>
    <col min="2312" max="2312" width="35.7109375" customWidth="1"/>
    <col min="2313" max="2313" width="2.28515625" customWidth="1"/>
    <col min="2314" max="2314" width="3.140625" customWidth="1"/>
    <col min="2315" max="2556" width="9"/>
    <col min="2557" max="2557" width="8.140625" customWidth="1"/>
    <col min="2558" max="2558" width="10.85546875" customWidth="1"/>
    <col min="2559" max="2564" width="9"/>
    <col min="2565" max="2565" width="10.42578125" bestFit="1" customWidth="1"/>
    <col min="2566" max="2566" width="10.7109375" bestFit="1" customWidth="1"/>
    <col min="2567" max="2567" width="10" customWidth="1"/>
    <col min="2568" max="2568" width="35.7109375" customWidth="1"/>
    <col min="2569" max="2569" width="2.28515625" customWidth="1"/>
    <col min="2570" max="2570" width="3.140625" customWidth="1"/>
    <col min="2571" max="2812" width="9"/>
    <col min="2813" max="2813" width="8.140625" customWidth="1"/>
    <col min="2814" max="2814" width="10.85546875" customWidth="1"/>
    <col min="2815" max="2820" width="9"/>
    <col min="2821" max="2821" width="10.42578125" bestFit="1" customWidth="1"/>
    <col min="2822" max="2822" width="10.7109375" bestFit="1" customWidth="1"/>
    <col min="2823" max="2823" width="10" customWidth="1"/>
    <col min="2824" max="2824" width="35.7109375" customWidth="1"/>
    <col min="2825" max="2825" width="2.28515625" customWidth="1"/>
    <col min="2826" max="2826" width="3.140625" customWidth="1"/>
    <col min="2827" max="3068" width="9"/>
    <col min="3069" max="3069" width="8.140625" customWidth="1"/>
    <col min="3070" max="3070" width="10.85546875" customWidth="1"/>
    <col min="3071" max="3076" width="9"/>
    <col min="3077" max="3077" width="10.42578125" bestFit="1" customWidth="1"/>
    <col min="3078" max="3078" width="10.7109375" bestFit="1" customWidth="1"/>
    <col min="3079" max="3079" width="10" customWidth="1"/>
    <col min="3080" max="3080" width="35.7109375" customWidth="1"/>
    <col min="3081" max="3081" width="2.28515625" customWidth="1"/>
    <col min="3082" max="3082" width="3.140625" customWidth="1"/>
    <col min="3083" max="3324" width="9"/>
    <col min="3325" max="3325" width="8.140625" customWidth="1"/>
    <col min="3326" max="3326" width="10.85546875" customWidth="1"/>
    <col min="3327" max="3332" width="9"/>
    <col min="3333" max="3333" width="10.42578125" bestFit="1" customWidth="1"/>
    <col min="3334" max="3334" width="10.7109375" bestFit="1" customWidth="1"/>
    <col min="3335" max="3335" width="10" customWidth="1"/>
    <col min="3336" max="3336" width="35.7109375" customWidth="1"/>
    <col min="3337" max="3337" width="2.28515625" customWidth="1"/>
    <col min="3338" max="3338" width="3.140625" customWidth="1"/>
    <col min="3339" max="3580" width="9"/>
    <col min="3581" max="3581" width="8.140625" customWidth="1"/>
    <col min="3582" max="3582" width="10.85546875" customWidth="1"/>
    <col min="3583" max="3588" width="9"/>
    <col min="3589" max="3589" width="10.42578125" bestFit="1" customWidth="1"/>
    <col min="3590" max="3590" width="10.7109375" bestFit="1" customWidth="1"/>
    <col min="3591" max="3591" width="10" customWidth="1"/>
    <col min="3592" max="3592" width="35.7109375" customWidth="1"/>
    <col min="3593" max="3593" width="2.28515625" customWidth="1"/>
    <col min="3594" max="3594" width="3.140625" customWidth="1"/>
    <col min="3595" max="3836" width="9"/>
    <col min="3837" max="3837" width="8.140625" customWidth="1"/>
    <col min="3838" max="3838" width="10.85546875" customWidth="1"/>
    <col min="3839" max="3844" width="9"/>
    <col min="3845" max="3845" width="10.42578125" bestFit="1" customWidth="1"/>
    <col min="3846" max="3846" width="10.7109375" bestFit="1" customWidth="1"/>
    <col min="3847" max="3847" width="10" customWidth="1"/>
    <col min="3848" max="3848" width="35.7109375" customWidth="1"/>
    <col min="3849" max="3849" width="2.28515625" customWidth="1"/>
    <col min="3850" max="3850" width="3.140625" customWidth="1"/>
    <col min="3851" max="4092" width="9"/>
    <col min="4093" max="4093" width="8.140625" customWidth="1"/>
    <col min="4094" max="4094" width="10.85546875" customWidth="1"/>
    <col min="4095" max="4100" width="9"/>
    <col min="4101" max="4101" width="10.42578125" bestFit="1" customWidth="1"/>
    <col min="4102" max="4102" width="10.7109375" bestFit="1" customWidth="1"/>
    <col min="4103" max="4103" width="10" customWidth="1"/>
    <col min="4104" max="4104" width="35.7109375" customWidth="1"/>
    <col min="4105" max="4105" width="2.28515625" customWidth="1"/>
    <col min="4106" max="4106" width="3.140625" customWidth="1"/>
    <col min="4107" max="4348" width="9"/>
    <col min="4349" max="4349" width="8.140625" customWidth="1"/>
    <col min="4350" max="4350" width="10.85546875" customWidth="1"/>
    <col min="4351" max="4356" width="9"/>
    <col min="4357" max="4357" width="10.42578125" bestFit="1" customWidth="1"/>
    <col min="4358" max="4358" width="10.7109375" bestFit="1" customWidth="1"/>
    <col min="4359" max="4359" width="10" customWidth="1"/>
    <col min="4360" max="4360" width="35.7109375" customWidth="1"/>
    <col min="4361" max="4361" width="2.28515625" customWidth="1"/>
    <col min="4362" max="4362" width="3.140625" customWidth="1"/>
    <col min="4363" max="4604" width="9"/>
    <col min="4605" max="4605" width="8.140625" customWidth="1"/>
    <col min="4606" max="4606" width="10.85546875" customWidth="1"/>
    <col min="4607" max="4612" width="9"/>
    <col min="4613" max="4613" width="10.42578125" bestFit="1" customWidth="1"/>
    <col min="4614" max="4614" width="10.7109375" bestFit="1" customWidth="1"/>
    <col min="4615" max="4615" width="10" customWidth="1"/>
    <col min="4616" max="4616" width="35.7109375" customWidth="1"/>
    <col min="4617" max="4617" width="2.28515625" customWidth="1"/>
    <col min="4618" max="4618" width="3.140625" customWidth="1"/>
    <col min="4619" max="4860" width="9"/>
    <col min="4861" max="4861" width="8.140625" customWidth="1"/>
    <col min="4862" max="4862" width="10.85546875" customWidth="1"/>
    <col min="4863" max="4868" width="9"/>
    <col min="4869" max="4869" width="10.42578125" bestFit="1" customWidth="1"/>
    <col min="4870" max="4870" width="10.7109375" bestFit="1" customWidth="1"/>
    <col min="4871" max="4871" width="10" customWidth="1"/>
    <col min="4872" max="4872" width="35.7109375" customWidth="1"/>
    <col min="4873" max="4873" width="2.28515625" customWidth="1"/>
    <col min="4874" max="4874" width="3.140625" customWidth="1"/>
    <col min="4875" max="5116" width="9"/>
    <col min="5117" max="5117" width="8.140625" customWidth="1"/>
    <col min="5118" max="5118" width="10.85546875" customWidth="1"/>
    <col min="5119" max="5124" width="9"/>
    <col min="5125" max="5125" width="10.42578125" bestFit="1" customWidth="1"/>
    <col min="5126" max="5126" width="10.7109375" bestFit="1" customWidth="1"/>
    <col min="5127" max="5127" width="10" customWidth="1"/>
    <col min="5128" max="5128" width="35.7109375" customWidth="1"/>
    <col min="5129" max="5129" width="2.28515625" customWidth="1"/>
    <col min="5130" max="5130" width="3.140625" customWidth="1"/>
    <col min="5131" max="5372" width="9"/>
    <col min="5373" max="5373" width="8.140625" customWidth="1"/>
    <col min="5374" max="5374" width="10.85546875" customWidth="1"/>
    <col min="5375" max="5380" width="9"/>
    <col min="5381" max="5381" width="10.42578125" bestFit="1" customWidth="1"/>
    <col min="5382" max="5382" width="10.7109375" bestFit="1" customWidth="1"/>
    <col min="5383" max="5383" width="10" customWidth="1"/>
    <col min="5384" max="5384" width="35.7109375" customWidth="1"/>
    <col min="5385" max="5385" width="2.28515625" customWidth="1"/>
    <col min="5386" max="5386" width="3.140625" customWidth="1"/>
    <col min="5387" max="5628" width="9"/>
    <col min="5629" max="5629" width="8.140625" customWidth="1"/>
    <col min="5630" max="5630" width="10.85546875" customWidth="1"/>
    <col min="5631" max="5636" width="9"/>
    <col min="5637" max="5637" width="10.42578125" bestFit="1" customWidth="1"/>
    <col min="5638" max="5638" width="10.7109375" bestFit="1" customWidth="1"/>
    <col min="5639" max="5639" width="10" customWidth="1"/>
    <col min="5640" max="5640" width="35.7109375" customWidth="1"/>
    <col min="5641" max="5641" width="2.28515625" customWidth="1"/>
    <col min="5642" max="5642" width="3.140625" customWidth="1"/>
    <col min="5643" max="5884" width="9"/>
    <col min="5885" max="5885" width="8.140625" customWidth="1"/>
    <col min="5886" max="5886" width="10.85546875" customWidth="1"/>
    <col min="5887" max="5892" width="9"/>
    <col min="5893" max="5893" width="10.42578125" bestFit="1" customWidth="1"/>
    <col min="5894" max="5894" width="10.7109375" bestFit="1" customWidth="1"/>
    <col min="5895" max="5895" width="10" customWidth="1"/>
    <col min="5896" max="5896" width="35.7109375" customWidth="1"/>
    <col min="5897" max="5897" width="2.28515625" customWidth="1"/>
    <col min="5898" max="5898" width="3.140625" customWidth="1"/>
    <col min="5899" max="6140" width="9"/>
    <col min="6141" max="6141" width="8.140625" customWidth="1"/>
    <col min="6142" max="6142" width="10.85546875" customWidth="1"/>
    <col min="6143" max="6148" width="9"/>
    <col min="6149" max="6149" width="10.42578125" bestFit="1" customWidth="1"/>
    <col min="6150" max="6150" width="10.7109375" bestFit="1" customWidth="1"/>
    <col min="6151" max="6151" width="10" customWidth="1"/>
    <col min="6152" max="6152" width="35.7109375" customWidth="1"/>
    <col min="6153" max="6153" width="2.28515625" customWidth="1"/>
    <col min="6154" max="6154" width="3.140625" customWidth="1"/>
    <col min="6155" max="6396" width="9"/>
    <col min="6397" max="6397" width="8.140625" customWidth="1"/>
    <col min="6398" max="6398" width="10.85546875" customWidth="1"/>
    <col min="6399" max="6404" width="9"/>
    <col min="6405" max="6405" width="10.42578125" bestFit="1" customWidth="1"/>
    <col min="6406" max="6406" width="10.7109375" bestFit="1" customWidth="1"/>
    <col min="6407" max="6407" width="10" customWidth="1"/>
    <col min="6408" max="6408" width="35.7109375" customWidth="1"/>
    <col min="6409" max="6409" width="2.28515625" customWidth="1"/>
    <col min="6410" max="6410" width="3.140625" customWidth="1"/>
    <col min="6411" max="6652" width="9"/>
    <col min="6653" max="6653" width="8.140625" customWidth="1"/>
    <col min="6654" max="6654" width="10.85546875" customWidth="1"/>
    <col min="6655" max="6660" width="9"/>
    <col min="6661" max="6661" width="10.42578125" bestFit="1" customWidth="1"/>
    <col min="6662" max="6662" width="10.7109375" bestFit="1" customWidth="1"/>
    <col min="6663" max="6663" width="10" customWidth="1"/>
    <col min="6664" max="6664" width="35.7109375" customWidth="1"/>
    <col min="6665" max="6665" width="2.28515625" customWidth="1"/>
    <col min="6666" max="6666" width="3.140625" customWidth="1"/>
    <col min="6667" max="6908" width="9"/>
    <col min="6909" max="6909" width="8.140625" customWidth="1"/>
    <col min="6910" max="6910" width="10.85546875" customWidth="1"/>
    <col min="6911" max="6916" width="9"/>
    <col min="6917" max="6917" width="10.42578125" bestFit="1" customWidth="1"/>
    <col min="6918" max="6918" width="10.7109375" bestFit="1" customWidth="1"/>
    <col min="6919" max="6919" width="10" customWidth="1"/>
    <col min="6920" max="6920" width="35.7109375" customWidth="1"/>
    <col min="6921" max="6921" width="2.28515625" customWidth="1"/>
    <col min="6922" max="6922" width="3.140625" customWidth="1"/>
    <col min="6923" max="7164" width="9"/>
    <col min="7165" max="7165" width="8.140625" customWidth="1"/>
    <col min="7166" max="7166" width="10.85546875" customWidth="1"/>
    <col min="7167" max="7172" width="9"/>
    <col min="7173" max="7173" width="10.42578125" bestFit="1" customWidth="1"/>
    <col min="7174" max="7174" width="10.7109375" bestFit="1" customWidth="1"/>
    <col min="7175" max="7175" width="10" customWidth="1"/>
    <col min="7176" max="7176" width="35.7109375" customWidth="1"/>
    <col min="7177" max="7177" width="2.28515625" customWidth="1"/>
    <col min="7178" max="7178" width="3.140625" customWidth="1"/>
    <col min="7179" max="7420" width="9"/>
    <col min="7421" max="7421" width="8.140625" customWidth="1"/>
    <col min="7422" max="7422" width="10.85546875" customWidth="1"/>
    <col min="7423" max="7428" width="9"/>
    <col min="7429" max="7429" width="10.42578125" bestFit="1" customWidth="1"/>
    <col min="7430" max="7430" width="10.7109375" bestFit="1" customWidth="1"/>
    <col min="7431" max="7431" width="10" customWidth="1"/>
    <col min="7432" max="7432" width="35.7109375" customWidth="1"/>
    <col min="7433" max="7433" width="2.28515625" customWidth="1"/>
    <col min="7434" max="7434" width="3.140625" customWidth="1"/>
    <col min="7435" max="7676" width="9"/>
    <col min="7677" max="7677" width="8.140625" customWidth="1"/>
    <col min="7678" max="7678" width="10.85546875" customWidth="1"/>
    <col min="7679" max="7684" width="9"/>
    <col min="7685" max="7685" width="10.42578125" bestFit="1" customWidth="1"/>
    <col min="7686" max="7686" width="10.7109375" bestFit="1" customWidth="1"/>
    <col min="7687" max="7687" width="10" customWidth="1"/>
    <col min="7688" max="7688" width="35.7109375" customWidth="1"/>
    <col min="7689" max="7689" width="2.28515625" customWidth="1"/>
    <col min="7690" max="7690" width="3.140625" customWidth="1"/>
    <col min="7691" max="7932" width="9"/>
    <col min="7933" max="7933" width="8.140625" customWidth="1"/>
    <col min="7934" max="7934" width="10.85546875" customWidth="1"/>
    <col min="7935" max="7940" width="9"/>
    <col min="7941" max="7941" width="10.42578125" bestFit="1" customWidth="1"/>
    <col min="7942" max="7942" width="10.7109375" bestFit="1" customWidth="1"/>
    <col min="7943" max="7943" width="10" customWidth="1"/>
    <col min="7944" max="7944" width="35.7109375" customWidth="1"/>
    <col min="7945" max="7945" width="2.28515625" customWidth="1"/>
    <col min="7946" max="7946" width="3.140625" customWidth="1"/>
    <col min="7947" max="8188" width="9"/>
    <col min="8189" max="8189" width="8.140625" customWidth="1"/>
    <col min="8190" max="8190" width="10.85546875" customWidth="1"/>
    <col min="8191" max="8196" width="9"/>
    <col min="8197" max="8197" width="10.42578125" bestFit="1" customWidth="1"/>
    <col min="8198" max="8198" width="10.7109375" bestFit="1" customWidth="1"/>
    <col min="8199" max="8199" width="10" customWidth="1"/>
    <col min="8200" max="8200" width="35.7109375" customWidth="1"/>
    <col min="8201" max="8201" width="2.28515625" customWidth="1"/>
    <col min="8202" max="8202" width="3.140625" customWidth="1"/>
    <col min="8203" max="8444" width="9"/>
    <col min="8445" max="8445" width="8.140625" customWidth="1"/>
    <col min="8446" max="8446" width="10.85546875" customWidth="1"/>
    <col min="8447" max="8452" width="9"/>
    <col min="8453" max="8453" width="10.42578125" bestFit="1" customWidth="1"/>
    <col min="8454" max="8454" width="10.7109375" bestFit="1" customWidth="1"/>
    <col min="8455" max="8455" width="10" customWidth="1"/>
    <col min="8456" max="8456" width="35.7109375" customWidth="1"/>
    <col min="8457" max="8457" width="2.28515625" customWidth="1"/>
    <col min="8458" max="8458" width="3.140625" customWidth="1"/>
    <col min="8459" max="8700" width="9"/>
    <col min="8701" max="8701" width="8.140625" customWidth="1"/>
    <col min="8702" max="8702" width="10.85546875" customWidth="1"/>
    <col min="8703" max="8708" width="9"/>
    <col min="8709" max="8709" width="10.42578125" bestFit="1" customWidth="1"/>
    <col min="8710" max="8710" width="10.7109375" bestFit="1" customWidth="1"/>
    <col min="8711" max="8711" width="10" customWidth="1"/>
    <col min="8712" max="8712" width="35.7109375" customWidth="1"/>
    <col min="8713" max="8713" width="2.28515625" customWidth="1"/>
    <col min="8714" max="8714" width="3.140625" customWidth="1"/>
    <col min="8715" max="8956" width="9"/>
    <col min="8957" max="8957" width="8.140625" customWidth="1"/>
    <col min="8958" max="8958" width="10.85546875" customWidth="1"/>
    <col min="8959" max="8964" width="9"/>
    <col min="8965" max="8965" width="10.42578125" bestFit="1" customWidth="1"/>
    <col min="8966" max="8966" width="10.7109375" bestFit="1" customWidth="1"/>
    <col min="8967" max="8967" width="10" customWidth="1"/>
    <col min="8968" max="8968" width="35.7109375" customWidth="1"/>
    <col min="8969" max="8969" width="2.28515625" customWidth="1"/>
    <col min="8970" max="8970" width="3.140625" customWidth="1"/>
    <col min="8971" max="9212" width="9"/>
    <col min="9213" max="9213" width="8.140625" customWidth="1"/>
    <col min="9214" max="9214" width="10.85546875" customWidth="1"/>
    <col min="9215" max="9220" width="9"/>
    <col min="9221" max="9221" width="10.42578125" bestFit="1" customWidth="1"/>
    <col min="9222" max="9222" width="10.7109375" bestFit="1" customWidth="1"/>
    <col min="9223" max="9223" width="10" customWidth="1"/>
    <col min="9224" max="9224" width="35.7109375" customWidth="1"/>
    <col min="9225" max="9225" width="2.28515625" customWidth="1"/>
    <col min="9226" max="9226" width="3.140625" customWidth="1"/>
    <col min="9227" max="9468" width="9"/>
    <col min="9469" max="9469" width="8.140625" customWidth="1"/>
    <col min="9470" max="9470" width="10.85546875" customWidth="1"/>
    <col min="9471" max="9476" width="9"/>
    <col min="9477" max="9477" width="10.42578125" bestFit="1" customWidth="1"/>
    <col min="9478" max="9478" width="10.7109375" bestFit="1" customWidth="1"/>
    <col min="9479" max="9479" width="10" customWidth="1"/>
    <col min="9480" max="9480" width="35.7109375" customWidth="1"/>
    <col min="9481" max="9481" width="2.28515625" customWidth="1"/>
    <col min="9482" max="9482" width="3.140625" customWidth="1"/>
    <col min="9483" max="9724" width="9"/>
    <col min="9725" max="9725" width="8.140625" customWidth="1"/>
    <col min="9726" max="9726" width="10.85546875" customWidth="1"/>
    <col min="9727" max="9732" width="9"/>
    <col min="9733" max="9733" width="10.42578125" bestFit="1" customWidth="1"/>
    <col min="9734" max="9734" width="10.7109375" bestFit="1" customWidth="1"/>
    <col min="9735" max="9735" width="10" customWidth="1"/>
    <col min="9736" max="9736" width="35.7109375" customWidth="1"/>
    <col min="9737" max="9737" width="2.28515625" customWidth="1"/>
    <col min="9738" max="9738" width="3.140625" customWidth="1"/>
    <col min="9739" max="9980" width="9"/>
    <col min="9981" max="9981" width="8.140625" customWidth="1"/>
    <col min="9982" max="9982" width="10.85546875" customWidth="1"/>
    <col min="9983" max="9988" width="9"/>
    <col min="9989" max="9989" width="10.42578125" bestFit="1" customWidth="1"/>
    <col min="9990" max="9990" width="10.7109375" bestFit="1" customWidth="1"/>
    <col min="9991" max="9991" width="10" customWidth="1"/>
    <col min="9992" max="9992" width="35.7109375" customWidth="1"/>
    <col min="9993" max="9993" width="2.28515625" customWidth="1"/>
    <col min="9994" max="9994" width="3.140625" customWidth="1"/>
    <col min="9995" max="10236" width="9"/>
    <col min="10237" max="10237" width="8.140625" customWidth="1"/>
    <col min="10238" max="10238" width="10.85546875" customWidth="1"/>
    <col min="10239" max="10244" width="9"/>
    <col min="10245" max="10245" width="10.42578125" bestFit="1" customWidth="1"/>
    <col min="10246" max="10246" width="10.7109375" bestFit="1" customWidth="1"/>
    <col min="10247" max="10247" width="10" customWidth="1"/>
    <col min="10248" max="10248" width="35.7109375" customWidth="1"/>
    <col min="10249" max="10249" width="2.28515625" customWidth="1"/>
    <col min="10250" max="10250" width="3.140625" customWidth="1"/>
    <col min="10251" max="10492" width="9"/>
    <col min="10493" max="10493" width="8.140625" customWidth="1"/>
    <col min="10494" max="10494" width="10.85546875" customWidth="1"/>
    <col min="10495" max="10500" width="9"/>
    <col min="10501" max="10501" width="10.42578125" bestFit="1" customWidth="1"/>
    <col min="10502" max="10502" width="10.7109375" bestFit="1" customWidth="1"/>
    <col min="10503" max="10503" width="10" customWidth="1"/>
    <col min="10504" max="10504" width="35.7109375" customWidth="1"/>
    <col min="10505" max="10505" width="2.28515625" customWidth="1"/>
    <col min="10506" max="10506" width="3.140625" customWidth="1"/>
    <col min="10507" max="10748" width="9"/>
    <col min="10749" max="10749" width="8.140625" customWidth="1"/>
    <col min="10750" max="10750" width="10.85546875" customWidth="1"/>
    <col min="10751" max="10756" width="9"/>
    <col min="10757" max="10757" width="10.42578125" bestFit="1" customWidth="1"/>
    <col min="10758" max="10758" width="10.7109375" bestFit="1" customWidth="1"/>
    <col min="10759" max="10759" width="10" customWidth="1"/>
    <col min="10760" max="10760" width="35.7109375" customWidth="1"/>
    <col min="10761" max="10761" width="2.28515625" customWidth="1"/>
    <col min="10762" max="10762" width="3.140625" customWidth="1"/>
    <col min="10763" max="11004" width="9"/>
    <col min="11005" max="11005" width="8.140625" customWidth="1"/>
    <col min="11006" max="11006" width="10.85546875" customWidth="1"/>
    <col min="11007" max="11012" width="9"/>
    <col min="11013" max="11013" width="10.42578125" bestFit="1" customWidth="1"/>
    <col min="11014" max="11014" width="10.7109375" bestFit="1" customWidth="1"/>
    <col min="11015" max="11015" width="10" customWidth="1"/>
    <col min="11016" max="11016" width="35.7109375" customWidth="1"/>
    <col min="11017" max="11017" width="2.28515625" customWidth="1"/>
    <col min="11018" max="11018" width="3.140625" customWidth="1"/>
    <col min="11019" max="11260" width="9"/>
    <col min="11261" max="11261" width="8.140625" customWidth="1"/>
    <col min="11262" max="11262" width="10.85546875" customWidth="1"/>
    <col min="11263" max="11268" width="9"/>
    <col min="11269" max="11269" width="10.42578125" bestFit="1" customWidth="1"/>
    <col min="11270" max="11270" width="10.7109375" bestFit="1" customWidth="1"/>
    <col min="11271" max="11271" width="10" customWidth="1"/>
    <col min="11272" max="11272" width="35.7109375" customWidth="1"/>
    <col min="11273" max="11273" width="2.28515625" customWidth="1"/>
    <col min="11274" max="11274" width="3.140625" customWidth="1"/>
    <col min="11275" max="11516" width="9"/>
    <col min="11517" max="11517" width="8.140625" customWidth="1"/>
    <col min="11518" max="11518" width="10.85546875" customWidth="1"/>
    <col min="11519" max="11524" width="9"/>
    <col min="11525" max="11525" width="10.42578125" bestFit="1" customWidth="1"/>
    <col min="11526" max="11526" width="10.7109375" bestFit="1" customWidth="1"/>
    <col min="11527" max="11527" width="10" customWidth="1"/>
    <col min="11528" max="11528" width="35.7109375" customWidth="1"/>
    <col min="11529" max="11529" width="2.28515625" customWidth="1"/>
    <col min="11530" max="11530" width="3.140625" customWidth="1"/>
    <col min="11531" max="11772" width="9"/>
    <col min="11773" max="11773" width="8.140625" customWidth="1"/>
    <col min="11774" max="11774" width="10.85546875" customWidth="1"/>
    <col min="11775" max="11780" width="9"/>
    <col min="11781" max="11781" width="10.42578125" bestFit="1" customWidth="1"/>
    <col min="11782" max="11782" width="10.7109375" bestFit="1" customWidth="1"/>
    <col min="11783" max="11783" width="10" customWidth="1"/>
    <col min="11784" max="11784" width="35.7109375" customWidth="1"/>
    <col min="11785" max="11785" width="2.28515625" customWidth="1"/>
    <col min="11786" max="11786" width="3.140625" customWidth="1"/>
    <col min="11787" max="12028" width="9"/>
    <col min="12029" max="12029" width="8.140625" customWidth="1"/>
    <col min="12030" max="12030" width="10.85546875" customWidth="1"/>
    <col min="12031" max="12036" width="9"/>
    <col min="12037" max="12037" width="10.42578125" bestFit="1" customWidth="1"/>
    <col min="12038" max="12038" width="10.7109375" bestFit="1" customWidth="1"/>
    <col min="12039" max="12039" width="10" customWidth="1"/>
    <col min="12040" max="12040" width="35.7109375" customWidth="1"/>
    <col min="12041" max="12041" width="2.28515625" customWidth="1"/>
    <col min="12042" max="12042" width="3.140625" customWidth="1"/>
    <col min="12043" max="12284" width="9"/>
    <col min="12285" max="12285" width="8.140625" customWidth="1"/>
    <col min="12286" max="12286" width="10.85546875" customWidth="1"/>
    <col min="12287" max="12292" width="9"/>
    <col min="12293" max="12293" width="10.42578125" bestFit="1" customWidth="1"/>
    <col min="12294" max="12294" width="10.7109375" bestFit="1" customWidth="1"/>
    <col min="12295" max="12295" width="10" customWidth="1"/>
    <col min="12296" max="12296" width="35.7109375" customWidth="1"/>
    <col min="12297" max="12297" width="2.28515625" customWidth="1"/>
    <col min="12298" max="12298" width="3.140625" customWidth="1"/>
    <col min="12299" max="12540" width="9"/>
    <col min="12541" max="12541" width="8.140625" customWidth="1"/>
    <col min="12542" max="12542" width="10.85546875" customWidth="1"/>
    <col min="12543" max="12548" width="9"/>
    <col min="12549" max="12549" width="10.42578125" bestFit="1" customWidth="1"/>
    <col min="12550" max="12550" width="10.7109375" bestFit="1" customWidth="1"/>
    <col min="12551" max="12551" width="10" customWidth="1"/>
    <col min="12552" max="12552" width="35.7109375" customWidth="1"/>
    <col min="12553" max="12553" width="2.28515625" customWidth="1"/>
    <col min="12554" max="12554" width="3.140625" customWidth="1"/>
    <col min="12555" max="12796" width="9"/>
    <col min="12797" max="12797" width="8.140625" customWidth="1"/>
    <col min="12798" max="12798" width="10.85546875" customWidth="1"/>
    <col min="12799" max="12804" width="9"/>
    <col min="12805" max="12805" width="10.42578125" bestFit="1" customWidth="1"/>
    <col min="12806" max="12806" width="10.7109375" bestFit="1" customWidth="1"/>
    <col min="12807" max="12807" width="10" customWidth="1"/>
    <col min="12808" max="12808" width="35.7109375" customWidth="1"/>
    <col min="12809" max="12809" width="2.28515625" customWidth="1"/>
    <col min="12810" max="12810" width="3.140625" customWidth="1"/>
    <col min="12811" max="13052" width="9"/>
    <col min="13053" max="13053" width="8.140625" customWidth="1"/>
    <col min="13054" max="13054" width="10.85546875" customWidth="1"/>
    <col min="13055" max="13060" width="9"/>
    <col min="13061" max="13061" width="10.42578125" bestFit="1" customWidth="1"/>
    <col min="13062" max="13062" width="10.7109375" bestFit="1" customWidth="1"/>
    <col min="13063" max="13063" width="10" customWidth="1"/>
    <col min="13064" max="13064" width="35.7109375" customWidth="1"/>
    <col min="13065" max="13065" width="2.28515625" customWidth="1"/>
    <col min="13066" max="13066" width="3.140625" customWidth="1"/>
    <col min="13067" max="13308" width="9"/>
    <col min="13309" max="13309" width="8.140625" customWidth="1"/>
    <col min="13310" max="13310" width="10.85546875" customWidth="1"/>
    <col min="13311" max="13316" width="9"/>
    <col min="13317" max="13317" width="10.42578125" bestFit="1" customWidth="1"/>
    <col min="13318" max="13318" width="10.7109375" bestFit="1" customWidth="1"/>
    <col min="13319" max="13319" width="10" customWidth="1"/>
    <col min="13320" max="13320" width="35.7109375" customWidth="1"/>
    <col min="13321" max="13321" width="2.28515625" customWidth="1"/>
    <col min="13322" max="13322" width="3.140625" customWidth="1"/>
    <col min="13323" max="13564" width="9"/>
    <col min="13565" max="13565" width="8.140625" customWidth="1"/>
    <col min="13566" max="13566" width="10.85546875" customWidth="1"/>
    <col min="13567" max="13572" width="9"/>
    <col min="13573" max="13573" width="10.42578125" bestFit="1" customWidth="1"/>
    <col min="13574" max="13574" width="10.7109375" bestFit="1" customWidth="1"/>
    <col min="13575" max="13575" width="10" customWidth="1"/>
    <col min="13576" max="13576" width="35.7109375" customWidth="1"/>
    <col min="13577" max="13577" width="2.28515625" customWidth="1"/>
    <col min="13578" max="13578" width="3.140625" customWidth="1"/>
    <col min="13579" max="13820" width="9"/>
    <col min="13821" max="13821" width="8.140625" customWidth="1"/>
    <col min="13822" max="13822" width="10.85546875" customWidth="1"/>
    <col min="13823" max="13828" width="9"/>
    <col min="13829" max="13829" width="10.42578125" bestFit="1" customWidth="1"/>
    <col min="13830" max="13830" width="10.7109375" bestFit="1" customWidth="1"/>
    <col min="13831" max="13831" width="10" customWidth="1"/>
    <col min="13832" max="13832" width="35.7109375" customWidth="1"/>
    <col min="13833" max="13833" width="2.28515625" customWidth="1"/>
    <col min="13834" max="13834" width="3.140625" customWidth="1"/>
    <col min="13835" max="14076" width="9"/>
    <col min="14077" max="14077" width="8.140625" customWidth="1"/>
    <col min="14078" max="14078" width="10.85546875" customWidth="1"/>
    <col min="14079" max="14084" width="9"/>
    <col min="14085" max="14085" width="10.42578125" bestFit="1" customWidth="1"/>
    <col min="14086" max="14086" width="10.7109375" bestFit="1" customWidth="1"/>
    <col min="14087" max="14087" width="10" customWidth="1"/>
    <col min="14088" max="14088" width="35.7109375" customWidth="1"/>
    <col min="14089" max="14089" width="2.28515625" customWidth="1"/>
    <col min="14090" max="14090" width="3.140625" customWidth="1"/>
    <col min="14091" max="14332" width="9"/>
    <col min="14333" max="14333" width="8.140625" customWidth="1"/>
    <col min="14334" max="14334" width="10.85546875" customWidth="1"/>
    <col min="14335" max="14340" width="9"/>
    <col min="14341" max="14341" width="10.42578125" bestFit="1" customWidth="1"/>
    <col min="14342" max="14342" width="10.7109375" bestFit="1" customWidth="1"/>
    <col min="14343" max="14343" width="10" customWidth="1"/>
    <col min="14344" max="14344" width="35.7109375" customWidth="1"/>
    <col min="14345" max="14345" width="2.28515625" customWidth="1"/>
    <col min="14346" max="14346" width="3.140625" customWidth="1"/>
    <col min="14347" max="14588" width="9"/>
    <col min="14589" max="14589" width="8.140625" customWidth="1"/>
    <col min="14590" max="14590" width="10.85546875" customWidth="1"/>
    <col min="14591" max="14596" width="9"/>
    <col min="14597" max="14597" width="10.42578125" bestFit="1" customWidth="1"/>
    <col min="14598" max="14598" width="10.7109375" bestFit="1" customWidth="1"/>
    <col min="14599" max="14599" width="10" customWidth="1"/>
    <col min="14600" max="14600" width="35.7109375" customWidth="1"/>
    <col min="14601" max="14601" width="2.28515625" customWidth="1"/>
    <col min="14602" max="14602" width="3.140625" customWidth="1"/>
    <col min="14603" max="14844" width="9"/>
    <col min="14845" max="14845" width="8.140625" customWidth="1"/>
    <col min="14846" max="14846" width="10.85546875" customWidth="1"/>
    <col min="14847" max="14852" width="9"/>
    <col min="14853" max="14853" width="10.42578125" bestFit="1" customWidth="1"/>
    <col min="14854" max="14854" width="10.7109375" bestFit="1" customWidth="1"/>
    <col min="14855" max="14855" width="10" customWidth="1"/>
    <col min="14856" max="14856" width="35.7109375" customWidth="1"/>
    <col min="14857" max="14857" width="2.28515625" customWidth="1"/>
    <col min="14858" max="14858" width="3.140625" customWidth="1"/>
    <col min="14859" max="15100" width="9"/>
    <col min="15101" max="15101" width="8.140625" customWidth="1"/>
    <col min="15102" max="15102" width="10.85546875" customWidth="1"/>
    <col min="15103" max="15108" width="9"/>
    <col min="15109" max="15109" width="10.42578125" bestFit="1" customWidth="1"/>
    <col min="15110" max="15110" width="10.7109375" bestFit="1" customWidth="1"/>
    <col min="15111" max="15111" width="10" customWidth="1"/>
    <col min="15112" max="15112" width="35.7109375" customWidth="1"/>
    <col min="15113" max="15113" width="2.28515625" customWidth="1"/>
    <col min="15114" max="15114" width="3.140625" customWidth="1"/>
    <col min="15115" max="15356" width="9"/>
    <col min="15357" max="15357" width="8.140625" customWidth="1"/>
    <col min="15358" max="15358" width="10.85546875" customWidth="1"/>
    <col min="15359" max="15364" width="9"/>
    <col min="15365" max="15365" width="10.42578125" bestFit="1" customWidth="1"/>
    <col min="15366" max="15366" width="10.7109375" bestFit="1" customWidth="1"/>
    <col min="15367" max="15367" width="10" customWidth="1"/>
    <col min="15368" max="15368" width="35.7109375" customWidth="1"/>
    <col min="15369" max="15369" width="2.28515625" customWidth="1"/>
    <col min="15370" max="15370" width="3.140625" customWidth="1"/>
    <col min="15371" max="15612" width="9"/>
    <col min="15613" max="15613" width="8.140625" customWidth="1"/>
    <col min="15614" max="15614" width="10.85546875" customWidth="1"/>
    <col min="15615" max="15620" width="9"/>
    <col min="15621" max="15621" width="10.42578125" bestFit="1" customWidth="1"/>
    <col min="15622" max="15622" width="10.7109375" bestFit="1" customWidth="1"/>
    <col min="15623" max="15623" width="10" customWidth="1"/>
    <col min="15624" max="15624" width="35.7109375" customWidth="1"/>
    <col min="15625" max="15625" width="2.28515625" customWidth="1"/>
    <col min="15626" max="15626" width="3.140625" customWidth="1"/>
    <col min="15627" max="15868" width="9"/>
    <col min="15869" max="15869" width="8.140625" customWidth="1"/>
    <col min="15870" max="15870" width="10.85546875" customWidth="1"/>
    <col min="15871" max="15876" width="9"/>
    <col min="15877" max="15877" width="10.42578125" bestFit="1" customWidth="1"/>
    <col min="15878" max="15878" width="10.7109375" bestFit="1" customWidth="1"/>
    <col min="15879" max="15879" width="10" customWidth="1"/>
    <col min="15880" max="15880" width="35.7109375" customWidth="1"/>
    <col min="15881" max="15881" width="2.28515625" customWidth="1"/>
    <col min="15882" max="15882" width="3.140625" customWidth="1"/>
    <col min="15883" max="16124" width="9"/>
    <col min="16125" max="16125" width="8.140625" customWidth="1"/>
    <col min="16126" max="16126" width="10.85546875" customWidth="1"/>
    <col min="16127" max="16132" width="9"/>
    <col min="16133" max="16133" width="10.42578125" bestFit="1" customWidth="1"/>
    <col min="16134" max="16134" width="10.7109375" bestFit="1" customWidth="1"/>
    <col min="16135" max="16135" width="10" customWidth="1"/>
    <col min="16136" max="16136" width="35.7109375" customWidth="1"/>
    <col min="16137" max="16137" width="2.28515625" customWidth="1"/>
    <col min="16138" max="16138" width="3.140625" customWidth="1"/>
    <col min="16139" max="16379" width="9"/>
    <col min="16380" max="16383" width="9" customWidth="1"/>
    <col min="16384" max="16384" width="9"/>
  </cols>
  <sheetData>
    <row r="1" spans="1:46" ht="12.75" thickBot="1" x14ac:dyDescent="0.25">
      <c r="B1" s="1"/>
      <c r="C1" s="1"/>
      <c r="D1" s="1"/>
      <c r="E1" s="1"/>
      <c r="F1" s="1"/>
      <c r="G1" s="1"/>
      <c r="H1" s="1"/>
      <c r="I1" s="1"/>
      <c r="J1" s="1"/>
      <c r="K1" s="1"/>
      <c r="L1" s="1"/>
      <c r="M1" s="1"/>
      <c r="N1" s="1"/>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row>
    <row r="2" spans="1:46" s="604" customFormat="1" ht="18" x14ac:dyDescent="0.25">
      <c r="A2" s="26"/>
      <c r="B2" s="1524" t="s">
        <v>422</v>
      </c>
      <c r="C2" s="1525"/>
      <c r="D2" s="1525"/>
      <c r="E2" s="1525"/>
      <c r="F2" s="1525"/>
      <c r="G2" s="1525"/>
      <c r="H2" s="1525"/>
      <c r="I2" s="1525"/>
      <c r="J2" s="1525"/>
      <c r="K2" s="1525"/>
      <c r="L2" s="1525"/>
      <c r="M2" s="1525"/>
      <c r="N2" s="1525"/>
      <c r="O2" s="15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row>
    <row r="3" spans="1:46" ht="10.15" customHeight="1" x14ac:dyDescent="0.2">
      <c r="B3" s="1527"/>
      <c r="C3" s="1517"/>
      <c r="D3" s="1517"/>
      <c r="E3" s="1517"/>
      <c r="F3" s="1517"/>
      <c r="G3" s="1517"/>
      <c r="H3" s="1518"/>
      <c r="I3" s="1517"/>
      <c r="J3" s="1517"/>
      <c r="K3" s="1517"/>
      <c r="L3" s="1517"/>
      <c r="M3" s="1517"/>
      <c r="N3" s="1517"/>
      <c r="O3" s="1528"/>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15.75" x14ac:dyDescent="0.25">
      <c r="B4" s="1529" t="str">
        <f>Year0&amp;" PART A APPLICATION FORM FOR EITHER:"</f>
        <v>2024-25 PART A APPLICATION FORM FOR EITHER:</v>
      </c>
      <c r="C4" s="1519"/>
      <c r="D4" s="1520"/>
      <c r="E4" s="1520"/>
      <c r="F4" s="1520"/>
      <c r="G4" s="1520"/>
      <c r="H4" s="1519"/>
      <c r="I4" s="1520"/>
      <c r="J4" s="1520"/>
      <c r="K4" s="1520"/>
      <c r="L4" s="1520"/>
      <c r="M4" s="1520"/>
      <c r="N4" s="1521"/>
      <c r="O4" s="1530"/>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row>
    <row r="5" spans="1:46" ht="12" customHeight="1" x14ac:dyDescent="0.25">
      <c r="B5" s="1529"/>
      <c r="C5" s="1519"/>
      <c r="D5" s="1520"/>
      <c r="E5" s="1520"/>
      <c r="F5" s="1520"/>
      <c r="G5" s="1520"/>
      <c r="H5" s="1519"/>
      <c r="I5" s="1520"/>
      <c r="J5" s="1520"/>
      <c r="K5" s="1520"/>
      <c r="L5" s="1520"/>
      <c r="M5" s="1520"/>
      <c r="N5" s="1521"/>
      <c r="O5" s="1530"/>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row>
    <row r="6" spans="1:46" ht="12.75" x14ac:dyDescent="0.2">
      <c r="B6" s="1531"/>
      <c r="C6" s="1522" t="s">
        <v>423</v>
      </c>
      <c r="D6" s="1520"/>
      <c r="E6" s="1520"/>
      <c r="F6" s="1520"/>
      <c r="G6" s="1520"/>
      <c r="H6" s="1519"/>
      <c r="I6" s="1520"/>
      <c r="J6" s="1520"/>
      <c r="K6" s="1520"/>
      <c r="L6" s="1520"/>
      <c r="M6" s="1520"/>
      <c r="N6" s="1521"/>
      <c r="O6" s="1530"/>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row>
    <row r="7" spans="1:46" ht="15" x14ac:dyDescent="0.25">
      <c r="A7" s="585"/>
      <c r="B7" s="1532"/>
      <c r="C7" s="1519" t="s">
        <v>424</v>
      </c>
      <c r="D7" s="1519"/>
      <c r="E7" s="1520"/>
      <c r="F7" s="1520"/>
      <c r="G7" s="1523"/>
      <c r="H7" s="1519"/>
      <c r="I7" s="1520"/>
      <c r="J7" s="1520"/>
      <c r="K7" s="1520"/>
      <c r="L7" s="1520"/>
      <c r="M7" s="1520"/>
      <c r="N7" s="1521"/>
      <c r="O7" s="1530"/>
      <c r="P7" s="3"/>
      <c r="V7" s="3"/>
      <c r="W7" s="3"/>
      <c r="X7" s="3"/>
      <c r="Y7" s="3"/>
      <c r="Z7" s="3"/>
      <c r="AA7" s="3"/>
      <c r="AB7" s="3"/>
      <c r="AC7" s="3"/>
      <c r="AD7" s="3"/>
      <c r="AE7" s="3"/>
      <c r="AF7" s="3"/>
      <c r="AG7" s="3"/>
      <c r="AH7" s="3"/>
      <c r="AI7" s="3"/>
      <c r="AJ7" s="3"/>
      <c r="AK7" s="3"/>
      <c r="AL7" s="3"/>
      <c r="AM7" s="3"/>
      <c r="AN7" s="3"/>
      <c r="AO7" s="3"/>
      <c r="AP7" s="3"/>
      <c r="AQ7" s="3"/>
      <c r="AR7" s="3"/>
      <c r="AS7" s="3"/>
      <c r="AT7" s="3"/>
    </row>
    <row r="8" spans="1:46" ht="15" x14ac:dyDescent="0.25">
      <c r="A8" s="585"/>
      <c r="B8" s="1531"/>
      <c r="C8" s="1522" t="s">
        <v>425</v>
      </c>
      <c r="D8" s="1521"/>
      <c r="E8" s="1521"/>
      <c r="F8" s="1521"/>
      <c r="G8" s="1519"/>
      <c r="H8" s="1523"/>
      <c r="I8" s="1521"/>
      <c r="J8" s="1521"/>
      <c r="K8" s="1521"/>
      <c r="L8" s="1521"/>
      <c r="M8" s="1521"/>
      <c r="N8" s="1520"/>
      <c r="O8" s="1530"/>
      <c r="P8" s="3"/>
      <c r="V8" s="3"/>
      <c r="W8" s="3"/>
      <c r="X8" s="3"/>
      <c r="Y8" s="3"/>
      <c r="Z8" s="3"/>
      <c r="AA8" s="3"/>
      <c r="AB8" s="3"/>
      <c r="AC8" s="3"/>
      <c r="AD8" s="3"/>
      <c r="AE8" s="3"/>
      <c r="AF8" s="3"/>
      <c r="AG8" s="3"/>
      <c r="AH8" s="3"/>
      <c r="AI8" s="3"/>
      <c r="AJ8" s="3"/>
      <c r="AK8" s="3"/>
      <c r="AL8" s="3"/>
      <c r="AM8" s="3"/>
      <c r="AN8" s="3"/>
      <c r="AO8" s="3"/>
      <c r="AP8" s="3"/>
      <c r="AQ8" s="3"/>
      <c r="AR8" s="3"/>
      <c r="AS8" s="3"/>
      <c r="AT8" s="3"/>
    </row>
    <row r="9" spans="1:46" ht="15" x14ac:dyDescent="0.25">
      <c r="A9" s="585"/>
      <c r="B9" s="1532"/>
      <c r="C9" s="1519" t="s">
        <v>424</v>
      </c>
      <c r="D9" s="1521"/>
      <c r="E9" s="1521"/>
      <c r="F9" s="1521"/>
      <c r="G9" s="1519"/>
      <c r="H9" s="1519"/>
      <c r="I9" s="1521"/>
      <c r="J9" s="1521"/>
      <c r="K9" s="1521"/>
      <c r="L9" s="1521"/>
      <c r="M9" s="1521"/>
      <c r="N9" s="1520"/>
      <c r="O9" s="1530"/>
      <c r="P9" s="3"/>
      <c r="V9" s="3"/>
      <c r="W9" s="3"/>
      <c r="X9" s="3"/>
      <c r="Y9" s="3"/>
      <c r="Z9" s="3"/>
      <c r="AA9" s="3"/>
      <c r="AB9" s="3"/>
      <c r="AC9" s="3"/>
      <c r="AD9" s="3"/>
      <c r="AE9" s="3"/>
      <c r="AF9" s="3"/>
      <c r="AG9" s="3"/>
      <c r="AH9" s="3"/>
      <c r="AI9" s="3"/>
      <c r="AJ9" s="3"/>
      <c r="AK9" s="3"/>
      <c r="AL9" s="3"/>
      <c r="AM9" s="3"/>
      <c r="AN9" s="3"/>
      <c r="AO9" s="3"/>
      <c r="AP9" s="3"/>
      <c r="AQ9" s="3"/>
      <c r="AR9" s="3"/>
      <c r="AS9" s="3"/>
      <c r="AT9" s="3"/>
    </row>
    <row r="10" spans="1:46" ht="15" x14ac:dyDescent="0.25">
      <c r="A10" s="585"/>
      <c r="B10" s="1531"/>
      <c r="C10" s="1522" t="s">
        <v>426</v>
      </c>
      <c r="D10" s="1520"/>
      <c r="E10" s="1520"/>
      <c r="F10" s="1520"/>
      <c r="G10" s="1520"/>
      <c r="H10" s="1519"/>
      <c r="I10" s="1520"/>
      <c r="J10" s="1520"/>
      <c r="K10" s="1520"/>
      <c r="L10" s="1520"/>
      <c r="M10" s="1520"/>
      <c r="N10" s="1521"/>
      <c r="O10" s="1530"/>
      <c r="P10" s="3"/>
      <c r="V10" s="3"/>
      <c r="W10" s="3"/>
      <c r="X10" s="3"/>
      <c r="Y10" s="3"/>
      <c r="Z10" s="3"/>
      <c r="AA10" s="3"/>
      <c r="AB10" s="3"/>
      <c r="AC10" s="3"/>
      <c r="AD10" s="3"/>
      <c r="AE10" s="3"/>
      <c r="AF10" s="3"/>
      <c r="AG10" s="3"/>
      <c r="AH10" s="3"/>
      <c r="AI10" s="3"/>
      <c r="AJ10" s="3"/>
      <c r="AK10" s="3"/>
      <c r="AL10" s="3"/>
      <c r="AM10" s="3"/>
      <c r="AN10" s="3"/>
      <c r="AO10" s="3"/>
      <c r="AP10" s="3"/>
      <c r="AQ10" s="3"/>
      <c r="AR10" s="3"/>
      <c r="AS10" s="3"/>
      <c r="AT10" s="3"/>
    </row>
    <row r="11" spans="1:46" ht="12" customHeight="1" thickBot="1" x14ac:dyDescent="0.3">
      <c r="A11" s="585"/>
      <c r="B11" s="1533"/>
      <c r="C11" s="1534"/>
      <c r="D11" s="1534"/>
      <c r="E11" s="1534"/>
      <c r="F11" s="1534"/>
      <c r="G11" s="1534"/>
      <c r="H11" s="1535"/>
      <c r="I11" s="1534"/>
      <c r="J11" s="1534"/>
      <c r="K11" s="1534"/>
      <c r="L11" s="1534"/>
      <c r="M11" s="1534"/>
      <c r="N11" s="1534"/>
      <c r="O11" s="1536"/>
      <c r="P11" s="3"/>
      <c r="V11" s="3"/>
      <c r="W11" s="3"/>
      <c r="X11" s="3"/>
      <c r="Y11" s="3"/>
      <c r="Z11" s="3"/>
      <c r="AA11" s="3"/>
      <c r="AB11" s="3"/>
      <c r="AC11" s="3"/>
      <c r="AD11" s="3"/>
      <c r="AE11" s="3"/>
      <c r="AF11" s="3"/>
      <c r="AG11" s="3"/>
      <c r="AH11" s="3"/>
      <c r="AI11" s="3"/>
      <c r="AJ11" s="3"/>
      <c r="AK11" s="3"/>
      <c r="AL11" s="3"/>
      <c r="AM11" s="3"/>
      <c r="AN11" s="3"/>
      <c r="AO11" s="3"/>
      <c r="AP11" s="3"/>
      <c r="AQ11" s="3"/>
      <c r="AR11" s="3"/>
      <c r="AS11" s="3"/>
      <c r="AT11" s="3"/>
    </row>
    <row r="12" spans="1:46" ht="22.15" customHeight="1" x14ac:dyDescent="0.25">
      <c r="A12" s="585"/>
      <c r="B12" s="1"/>
      <c r="C12" s="1"/>
      <c r="D12" s="1"/>
      <c r="E12" s="1"/>
      <c r="F12" s="1"/>
      <c r="G12" s="1"/>
      <c r="H12" s="655"/>
      <c r="I12" s="1"/>
      <c r="J12"/>
      <c r="K12"/>
      <c r="L12"/>
      <c r="M12" s="1"/>
      <c r="N12" s="1"/>
      <c r="O12" s="3"/>
      <c r="P12" s="3"/>
      <c r="V12" s="3"/>
      <c r="W12" s="3"/>
      <c r="X12" s="3"/>
      <c r="Y12" s="3"/>
      <c r="Z12" s="3"/>
      <c r="AA12" s="3"/>
      <c r="AB12" s="3"/>
      <c r="AC12" s="3"/>
      <c r="AD12" s="3"/>
      <c r="AE12" s="3"/>
      <c r="AF12" s="3"/>
      <c r="AG12" s="3"/>
      <c r="AH12" s="3"/>
      <c r="AI12" s="3"/>
      <c r="AJ12" s="3"/>
      <c r="AK12" s="3"/>
      <c r="AL12" s="3"/>
      <c r="AM12" s="3"/>
      <c r="AN12" s="3"/>
      <c r="AO12" s="3"/>
      <c r="AP12" s="3"/>
      <c r="AQ12" s="3"/>
      <c r="AR12" s="3"/>
      <c r="AS12" s="3"/>
      <c r="AT12" s="3"/>
    </row>
    <row r="13" spans="1:46" ht="22.15" customHeight="1" x14ac:dyDescent="0.25">
      <c r="A13" s="585"/>
      <c r="B13" s="1"/>
      <c r="C13" s="38"/>
      <c r="D13" s="38"/>
      <c r="E13" s="38"/>
      <c r="F13" s="38"/>
      <c r="G13" s="38"/>
      <c r="H13" s="38"/>
      <c r="I13" s="38"/>
      <c r="J13" s="38"/>
      <c r="K13" s="38"/>
      <c r="L13" s="38"/>
      <c r="M13" s="38"/>
      <c r="N13" s="1"/>
      <c r="O13" s="3"/>
      <c r="P13" s="3"/>
      <c r="V13" s="3"/>
      <c r="W13" s="3"/>
      <c r="X13" s="3"/>
      <c r="Y13" s="3"/>
      <c r="Z13" s="3"/>
      <c r="AA13" s="3"/>
      <c r="AB13" s="3"/>
      <c r="AC13" s="3"/>
      <c r="AD13" s="3"/>
      <c r="AE13" s="3"/>
      <c r="AF13" s="3"/>
      <c r="AG13" s="3"/>
      <c r="AH13" s="3"/>
      <c r="AI13" s="3"/>
      <c r="AJ13" s="3"/>
      <c r="AK13" s="3"/>
      <c r="AL13" s="3"/>
      <c r="AM13" s="3"/>
      <c r="AN13" s="3"/>
      <c r="AO13" s="3"/>
      <c r="AP13" s="3"/>
      <c r="AQ13" s="3"/>
      <c r="AR13" s="3"/>
      <c r="AS13" s="3"/>
      <c r="AT13" s="3"/>
    </row>
    <row r="14" spans="1:46" ht="22.15" customHeight="1" x14ac:dyDescent="0.25">
      <c r="A14" s="585"/>
      <c r="B14" s="1622" t="s">
        <v>427</v>
      </c>
      <c r="C14" s="1429"/>
      <c r="D14" s="1429"/>
      <c r="E14" s="1429"/>
      <c r="F14" s="1429"/>
      <c r="G14" s="1429"/>
      <c r="H14" s="1429"/>
      <c r="I14" s="1429"/>
      <c r="J14" s="1429"/>
      <c r="K14" s="1429"/>
      <c r="L14" s="1429"/>
      <c r="M14" s="1429"/>
      <c r="N14" s="1466"/>
      <c r="O14" s="1467"/>
      <c r="P14" s="3"/>
      <c r="V14" s="3"/>
      <c r="W14" s="3"/>
      <c r="X14" s="3"/>
      <c r="Y14" s="3"/>
      <c r="Z14" s="3"/>
      <c r="AA14" s="3"/>
      <c r="AB14" s="3"/>
      <c r="AC14" s="3"/>
      <c r="AD14" s="3"/>
      <c r="AE14" s="3"/>
      <c r="AF14" s="3"/>
      <c r="AG14" s="3"/>
      <c r="AH14" s="3"/>
      <c r="AI14" s="3"/>
      <c r="AJ14" s="3"/>
      <c r="AK14" s="3"/>
      <c r="AL14" s="3"/>
      <c r="AM14" s="3"/>
      <c r="AN14" s="3"/>
      <c r="AO14" s="3"/>
      <c r="AP14" s="3"/>
      <c r="AQ14" s="3"/>
      <c r="AR14" s="3"/>
      <c r="AS14" s="3"/>
      <c r="AT14" s="3"/>
    </row>
    <row r="15" spans="1:46" ht="20.25" customHeight="1" x14ac:dyDescent="0.2">
      <c r="B15" s="649" t="s">
        <v>428</v>
      </c>
      <c r="C15" s="1"/>
      <c r="D15" s="1"/>
      <c r="E15" s="1"/>
      <c r="F15" s="1"/>
      <c r="G15" s="1"/>
      <c r="H15" s="1"/>
      <c r="I15" s="1"/>
      <c r="J15" s="1"/>
      <c r="K15" s="1"/>
      <c r="L15" s="1"/>
      <c r="M15" s="38"/>
      <c r="N15" s="1"/>
      <c r="O15" s="568"/>
      <c r="P15" s="3"/>
      <c r="V15" s="3"/>
      <c r="W15" s="3"/>
      <c r="X15" s="3"/>
      <c r="Y15" s="3"/>
      <c r="Z15" s="3"/>
      <c r="AA15" s="3"/>
      <c r="AB15" s="3"/>
      <c r="AC15" s="3"/>
      <c r="AD15" s="3"/>
      <c r="AE15" s="3"/>
      <c r="AF15" s="3"/>
      <c r="AG15" s="3"/>
      <c r="AH15" s="3"/>
      <c r="AI15" s="3"/>
      <c r="AJ15" s="3"/>
      <c r="AK15" s="3"/>
      <c r="AL15" s="3"/>
      <c r="AM15" s="3"/>
      <c r="AN15" s="3"/>
      <c r="AO15" s="3"/>
      <c r="AP15" s="3"/>
      <c r="AQ15" s="3"/>
      <c r="AR15" s="3"/>
      <c r="AS15" s="3"/>
      <c r="AT15" s="3"/>
    </row>
    <row r="16" spans="1:46" ht="20.25" customHeight="1" x14ac:dyDescent="0.2">
      <c r="B16" s="581" t="s">
        <v>429</v>
      </c>
      <c r="C16" s="1"/>
      <c r="D16" s="1"/>
      <c r="E16" s="1"/>
      <c r="F16" s="1"/>
      <c r="G16" s="1"/>
      <c r="H16" s="1"/>
      <c r="I16" s="1"/>
      <c r="J16" s="1"/>
      <c r="K16" s="1"/>
      <c r="L16" s="1"/>
      <c r="M16" s="38"/>
      <c r="N16" s="1"/>
      <c r="O16" s="568"/>
      <c r="P16" s="3"/>
      <c r="V16" s="3"/>
      <c r="W16" s="3"/>
      <c r="X16" s="3"/>
      <c r="Y16" s="3"/>
      <c r="Z16" s="3"/>
      <c r="AA16" s="3"/>
      <c r="AB16" s="3"/>
      <c r="AC16" s="3"/>
      <c r="AD16" s="3"/>
      <c r="AE16" s="3"/>
      <c r="AF16" s="3"/>
      <c r="AG16" s="3"/>
      <c r="AH16" s="3"/>
      <c r="AI16" s="3"/>
      <c r="AJ16" s="3"/>
      <c r="AK16" s="3"/>
      <c r="AL16" s="3"/>
      <c r="AM16" s="3"/>
      <c r="AN16" s="3"/>
      <c r="AO16" s="3"/>
      <c r="AP16" s="3"/>
      <c r="AQ16" s="3"/>
      <c r="AR16" s="3"/>
      <c r="AS16" s="3"/>
      <c r="AT16" s="3"/>
    </row>
    <row r="17" spans="1:46" ht="20.25" customHeight="1" x14ac:dyDescent="0.25">
      <c r="A17" s="585"/>
      <c r="B17" s="608" t="s">
        <v>430</v>
      </c>
      <c r="C17" s="38"/>
      <c r="D17" s="38"/>
      <c r="E17" s="38"/>
      <c r="F17" s="38"/>
      <c r="G17" s="38"/>
      <c r="H17" s="38"/>
      <c r="I17" s="38"/>
      <c r="J17" s="38"/>
      <c r="K17" s="38"/>
      <c r="L17" s="38"/>
      <c r="M17" s="38"/>
      <c r="N17" s="1"/>
      <c r="O17" s="568"/>
      <c r="P17" s="3"/>
      <c r="X17" s="3"/>
      <c r="Y17" s="3"/>
      <c r="Z17" s="3"/>
      <c r="AA17" s="3"/>
      <c r="AB17" s="3"/>
      <c r="AC17" s="3"/>
      <c r="AD17" s="3"/>
      <c r="AE17" s="3"/>
      <c r="AF17" s="3"/>
      <c r="AG17" s="3"/>
      <c r="AH17" s="3"/>
      <c r="AI17" s="3"/>
      <c r="AJ17" s="3"/>
      <c r="AK17" s="3"/>
      <c r="AL17" s="3"/>
      <c r="AM17" s="3"/>
      <c r="AN17" s="3"/>
      <c r="AO17" s="3"/>
      <c r="AP17" s="3"/>
      <c r="AQ17" s="3"/>
      <c r="AR17" s="3"/>
      <c r="AS17" s="3"/>
      <c r="AT17" s="3"/>
    </row>
    <row r="18" spans="1:46" ht="20.25" customHeight="1" x14ac:dyDescent="0.25">
      <c r="A18" s="585"/>
      <c r="B18" s="608" t="s">
        <v>431</v>
      </c>
      <c r="C18" s="38"/>
      <c r="D18" s="38"/>
      <c r="E18" s="38"/>
      <c r="F18" s="38"/>
      <c r="G18" s="38"/>
      <c r="H18" s="38"/>
      <c r="I18" s="38"/>
      <c r="J18" s="38"/>
      <c r="K18" s="38"/>
      <c r="L18" s="38"/>
      <c r="M18" s="38"/>
      <c r="N18" s="1"/>
      <c r="O18" s="568"/>
      <c r="P18" s="3"/>
      <c r="X18" s="3"/>
      <c r="Y18" s="3"/>
      <c r="Z18" s="3"/>
      <c r="AA18" s="3"/>
      <c r="AB18" s="3"/>
      <c r="AC18" s="3"/>
      <c r="AD18" s="3"/>
      <c r="AE18" s="3"/>
      <c r="AF18" s="3"/>
      <c r="AG18" s="3"/>
      <c r="AH18" s="3"/>
      <c r="AI18" s="3"/>
      <c r="AJ18" s="3"/>
      <c r="AK18" s="3"/>
      <c r="AL18" s="3"/>
      <c r="AM18" s="3"/>
      <c r="AN18" s="3"/>
      <c r="AO18" s="3"/>
      <c r="AP18" s="3"/>
      <c r="AQ18" s="3"/>
      <c r="AR18" s="3"/>
      <c r="AS18" s="3"/>
      <c r="AT18" s="3"/>
    </row>
    <row r="19" spans="1:46" ht="20.25" customHeight="1" x14ac:dyDescent="0.25">
      <c r="A19" s="585"/>
      <c r="B19" s="608" t="s">
        <v>432</v>
      </c>
      <c r="C19" s="38"/>
      <c r="D19" s="38"/>
      <c r="E19" s="38"/>
      <c r="F19" s="38"/>
      <c r="G19" s="38"/>
      <c r="I19" s="38"/>
      <c r="J19" s="38"/>
      <c r="K19" s="38"/>
      <c r="L19" s="38"/>
      <c r="M19" s="38"/>
      <c r="N19" s="1"/>
      <c r="O19" s="568"/>
      <c r="P19" s="3"/>
      <c r="X19" s="3"/>
      <c r="Y19" s="3"/>
      <c r="Z19" s="3"/>
      <c r="AA19" s="3"/>
      <c r="AB19" s="3"/>
      <c r="AC19" s="3"/>
      <c r="AD19" s="3"/>
      <c r="AE19" s="3"/>
      <c r="AF19" s="3"/>
      <c r="AG19" s="3"/>
      <c r="AH19" s="3"/>
      <c r="AI19" s="3"/>
      <c r="AJ19" s="3"/>
      <c r="AK19" s="3"/>
      <c r="AL19" s="3"/>
      <c r="AM19" s="3"/>
      <c r="AN19" s="3"/>
      <c r="AO19" s="3"/>
      <c r="AP19" s="3"/>
      <c r="AQ19" s="3"/>
      <c r="AR19" s="3"/>
      <c r="AS19" s="3"/>
      <c r="AT19" s="3"/>
    </row>
    <row r="20" spans="1:46" ht="20.25" customHeight="1" x14ac:dyDescent="0.25">
      <c r="A20" s="585"/>
      <c r="B20" s="607" t="str">
        <f>"- The rate peg included in council's requested special variation percentages for Year 1 ("&amp;Year0&amp;") is the actual rate peg set by IPART."</f>
        <v>- The rate peg included in council's requested special variation percentages for Year 1 (2024-25) is the actual rate peg set by IPART.</v>
      </c>
      <c r="C20" s="38"/>
      <c r="D20" s="38"/>
      <c r="E20" s="38"/>
      <c r="F20" s="38"/>
      <c r="G20" s="38"/>
      <c r="H20" s="38"/>
      <c r="I20" s="38"/>
      <c r="J20" s="38"/>
      <c r="K20" s="38"/>
      <c r="L20" s="38"/>
      <c r="M20" s="38"/>
      <c r="N20" s="1"/>
      <c r="O20" s="568"/>
      <c r="P20" s="3"/>
      <c r="X20" s="3"/>
      <c r="Y20" s="3"/>
      <c r="Z20" s="3"/>
      <c r="AA20" s="3"/>
      <c r="AB20" s="3"/>
      <c r="AC20" s="3"/>
      <c r="AD20" s="3"/>
      <c r="AE20" s="3"/>
      <c r="AF20" s="3"/>
      <c r="AG20" s="3"/>
      <c r="AH20" s="3"/>
      <c r="AI20" s="3"/>
      <c r="AJ20" s="3"/>
      <c r="AK20" s="3"/>
      <c r="AL20" s="3"/>
      <c r="AM20" s="3"/>
      <c r="AN20" s="3"/>
      <c r="AO20" s="3"/>
      <c r="AP20" s="3"/>
      <c r="AQ20" s="3"/>
      <c r="AR20" s="3"/>
      <c r="AS20" s="3"/>
      <c r="AT20" s="3"/>
    </row>
    <row r="21" spans="1:46" ht="20.25" customHeight="1" x14ac:dyDescent="0.25">
      <c r="A21" s="585"/>
      <c r="B21" s="609" t="s">
        <v>433</v>
      </c>
      <c r="C21" s="38"/>
      <c r="D21" s="38"/>
      <c r="E21" s="38"/>
      <c r="F21" s="38"/>
      <c r="G21" s="38"/>
      <c r="H21" s="38"/>
      <c r="I21" s="38"/>
      <c r="J21" s="38"/>
      <c r="K21" s="38"/>
      <c r="L21" s="38"/>
      <c r="M21" s="38"/>
      <c r="N21" s="1"/>
      <c r="O21" s="568"/>
      <c r="P21" s="3"/>
      <c r="X21" s="3"/>
      <c r="Y21" s="3"/>
      <c r="Z21" s="3"/>
      <c r="AA21" s="3"/>
      <c r="AB21" s="3"/>
      <c r="AC21" s="3"/>
      <c r="AD21" s="3"/>
      <c r="AE21" s="3"/>
      <c r="AF21" s="3"/>
      <c r="AG21" s="3"/>
      <c r="AH21" s="3"/>
      <c r="AI21" s="3"/>
      <c r="AJ21" s="3"/>
      <c r="AK21" s="3"/>
      <c r="AL21" s="3"/>
      <c r="AM21" s="3"/>
      <c r="AN21" s="3"/>
      <c r="AO21" s="3"/>
      <c r="AP21" s="3"/>
      <c r="AQ21" s="3"/>
      <c r="AR21" s="3"/>
      <c r="AS21" s="3"/>
      <c r="AT21" s="3"/>
    </row>
    <row r="22" spans="1:46" ht="20.25" customHeight="1" x14ac:dyDescent="0.2">
      <c r="B22" s="608" t="s">
        <v>434</v>
      </c>
      <c r="C22" s="3"/>
      <c r="D22" s="38"/>
      <c r="E22" s="38"/>
      <c r="F22" s="38"/>
      <c r="G22" s="38"/>
      <c r="I22" s="38"/>
      <c r="J22" s="38"/>
      <c r="K22" s="38"/>
      <c r="L22" s="38"/>
      <c r="M22" s="38"/>
      <c r="N22" s="1"/>
      <c r="O22" s="568"/>
      <c r="P22" s="3"/>
      <c r="X22" s="3"/>
      <c r="Y22" s="3"/>
      <c r="Z22" s="3"/>
      <c r="AA22" s="3"/>
      <c r="AB22" s="3"/>
      <c r="AC22" s="3"/>
      <c r="AD22" s="3"/>
      <c r="AE22" s="3"/>
      <c r="AF22" s="3"/>
      <c r="AG22" s="3"/>
      <c r="AH22" s="3"/>
      <c r="AI22" s="3"/>
      <c r="AJ22" s="3"/>
      <c r="AK22" s="3"/>
      <c r="AL22" s="3"/>
      <c r="AM22" s="3"/>
      <c r="AN22" s="3"/>
      <c r="AO22" s="3"/>
      <c r="AP22" s="3"/>
      <c r="AQ22" s="3"/>
      <c r="AR22" s="3"/>
      <c r="AS22" s="3"/>
      <c r="AT22" s="3"/>
    </row>
    <row r="23" spans="1:46" x14ac:dyDescent="0.2">
      <c r="B23" s="608" t="s">
        <v>435</v>
      </c>
      <c r="C23" s="3"/>
      <c r="D23" s="38"/>
      <c r="E23" s="38"/>
      <c r="F23" s="38"/>
      <c r="G23" s="38"/>
      <c r="I23" s="38"/>
      <c r="J23" s="38"/>
      <c r="K23" s="38"/>
      <c r="L23" s="38"/>
      <c r="M23" s="38"/>
      <c r="N23" s="1"/>
      <c r="O23" s="568"/>
      <c r="P23" s="3"/>
      <c r="X23" s="3"/>
      <c r="Y23" s="3"/>
      <c r="Z23" s="3"/>
      <c r="AA23" s="3"/>
      <c r="AB23" s="3"/>
      <c r="AC23" s="3"/>
      <c r="AD23" s="3"/>
      <c r="AE23" s="3"/>
      <c r="AF23" s="3"/>
      <c r="AG23" s="3"/>
      <c r="AH23" s="3"/>
      <c r="AI23" s="3"/>
      <c r="AJ23" s="3"/>
      <c r="AK23" s="3"/>
      <c r="AL23" s="3"/>
      <c r="AM23" s="3"/>
      <c r="AN23" s="3"/>
      <c r="AO23" s="3"/>
      <c r="AP23" s="3"/>
      <c r="AQ23" s="3"/>
      <c r="AR23" s="3"/>
      <c r="AS23" s="3"/>
      <c r="AT23" s="3"/>
    </row>
    <row r="24" spans="1:46" ht="20.25" customHeight="1" x14ac:dyDescent="0.25">
      <c r="B24" s="616" t="s">
        <v>436</v>
      </c>
      <c r="C24" s="6"/>
      <c r="D24" s="1"/>
      <c r="E24" s="1"/>
      <c r="F24" s="1"/>
      <c r="G24" s="1"/>
      <c r="H24" s="53"/>
      <c r="I24" s="1"/>
      <c r="J24" s="1"/>
      <c r="K24" s="1"/>
      <c r="L24" s="1"/>
      <c r="M24" s="1"/>
      <c r="N24" s="1"/>
      <c r="O24" s="568"/>
      <c r="P24" s="3"/>
      <c r="X24" s="3"/>
      <c r="Y24" s="3"/>
      <c r="Z24" s="3"/>
      <c r="AA24" s="3"/>
      <c r="AB24" s="3"/>
      <c r="AC24" s="3"/>
      <c r="AD24" s="3"/>
      <c r="AE24" s="3"/>
      <c r="AF24" s="3"/>
      <c r="AG24" s="3"/>
      <c r="AH24" s="3"/>
      <c r="AI24" s="3"/>
      <c r="AJ24" s="3"/>
      <c r="AK24" s="3"/>
      <c r="AL24" s="3"/>
      <c r="AM24" s="3"/>
      <c r="AN24" s="3"/>
      <c r="AO24" s="3"/>
      <c r="AP24" s="3"/>
      <c r="AQ24" s="3"/>
      <c r="AR24" s="3"/>
      <c r="AS24" s="3"/>
      <c r="AT24" s="3"/>
    </row>
    <row r="25" spans="1:46" s="662" customFormat="1" ht="20.25" customHeight="1" x14ac:dyDescent="0.2">
      <c r="A25" s="88"/>
      <c r="B25" s="658" t="s">
        <v>437</v>
      </c>
      <c r="C25" s="659"/>
      <c r="D25" s="90"/>
      <c r="E25" s="90"/>
      <c r="F25" s="90"/>
      <c r="G25" s="90"/>
      <c r="H25" s="660"/>
      <c r="I25" s="90"/>
      <c r="J25" s="90"/>
      <c r="K25" s="90"/>
      <c r="L25" s="90"/>
      <c r="M25" s="90"/>
      <c r="N25" s="90"/>
      <c r="O25" s="661"/>
      <c r="P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row>
    <row r="26" spans="1:46" s="662" customFormat="1" ht="20.25" customHeight="1" x14ac:dyDescent="0.2">
      <c r="A26" s="88"/>
      <c r="B26" s="658" t="s">
        <v>438</v>
      </c>
      <c r="C26" s="615"/>
      <c r="D26" s="615"/>
      <c r="E26" s="615"/>
      <c r="F26" s="615"/>
      <c r="G26" s="615"/>
      <c r="H26" s="615"/>
      <c r="I26" s="615"/>
      <c r="J26" s="615"/>
      <c r="K26" s="615"/>
      <c r="L26" s="615"/>
      <c r="M26" s="615"/>
      <c r="N26" s="90"/>
      <c r="O26" s="661"/>
      <c r="P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row>
    <row r="27" spans="1:46" s="662" customFormat="1" ht="20.25" customHeight="1" x14ac:dyDescent="0.2">
      <c r="A27" s="88"/>
      <c r="B27" s="658" t="s">
        <v>439</v>
      </c>
      <c r="C27" s="90"/>
      <c r="D27" s="90"/>
      <c r="E27" s="90"/>
      <c r="F27" s="90"/>
      <c r="G27" s="90"/>
      <c r="H27" s="90"/>
      <c r="I27" s="90"/>
      <c r="J27" s="90"/>
      <c r="K27" s="90"/>
      <c r="L27" s="90"/>
      <c r="M27" s="615"/>
      <c r="N27" s="90"/>
      <c r="O27" s="661"/>
      <c r="P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row>
    <row r="28" spans="1:46" ht="20.25" customHeight="1" x14ac:dyDescent="0.2">
      <c r="B28" s="673" t="s">
        <v>440</v>
      </c>
      <c r="C28" s="1"/>
      <c r="E28" s="1"/>
      <c r="F28" s="1"/>
      <c r="G28" s="1"/>
      <c r="H28" s="1"/>
      <c r="I28" s="1"/>
      <c r="J28" s="1"/>
      <c r="K28" s="1"/>
      <c r="L28" s="1"/>
      <c r="M28" s="1"/>
      <c r="N28" s="1"/>
      <c r="O28" s="568"/>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row>
    <row r="29" spans="1:46" ht="10.15" customHeight="1" x14ac:dyDescent="0.2">
      <c r="B29" s="581"/>
      <c r="C29" s="1"/>
      <c r="D29" s="1"/>
      <c r="E29" s="1"/>
      <c r="F29" s="1"/>
      <c r="G29" s="1"/>
      <c r="H29" s="1"/>
      <c r="I29" s="1"/>
      <c r="J29" s="1"/>
      <c r="K29" s="1"/>
      <c r="L29" s="1"/>
      <c r="M29" s="1"/>
      <c r="N29" s="1"/>
      <c r="O29" s="568"/>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row>
    <row r="30" spans="1:46" ht="20.25" customHeight="1" x14ac:dyDescent="0.2">
      <c r="B30" s="651" t="str">
        <f>'WS0 - Input data'!$D$29&amp;" "&amp;'WS0 - Input data'!$D$30</f>
        <v>Jisoo Mok</v>
      </c>
      <c r="C30" s="1"/>
      <c r="D30" s="1" t="str">
        <f>'WS0 - Input data'!D32</f>
        <v>(02) 9019 1955</v>
      </c>
      <c r="F30" s="1"/>
      <c r="G30" s="1"/>
      <c r="I30" s="1"/>
      <c r="J30" s="1"/>
      <c r="K30" s="1"/>
      <c r="L30" s="1"/>
      <c r="M30" s="1"/>
      <c r="N30" s="1"/>
      <c r="O30" s="568"/>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row>
    <row r="31" spans="1:46" ht="20.25" customHeight="1" x14ac:dyDescent="0.2">
      <c r="B31" s="581"/>
      <c r="C31" s="1"/>
      <c r="D31" s="1" t="str">
        <f>'WS0 - Input data'!D31</f>
        <v>Jisoo.mok@ipart.nsw.gov.au</v>
      </c>
      <c r="E31" s="1"/>
      <c r="F31" s="1"/>
      <c r="G31" s="1"/>
      <c r="I31" s="1"/>
      <c r="J31" s="1"/>
      <c r="K31" s="1"/>
      <c r="L31" s="1"/>
      <c r="M31" s="1"/>
      <c r="N31" s="1"/>
      <c r="O31" s="568"/>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row>
    <row r="32" spans="1:46" ht="10.15" customHeight="1" x14ac:dyDescent="0.2">
      <c r="B32" s="581"/>
      <c r="C32" s="1"/>
      <c r="D32" s="1"/>
      <c r="E32" s="1"/>
      <c r="F32" s="1"/>
      <c r="G32" s="1"/>
      <c r="H32" s="1"/>
      <c r="I32" s="1"/>
      <c r="J32" s="1"/>
      <c r="K32" s="1"/>
      <c r="L32" s="1"/>
      <c r="M32" s="1"/>
      <c r="N32" s="1"/>
      <c r="O32" s="568"/>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row>
    <row r="33" spans="1:46" ht="20.25" customHeight="1" x14ac:dyDescent="0.2">
      <c r="B33" s="651" t="str">
        <f>'WS0 - Input data'!$D$35&amp;" "&amp;'WS0 - Input data'!$D$36&amp;" (who in "&amp;'WS0 - Input data'!D29&amp;"'s absence, will direct you to the appropriate IPART officer)"</f>
        <v>Arsh Suri (who in Jisoo's absence, will direct you to the appropriate IPART officer)</v>
      </c>
      <c r="C33" s="1"/>
      <c r="D33" s="1"/>
      <c r="F33" s="1"/>
      <c r="G33" s="1"/>
      <c r="H33" s="1"/>
      <c r="I33" s="1"/>
      <c r="J33" s="1"/>
      <c r="K33" s="1"/>
      <c r="L33" s="1"/>
      <c r="M33" s="1"/>
      <c r="N33" s="1"/>
      <c r="O33" s="568"/>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row>
    <row r="34" spans="1:46" ht="20.25" customHeight="1" x14ac:dyDescent="0.2">
      <c r="B34" s="657"/>
      <c r="C34" s="1"/>
      <c r="D34" s="1" t="str">
        <f>'WS0 - Input data'!D38</f>
        <v>(02) 9113 7730</v>
      </c>
      <c r="E34" s="1"/>
      <c r="F34" s="38"/>
      <c r="G34" s="1"/>
      <c r="I34" s="1"/>
      <c r="J34" s="1"/>
      <c r="K34" s="1"/>
      <c r="L34" s="1"/>
      <c r="M34" s="1"/>
      <c r="N34" s="1"/>
      <c r="O34" s="568"/>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row>
    <row r="35" spans="1:46" ht="20.25" customHeight="1" x14ac:dyDescent="0.2">
      <c r="B35" s="657"/>
      <c r="C35" s="1"/>
      <c r="D35" s="1" t="str">
        <f>'WS0 - Input data'!D37</f>
        <v>localgovernment@ipart.nsw.gov.au</v>
      </c>
      <c r="E35" s="1"/>
      <c r="F35" s="1"/>
      <c r="G35" s="1"/>
      <c r="I35" s="1"/>
      <c r="J35" s="1"/>
      <c r="K35" s="1"/>
      <c r="L35" s="1"/>
      <c r="M35" s="1"/>
      <c r="N35" s="1"/>
      <c r="O35" s="568"/>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row>
    <row r="36" spans="1:46" ht="10.15" customHeight="1" x14ac:dyDescent="0.2">
      <c r="B36" s="600"/>
      <c r="C36" s="580"/>
      <c r="D36" s="580"/>
      <c r="E36" s="580"/>
      <c r="F36" s="580"/>
      <c r="G36" s="580"/>
      <c r="H36" s="580"/>
      <c r="I36" s="580"/>
      <c r="J36" s="580"/>
      <c r="K36" s="580"/>
      <c r="L36" s="580"/>
      <c r="M36" s="580"/>
      <c r="N36" s="580"/>
      <c r="O36" s="578"/>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ht="12" customHeight="1" x14ac:dyDescent="0.2">
      <c r="B37" s="1"/>
      <c r="C37" s="1"/>
      <c r="D37" s="1"/>
      <c r="E37" s="1"/>
      <c r="F37" s="1"/>
      <c r="G37" s="1"/>
      <c r="H37" s="1"/>
      <c r="I37" s="1"/>
      <c r="J37" s="1"/>
      <c r="K37" s="1"/>
      <c r="L37" s="1"/>
      <c r="M37" s="1"/>
      <c r="N37" s="1"/>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row>
    <row r="38" spans="1:46" ht="12" customHeight="1" x14ac:dyDescent="0.25">
      <c r="A38" s="585"/>
      <c r="B38" s="1"/>
      <c r="C38" s="38"/>
      <c r="D38" s="38"/>
      <c r="E38" s="38"/>
      <c r="F38" s="38"/>
      <c r="G38" s="38"/>
      <c r="H38" s="38"/>
      <c r="I38" s="38"/>
      <c r="J38" s="38"/>
      <c r="K38" s="38"/>
      <c r="L38" s="38"/>
      <c r="M38" s="38"/>
      <c r="N38" s="1"/>
      <c r="O38" s="3"/>
      <c r="P38" s="3"/>
      <c r="V38" s="3"/>
      <c r="W38" s="3"/>
      <c r="X38" s="3"/>
      <c r="Y38" s="3"/>
      <c r="Z38" s="3"/>
      <c r="AA38" s="3"/>
      <c r="AB38" s="3"/>
      <c r="AC38" s="3"/>
      <c r="AD38" s="3"/>
      <c r="AE38" s="3"/>
      <c r="AF38" s="3"/>
      <c r="AG38" s="3"/>
      <c r="AH38" s="3"/>
      <c r="AI38" s="3"/>
      <c r="AJ38" s="3"/>
      <c r="AK38" s="3"/>
      <c r="AL38" s="3"/>
      <c r="AM38" s="3"/>
      <c r="AN38" s="3"/>
      <c r="AO38" s="3"/>
      <c r="AP38" s="3"/>
      <c r="AQ38" s="3"/>
      <c r="AR38" s="3"/>
      <c r="AS38" s="3"/>
      <c r="AT38" s="3"/>
    </row>
    <row r="39" spans="1:46" s="12" customFormat="1" ht="15.75" x14ac:dyDescent="0.2">
      <c r="A39" s="117"/>
      <c r="B39" s="1622" t="s">
        <v>441</v>
      </c>
      <c r="C39" s="1429"/>
      <c r="D39" s="1429"/>
      <c r="E39" s="1429"/>
      <c r="F39" s="1429"/>
      <c r="G39" s="1429"/>
      <c r="H39" s="1429"/>
      <c r="I39" s="1429"/>
      <c r="J39" s="1429"/>
      <c r="K39" s="1429"/>
      <c r="L39" s="1429"/>
      <c r="M39" s="1429"/>
      <c r="N39" s="1466"/>
      <c r="O39" s="1467"/>
      <c r="P39" s="117" t="s">
        <v>442</v>
      </c>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row>
    <row r="40" spans="1:46" s="662" customFormat="1" ht="10.15" customHeight="1" x14ac:dyDescent="0.2">
      <c r="A40" s="88"/>
      <c r="B40" s="658"/>
      <c r="C40" s="90"/>
      <c r="D40" s="90"/>
      <c r="E40" s="90"/>
      <c r="F40" s="90"/>
      <c r="G40" s="90"/>
      <c r="H40" s="90"/>
      <c r="I40" s="90"/>
      <c r="J40" s="90"/>
      <c r="K40" s="90"/>
      <c r="L40" s="90"/>
      <c r="M40" s="615"/>
      <c r="N40" s="90"/>
      <c r="O40" s="661"/>
      <c r="P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row>
    <row r="41" spans="1:46" s="662" customFormat="1" ht="20.25" customHeight="1" x14ac:dyDescent="0.2">
      <c r="A41" s="88"/>
      <c r="B41" s="569" t="s">
        <v>443</v>
      </c>
      <c r="C41" s="90"/>
      <c r="D41" s="90"/>
      <c r="E41" s="90"/>
      <c r="F41" s="90"/>
      <c r="G41" s="90"/>
      <c r="H41" s="663"/>
      <c r="I41" s="90"/>
      <c r="J41" s="90"/>
      <c r="K41" s="90"/>
      <c r="L41" s="90"/>
      <c r="M41" s="615"/>
      <c r="N41" s="90"/>
      <c r="O41" s="661"/>
      <c r="P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row>
    <row r="42" spans="1:46" s="662" customFormat="1" ht="20.25" customHeight="1" x14ac:dyDescent="0.2">
      <c r="A42" s="88"/>
      <c r="B42" s="569" t="s">
        <v>444</v>
      </c>
      <c r="C42" s="90"/>
      <c r="D42" s="601"/>
      <c r="E42" s="601"/>
      <c r="F42" s="601"/>
      <c r="G42" s="601"/>
      <c r="H42" s="602"/>
      <c r="I42" s="601"/>
      <c r="J42" s="601"/>
      <c r="K42" s="603"/>
      <c r="L42" s="603"/>
      <c r="M42" s="615"/>
      <c r="N42" s="90"/>
      <c r="O42" s="661"/>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row>
    <row r="43" spans="1:46" s="662" customFormat="1" ht="20.25" customHeight="1" x14ac:dyDescent="0.2">
      <c r="A43" s="88"/>
      <c r="B43" s="569" t="s">
        <v>445</v>
      </c>
      <c r="C43" s="90"/>
      <c r="D43" s="90"/>
      <c r="E43" s="90"/>
      <c r="F43" s="90"/>
      <c r="G43" s="90"/>
      <c r="H43" s="90"/>
      <c r="I43" s="90"/>
      <c r="J43" s="90"/>
      <c r="K43" s="90"/>
      <c r="L43" s="90"/>
      <c r="M43" s="615"/>
      <c r="N43" s="90"/>
      <c r="O43" s="661"/>
      <c r="P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row>
    <row r="44" spans="1:46" s="662" customFormat="1" ht="20.25" customHeight="1" x14ac:dyDescent="0.2">
      <c r="A44" s="664"/>
      <c r="B44" s="569" t="s">
        <v>446</v>
      </c>
      <c r="C44" s="615"/>
      <c r="D44" s="615"/>
      <c r="E44" s="615"/>
      <c r="G44" s="663"/>
      <c r="H44" s="663"/>
      <c r="I44" s="615"/>
      <c r="J44" s="615"/>
      <c r="K44" s="615"/>
      <c r="L44" s="615"/>
      <c r="M44" s="615"/>
      <c r="N44" s="615"/>
      <c r="O44" s="661"/>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row>
    <row r="45" spans="1:46" s="662" customFormat="1" ht="20.25" customHeight="1" x14ac:dyDescent="0.2">
      <c r="A45" s="664"/>
      <c r="B45" s="569" t="s">
        <v>447</v>
      </c>
      <c r="C45" s="615"/>
      <c r="D45" s="615"/>
      <c r="E45" s="615"/>
      <c r="G45" s="663"/>
      <c r="H45" s="663"/>
      <c r="I45" s="615"/>
      <c r="J45" s="615"/>
      <c r="K45" s="615"/>
      <c r="L45" s="615"/>
      <c r="M45" s="615"/>
      <c r="N45" s="615"/>
      <c r="O45" s="661"/>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row>
    <row r="46" spans="1:46" s="662" customFormat="1" ht="20.25" customHeight="1" x14ac:dyDescent="0.2">
      <c r="A46" s="664"/>
      <c r="B46" s="569" t="s">
        <v>448</v>
      </c>
      <c r="C46" s="615"/>
      <c r="D46" s="615"/>
      <c r="E46" s="615"/>
      <c r="G46" s="663"/>
      <c r="H46" s="663"/>
      <c r="I46" s="615"/>
      <c r="J46" s="615"/>
      <c r="K46" s="615"/>
      <c r="L46" s="615"/>
      <c r="M46" s="615"/>
      <c r="O46" s="661"/>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row>
    <row r="47" spans="1:46" s="662" customFormat="1" ht="20.25" customHeight="1" x14ac:dyDescent="0.2">
      <c r="A47" s="88"/>
      <c r="B47" s="569" t="s">
        <v>449</v>
      </c>
      <c r="C47" s="663"/>
      <c r="D47" s="90"/>
      <c r="E47" s="90"/>
      <c r="F47" s="90"/>
      <c r="G47" s="90"/>
      <c r="H47" s="90"/>
      <c r="I47" s="90"/>
      <c r="J47" s="90"/>
      <c r="K47" s="90"/>
      <c r="L47" s="90"/>
      <c r="M47" s="90"/>
      <c r="N47" s="90"/>
      <c r="O47" s="665"/>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row>
    <row r="48" spans="1:46" s="88" customFormat="1" ht="20.25" customHeight="1" x14ac:dyDescent="0.2">
      <c r="B48" s="605" t="s">
        <v>450</v>
      </c>
      <c r="C48" s="90"/>
      <c r="D48" s="90"/>
      <c r="E48" s="90"/>
      <c r="F48" s="90"/>
      <c r="G48" s="90"/>
      <c r="H48" s="90"/>
      <c r="I48" s="90"/>
      <c r="J48" s="90"/>
      <c r="K48" s="90"/>
      <c r="L48" s="90"/>
      <c r="M48" s="90"/>
      <c r="N48" s="90"/>
      <c r="O48" s="665"/>
    </row>
    <row r="49" spans="2:46" s="88" customFormat="1" ht="20.25" customHeight="1" x14ac:dyDescent="0.2">
      <c r="B49" s="605" t="str">
        <f>"* The exact data requirements can be found in table "&amp;'WS1-Application'!A1&amp;"."&amp;'WS1-Application'!A40&amp;" of 'WS1 - Application' once Council had identified the exact nature of the application (SV only, MR increase only or SV&amp;MR together)"</f>
        <v>* The exact data requirements can be found in table 1.2 of 'WS1 - Application' once Council had identified the exact nature of the application (SV only, MR increase only or SV&amp;MR together)</v>
      </c>
      <c r="C49" s="90"/>
      <c r="D49" s="90"/>
      <c r="E49" s="90"/>
      <c r="F49" s="90"/>
      <c r="G49" s="90"/>
      <c r="H49" s="90"/>
      <c r="I49" s="90"/>
      <c r="J49" s="90"/>
      <c r="K49" s="90"/>
      <c r="L49" s="90"/>
      <c r="M49" s="90"/>
      <c r="N49" s="90"/>
      <c r="O49" s="665"/>
    </row>
    <row r="50" spans="2:46" s="88" customFormat="1" ht="20.25" customHeight="1" x14ac:dyDescent="0.2">
      <c r="B50" s="1443" t="str">
        <f>"at row "&amp;ROW('WS1-Application'!B33)&amp;" of WS1 - Application"</f>
        <v>at row 33 of WS1 - Application</v>
      </c>
      <c r="C50" s="90"/>
      <c r="D50" s="90"/>
      <c r="E50" s="90"/>
      <c r="F50" s="90"/>
      <c r="G50" s="90"/>
      <c r="H50" s="90"/>
      <c r="I50" s="90"/>
      <c r="J50" s="90"/>
      <c r="K50" s="90"/>
      <c r="L50" s="90"/>
      <c r="M50" s="90"/>
      <c r="N50" s="90"/>
      <c r="O50" s="665"/>
    </row>
    <row r="51" spans="2:46" s="88" customFormat="1" ht="20.25" customHeight="1" x14ac:dyDescent="0.2">
      <c r="B51" s="605" t="s">
        <v>451</v>
      </c>
      <c r="C51" s="90"/>
      <c r="D51" s="90"/>
      <c r="E51" s="90"/>
      <c r="F51" s="90"/>
      <c r="G51" s="90"/>
      <c r="H51" s="90"/>
      <c r="I51" s="90"/>
      <c r="J51" s="90"/>
      <c r="K51" s="90"/>
      <c r="L51" s="90"/>
      <c r="M51" s="90"/>
      <c r="N51" s="90"/>
      <c r="O51" s="661"/>
      <c r="P51" s="662"/>
      <c r="Q51" s="662"/>
      <c r="R51" s="662"/>
      <c r="S51" s="662"/>
      <c r="T51" s="662"/>
      <c r="U51" s="662"/>
      <c r="V51" s="662"/>
    </row>
    <row r="52" spans="2:46" s="88" customFormat="1" ht="20.25" customHeight="1" x14ac:dyDescent="0.2">
      <c r="B52" s="605" t="s">
        <v>452</v>
      </c>
      <c r="C52" s="90"/>
      <c r="D52" s="90"/>
      <c r="E52" s="90"/>
      <c r="F52" s="90"/>
      <c r="G52" s="90"/>
      <c r="H52" s="90"/>
      <c r="I52" s="90"/>
      <c r="J52" s="90"/>
      <c r="K52" s="90"/>
      <c r="L52" s="90"/>
      <c r="M52" s="90"/>
      <c r="N52" s="90"/>
      <c r="O52" s="661"/>
    </row>
    <row r="53" spans="2:46" s="88" customFormat="1" ht="20.25" customHeight="1" x14ac:dyDescent="0.2">
      <c r="B53" s="569" t="s">
        <v>453</v>
      </c>
      <c r="C53" s="90"/>
      <c r="D53" s="90"/>
      <c r="E53" s="90"/>
      <c r="F53" s="90"/>
      <c r="G53" s="90"/>
      <c r="H53" s="90"/>
      <c r="I53" s="90"/>
      <c r="J53" s="90"/>
      <c r="K53" s="90"/>
      <c r="L53" s="90"/>
      <c r="M53" s="90"/>
      <c r="N53" s="90"/>
      <c r="O53" s="661"/>
    </row>
    <row r="54" spans="2:46" ht="20.25" customHeight="1" x14ac:dyDescent="0.2">
      <c r="B54" s="581" t="s">
        <v>454</v>
      </c>
      <c r="C54" s="595"/>
      <c r="E54" s="1"/>
      <c r="F54" s="1"/>
      <c r="G54" s="1"/>
      <c r="H54" s="1"/>
      <c r="I54" s="1"/>
      <c r="J54" s="1"/>
      <c r="K54" s="1"/>
      <c r="L54" s="90"/>
      <c r="M54" s="1"/>
      <c r="N54" s="1"/>
      <c r="O54" s="650"/>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2:46" ht="20.25" customHeight="1" x14ac:dyDescent="0.2">
      <c r="B55" s="651" t="s">
        <v>455</v>
      </c>
      <c r="D55" s="1"/>
      <c r="E55" s="1"/>
      <c r="F55" s="1"/>
      <c r="G55" s="1"/>
      <c r="H55" s="1"/>
      <c r="I55" s="1"/>
      <c r="J55" s="1"/>
      <c r="K55" s="1"/>
      <c r="L55" s="1"/>
      <c r="M55" s="1"/>
      <c r="N55" s="1"/>
      <c r="O55" s="568"/>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row>
    <row r="56" spans="2:46" ht="20.25" customHeight="1" x14ac:dyDescent="0.2">
      <c r="B56" s="657"/>
      <c r="C56" s="610" t="s">
        <v>456</v>
      </c>
      <c r="D56" s="280"/>
      <c r="E56" s="279"/>
      <c r="F56" s="279"/>
      <c r="G56" s="279"/>
      <c r="H56" s="279"/>
      <c r="I56" s="279"/>
      <c r="J56" s="279"/>
      <c r="K56" s="1"/>
      <c r="L56" s="1"/>
      <c r="M56" s="1"/>
      <c r="N56" s="1"/>
      <c r="O56" s="568"/>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2:46" ht="20.25" customHeight="1" x14ac:dyDescent="0.2">
      <c r="B57" s="657"/>
      <c r="C57" s="611" t="s">
        <v>457</v>
      </c>
      <c r="D57" s="567"/>
      <c r="E57" s="567"/>
      <c r="F57" s="567"/>
      <c r="G57" s="567"/>
      <c r="H57" s="567"/>
      <c r="I57" s="567"/>
      <c r="J57" s="567"/>
      <c r="K57" s="1"/>
      <c r="L57" s="1"/>
      <c r="M57" s="1"/>
      <c r="N57" s="1"/>
      <c r="O57" s="568"/>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row>
    <row r="58" spans="2:46" ht="20.25" customHeight="1" x14ac:dyDescent="0.2">
      <c r="B58" s="657"/>
      <c r="C58" s="635" t="s">
        <v>458</v>
      </c>
      <c r="D58" s="490"/>
      <c r="E58" s="490"/>
      <c r="F58" s="490"/>
      <c r="G58" s="490"/>
      <c r="H58" s="490"/>
      <c r="I58" s="3"/>
      <c r="J58" s="3"/>
      <c r="K58" s="1"/>
      <c r="L58" s="1"/>
      <c r="M58" s="1"/>
      <c r="N58" s="1"/>
      <c r="O58" s="568"/>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row>
    <row r="59" spans="2:46" ht="20.25" customHeight="1" x14ac:dyDescent="0.2">
      <c r="B59" s="657"/>
      <c r="C59" s="612" t="s">
        <v>459</v>
      </c>
      <c r="D59" s="7"/>
      <c r="E59" s="7"/>
      <c r="F59" s="7"/>
      <c r="G59" s="7"/>
      <c r="H59" s="7"/>
      <c r="I59" s="7"/>
      <c r="J59" s="7"/>
      <c r="K59" s="1"/>
      <c r="L59" s="1"/>
      <c r="M59" s="1"/>
      <c r="N59" s="1"/>
      <c r="O59" s="568"/>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row>
    <row r="60" spans="2:46" ht="20.25" customHeight="1" x14ac:dyDescent="0.2">
      <c r="B60" s="657"/>
      <c r="C60" s="462" t="s">
        <v>460</v>
      </c>
      <c r="D60" s="1"/>
      <c r="E60" s="576"/>
      <c r="F60" s="576"/>
      <c r="G60" s="576"/>
      <c r="H60" s="576"/>
      <c r="I60" s="1"/>
      <c r="J60" s="1"/>
      <c r="K60" s="1"/>
      <c r="L60" s="1"/>
      <c r="M60" s="1"/>
      <c r="N60" s="1"/>
      <c r="O60" s="568"/>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row>
    <row r="61" spans="2:46" ht="20.25" customHeight="1" x14ac:dyDescent="0.2">
      <c r="B61" s="657"/>
      <c r="C61" s="613" t="s">
        <v>461</v>
      </c>
      <c r="D61" s="1"/>
      <c r="E61" s="576"/>
      <c r="F61" s="1"/>
      <c r="G61" s="1"/>
      <c r="H61" s="1"/>
      <c r="I61" s="1"/>
      <c r="J61" s="1"/>
      <c r="K61" s="1"/>
      <c r="L61" s="1"/>
      <c r="M61" s="1"/>
      <c r="N61" s="1"/>
      <c r="O61" s="568"/>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row>
    <row r="62" spans="2:46" ht="20.25" customHeight="1" x14ac:dyDescent="0.2">
      <c r="B62" s="657"/>
      <c r="C62" s="656" t="s">
        <v>462</v>
      </c>
      <c r="D62" s="1"/>
      <c r="E62" s="576"/>
      <c r="F62" s="1"/>
      <c r="G62" s="1"/>
      <c r="H62" s="1"/>
      <c r="I62" s="1"/>
      <c r="J62" s="1"/>
      <c r="K62" s="1"/>
      <c r="L62" s="1"/>
      <c r="M62" s="1"/>
      <c r="N62" s="1"/>
      <c r="O62" s="568"/>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row>
    <row r="63" spans="2:46" ht="20.25" customHeight="1" x14ac:dyDescent="0.2">
      <c r="B63" s="581" t="s">
        <v>463</v>
      </c>
      <c r="C63" s="576"/>
      <c r="D63" s="1"/>
      <c r="E63" s="1"/>
      <c r="F63" s="1"/>
      <c r="G63" s="1"/>
      <c r="H63" s="1"/>
      <c r="I63" s="1"/>
      <c r="J63" s="1"/>
      <c r="K63" s="1"/>
      <c r="L63" s="1"/>
      <c r="M63" s="1"/>
      <c r="N63" s="1"/>
      <c r="O63" s="568"/>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2:46" ht="20.25" customHeight="1" x14ac:dyDescent="0.2">
      <c r="B64" s="581" t="s">
        <v>464</v>
      </c>
      <c r="C64" s="576"/>
      <c r="D64" s="1"/>
      <c r="E64" s="1"/>
      <c r="F64" s="1"/>
      <c r="G64" s="1"/>
      <c r="H64" s="1"/>
      <c r="I64" s="1"/>
      <c r="J64" s="1"/>
      <c r="K64" s="1"/>
      <c r="L64" s="1"/>
      <c r="M64" s="1"/>
      <c r="N64" s="1"/>
      <c r="O64" s="568"/>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row>
    <row r="65" spans="2:46" ht="20.25" customHeight="1" x14ac:dyDescent="0.2">
      <c r="B65" s="581" t="s">
        <v>465</v>
      </c>
      <c r="C65" s="576"/>
      <c r="D65" s="1"/>
      <c r="E65" s="1"/>
      <c r="F65" s="1"/>
      <c r="G65" s="1"/>
      <c r="H65" s="1"/>
      <c r="I65" s="1"/>
      <c r="J65" s="1"/>
      <c r="K65" s="1"/>
      <c r="L65" s="1"/>
      <c r="M65" s="1"/>
      <c r="N65" s="1"/>
      <c r="O65" s="568"/>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2:46" ht="12" customHeight="1" x14ac:dyDescent="0.2">
      <c r="B66" s="600"/>
      <c r="C66" s="654"/>
      <c r="D66" s="580"/>
      <c r="E66" s="580"/>
      <c r="F66" s="580"/>
      <c r="G66" s="580"/>
      <c r="H66" s="580"/>
      <c r="I66" s="580"/>
      <c r="J66" s="580"/>
      <c r="K66" s="580"/>
      <c r="L66" s="580"/>
      <c r="M66" s="580"/>
      <c r="N66" s="580"/>
      <c r="O66" s="578"/>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2:46" s="3" customFormat="1" ht="12" customHeight="1" x14ac:dyDescent="0.2">
      <c r="B67" s="1"/>
      <c r="C67" s="90"/>
      <c r="D67" s="90"/>
      <c r="E67" s="90"/>
      <c r="F67" s="90"/>
      <c r="G67" s="90"/>
      <c r="H67" s="90"/>
      <c r="I67" s="90"/>
      <c r="J67" s="90"/>
      <c r="K67" s="90"/>
      <c r="L67" s="90"/>
      <c r="M67" s="90"/>
      <c r="N67" s="1"/>
    </row>
    <row r="68" spans="2:46" s="3" customFormat="1" ht="12" customHeight="1" x14ac:dyDescent="0.2">
      <c r="B68" s="1"/>
      <c r="C68" s="90"/>
      <c r="D68" s="90"/>
      <c r="E68" s="90"/>
      <c r="F68" s="90"/>
      <c r="G68" s="90"/>
      <c r="H68" s="90"/>
      <c r="I68" s="90"/>
      <c r="J68" s="90"/>
      <c r="K68" s="90"/>
      <c r="L68" s="90"/>
      <c r="M68" s="90"/>
      <c r="N68" s="1"/>
    </row>
    <row r="69" spans="2:46" s="3" customFormat="1" ht="15.75" x14ac:dyDescent="0.2">
      <c r="B69" s="1622" t="s">
        <v>466</v>
      </c>
      <c r="C69" s="1429"/>
      <c r="D69" s="1429"/>
      <c r="E69" s="1429"/>
      <c r="F69" s="1429"/>
      <c r="G69" s="1429"/>
      <c r="H69" s="1429"/>
      <c r="I69" s="1429"/>
      <c r="J69" s="1429"/>
      <c r="K69" s="1429"/>
      <c r="L69" s="1429"/>
      <c r="M69" s="1429"/>
      <c r="N69" s="1466"/>
      <c r="O69" s="1467"/>
    </row>
    <row r="70" spans="2:46" s="3" customFormat="1" ht="10.15" customHeight="1" x14ac:dyDescent="0.2">
      <c r="B70" s="581"/>
      <c r="C70" s="90"/>
      <c r="D70" s="90"/>
      <c r="E70" s="90"/>
      <c r="F70" s="90"/>
      <c r="G70" s="90"/>
      <c r="H70" s="90"/>
      <c r="I70" s="90"/>
      <c r="J70" s="90"/>
      <c r="K70" s="90"/>
      <c r="L70" s="90"/>
      <c r="M70" s="90"/>
      <c r="N70" s="1"/>
      <c r="O70" s="568"/>
    </row>
    <row r="71" spans="2:46" s="3" customFormat="1" ht="20.25" customHeight="1" x14ac:dyDescent="0.2">
      <c r="B71" s="581" t="s">
        <v>467</v>
      </c>
      <c r="C71" s="1"/>
      <c r="D71" s="90"/>
      <c r="E71" s="90"/>
      <c r="F71" s="90"/>
      <c r="G71" s="90"/>
      <c r="H71" s="90"/>
      <c r="I71" s="90"/>
      <c r="J71" s="90"/>
      <c r="K71" s="90"/>
      <c r="L71" s="90"/>
      <c r="M71" s="90"/>
      <c r="N71" s="1"/>
      <c r="O71" s="568"/>
    </row>
    <row r="72" spans="2:46" ht="20.25" customHeight="1" x14ac:dyDescent="0.2">
      <c r="B72" s="668" t="s">
        <v>468</v>
      </c>
      <c r="C72" s="38"/>
      <c r="F72" s="38"/>
      <c r="G72" s="38"/>
      <c r="H72" s="38"/>
      <c r="I72" s="38"/>
      <c r="J72" s="38"/>
      <c r="K72" s="38"/>
      <c r="L72" s="38"/>
      <c r="M72" s="38"/>
      <c r="N72" s="1"/>
      <c r="O72" s="650"/>
      <c r="X72" s="3"/>
      <c r="Y72" s="3"/>
      <c r="Z72" s="3"/>
      <c r="AA72" s="3"/>
      <c r="AB72" s="3"/>
      <c r="AC72" s="3"/>
      <c r="AD72" s="3"/>
      <c r="AE72" s="3"/>
      <c r="AF72" s="3"/>
      <c r="AG72" s="3"/>
      <c r="AH72" s="3"/>
      <c r="AI72" s="3"/>
      <c r="AJ72" s="3"/>
      <c r="AK72" s="3"/>
      <c r="AL72" s="3"/>
      <c r="AM72" s="3"/>
      <c r="AN72" s="3"/>
      <c r="AO72" s="3"/>
      <c r="AP72" s="3"/>
      <c r="AQ72" s="3"/>
      <c r="AR72" s="3"/>
      <c r="AS72" s="3"/>
      <c r="AT72" s="3"/>
    </row>
    <row r="73" spans="2:46" ht="20.25" customHeight="1" x14ac:dyDescent="0.2">
      <c r="B73" s="609" t="s">
        <v>469</v>
      </c>
      <c r="C73" s="1"/>
      <c r="F73" s="1"/>
      <c r="G73" s="1"/>
      <c r="H73" s="1"/>
      <c r="I73" s="1"/>
      <c r="J73" s="1"/>
      <c r="K73" s="1"/>
      <c r="L73" s="1"/>
      <c r="M73" s="38"/>
      <c r="N73" s="1"/>
      <c r="O73" s="650"/>
      <c r="X73" s="3"/>
      <c r="Y73" s="3"/>
      <c r="Z73" s="3"/>
      <c r="AA73" s="3"/>
      <c r="AB73" s="3"/>
      <c r="AC73" s="3"/>
      <c r="AD73" s="3"/>
      <c r="AE73" s="3"/>
      <c r="AF73" s="3"/>
      <c r="AG73" s="3"/>
      <c r="AH73" s="3"/>
      <c r="AI73" s="3"/>
      <c r="AJ73" s="3"/>
      <c r="AK73" s="3"/>
      <c r="AL73" s="3"/>
      <c r="AM73" s="3"/>
      <c r="AN73" s="3"/>
      <c r="AO73" s="3"/>
      <c r="AP73" s="3"/>
      <c r="AQ73" s="3"/>
      <c r="AR73" s="3"/>
      <c r="AS73" s="3"/>
      <c r="AT73" s="3"/>
    </row>
    <row r="74" spans="2:46" ht="20.25" customHeight="1" x14ac:dyDescent="0.2">
      <c r="B74" s="609" t="s">
        <v>470</v>
      </c>
      <c r="C74" s="1"/>
      <c r="F74" s="1"/>
      <c r="G74" s="1"/>
      <c r="H74" s="1"/>
      <c r="I74" s="1"/>
      <c r="J74" s="1"/>
      <c r="K74" s="1"/>
      <c r="L74" s="1"/>
      <c r="M74" s="38"/>
      <c r="N74" s="1"/>
      <c r="O74" s="650"/>
      <c r="X74" s="3"/>
      <c r="Y74" s="3"/>
      <c r="Z74" s="3"/>
      <c r="AA74" s="3"/>
      <c r="AB74" s="3"/>
      <c r="AC74" s="3"/>
      <c r="AD74" s="3"/>
      <c r="AE74" s="3"/>
      <c r="AF74" s="3"/>
      <c r="AG74" s="3"/>
      <c r="AH74" s="3"/>
      <c r="AI74" s="3"/>
      <c r="AJ74" s="3"/>
      <c r="AK74" s="3"/>
      <c r="AL74" s="3"/>
      <c r="AM74" s="3"/>
      <c r="AN74" s="3"/>
      <c r="AO74" s="3"/>
      <c r="AP74" s="3"/>
      <c r="AQ74" s="3"/>
      <c r="AR74" s="3"/>
      <c r="AS74" s="3"/>
      <c r="AT74" s="3"/>
    </row>
    <row r="75" spans="2:46" ht="20.25" customHeight="1" x14ac:dyDescent="0.2">
      <c r="B75" s="668" t="s">
        <v>471</v>
      </c>
      <c r="C75" s="1"/>
      <c r="F75" s="1"/>
      <c r="G75" s="1"/>
      <c r="H75" s="1"/>
      <c r="I75" s="1"/>
      <c r="J75" s="1"/>
      <c r="K75" s="1"/>
      <c r="L75" s="1"/>
      <c r="M75" s="38"/>
      <c r="N75" s="1"/>
      <c r="O75" s="650"/>
      <c r="X75" s="3"/>
      <c r="Y75" s="3"/>
      <c r="Z75" s="3"/>
      <c r="AA75" s="3"/>
      <c r="AB75" s="3"/>
      <c r="AC75" s="3"/>
      <c r="AD75" s="3"/>
      <c r="AE75" s="3"/>
      <c r="AF75" s="3"/>
      <c r="AG75" s="3"/>
      <c r="AH75" s="3"/>
      <c r="AI75" s="3"/>
      <c r="AJ75" s="3"/>
      <c r="AK75" s="3"/>
      <c r="AL75" s="3"/>
      <c r="AM75" s="3"/>
      <c r="AN75" s="3"/>
      <c r="AO75" s="3"/>
      <c r="AP75" s="3"/>
      <c r="AQ75" s="3"/>
      <c r="AR75" s="3"/>
      <c r="AS75" s="3"/>
      <c r="AT75" s="3"/>
    </row>
    <row r="76" spans="2:46" ht="20.25" customHeight="1" x14ac:dyDescent="0.2">
      <c r="B76" s="609" t="s">
        <v>472</v>
      </c>
      <c r="C76" s="1"/>
      <c r="F76" s="1"/>
      <c r="G76" s="1"/>
      <c r="H76" s="1"/>
      <c r="I76" s="1"/>
      <c r="J76" s="1"/>
      <c r="K76" s="1"/>
      <c r="L76" s="1"/>
      <c r="M76" s="38"/>
      <c r="N76" s="1"/>
      <c r="O76" s="650"/>
      <c r="X76" s="3"/>
      <c r="Y76" s="3"/>
      <c r="Z76" s="3"/>
      <c r="AA76" s="3"/>
      <c r="AB76" s="3"/>
      <c r="AC76" s="3"/>
      <c r="AD76" s="3"/>
      <c r="AE76" s="3"/>
      <c r="AF76" s="3"/>
      <c r="AG76" s="3"/>
      <c r="AH76" s="3"/>
      <c r="AI76" s="3"/>
      <c r="AJ76" s="3"/>
      <c r="AK76" s="3"/>
      <c r="AL76" s="3"/>
      <c r="AM76" s="3"/>
      <c r="AN76" s="3"/>
      <c r="AO76" s="3"/>
      <c r="AP76" s="3"/>
      <c r="AQ76" s="3"/>
      <c r="AR76" s="3"/>
      <c r="AS76" s="3"/>
      <c r="AT76" s="3"/>
    </row>
    <row r="77" spans="2:46" ht="20.25" customHeight="1" x14ac:dyDescent="0.2">
      <c r="B77" s="609" t="s">
        <v>473</v>
      </c>
      <c r="F77" s="1"/>
      <c r="G77" s="1"/>
      <c r="H77" s="1"/>
      <c r="I77" s="1"/>
      <c r="J77" s="1"/>
      <c r="K77" s="1"/>
      <c r="L77" s="1"/>
      <c r="M77" s="38"/>
      <c r="N77" s="1"/>
      <c r="O77" s="650"/>
      <c r="X77" s="3"/>
      <c r="Y77" s="3"/>
      <c r="Z77" s="3"/>
      <c r="AA77" s="3"/>
      <c r="AB77" s="3"/>
      <c r="AC77" s="3"/>
      <c r="AD77" s="3"/>
      <c r="AE77" s="3"/>
      <c r="AF77" s="3"/>
      <c r="AG77" s="3"/>
      <c r="AH77" s="3"/>
      <c r="AI77" s="3"/>
      <c r="AJ77" s="3"/>
      <c r="AK77" s="3"/>
      <c r="AL77" s="3"/>
      <c r="AM77" s="3"/>
      <c r="AN77" s="3"/>
      <c r="AO77" s="3"/>
      <c r="AP77" s="3"/>
      <c r="AQ77" s="3"/>
      <c r="AR77" s="3"/>
      <c r="AS77" s="3"/>
      <c r="AT77" s="3"/>
    </row>
    <row r="78" spans="2:46" ht="20.25" customHeight="1" x14ac:dyDescent="0.2">
      <c r="B78" s="668" t="s">
        <v>474</v>
      </c>
      <c r="C78" s="595"/>
      <c r="E78" s="38"/>
      <c r="F78" s="38"/>
      <c r="G78" s="38"/>
      <c r="H78" s="38"/>
      <c r="I78" s="38"/>
      <c r="J78" s="38"/>
      <c r="K78" s="38"/>
      <c r="L78" s="38"/>
      <c r="M78" s="38"/>
      <c r="N78" s="1"/>
      <c r="O78" s="650"/>
      <c r="X78" s="3"/>
      <c r="Y78" s="3"/>
      <c r="Z78" s="3"/>
      <c r="AA78" s="3"/>
      <c r="AB78" s="3"/>
      <c r="AC78" s="3"/>
      <c r="AD78" s="3"/>
      <c r="AE78" s="3"/>
      <c r="AF78" s="3"/>
      <c r="AG78" s="3"/>
      <c r="AH78" s="3"/>
      <c r="AI78" s="3"/>
      <c r="AJ78" s="3"/>
      <c r="AK78" s="3"/>
      <c r="AL78" s="3"/>
      <c r="AM78" s="3"/>
      <c r="AN78" s="3"/>
      <c r="AO78" s="3"/>
      <c r="AP78" s="3"/>
      <c r="AQ78" s="3"/>
      <c r="AR78" s="3"/>
      <c r="AS78" s="3"/>
      <c r="AT78" s="3"/>
    </row>
    <row r="79" spans="2:46" ht="20.25" customHeight="1" x14ac:dyDescent="0.2">
      <c r="B79" s="609" t="str">
        <f>"- Calculates the notional general income for the current year (Year 0 in the application, "&amp;'WS0 - Input data'!$J$58&amp;"). "</f>
        <v xml:space="preserve">- Calculates the notional general income for the current year (Year 0 in the application, 2023-24). </v>
      </c>
      <c r="C79" s="596"/>
      <c r="D79" s="1"/>
      <c r="E79" s="1"/>
      <c r="F79" s="1"/>
      <c r="G79" s="1"/>
      <c r="H79" s="1"/>
      <c r="I79" s="1"/>
      <c r="J79" s="1"/>
      <c r="K79" s="1"/>
      <c r="L79" s="1"/>
      <c r="M79" s="1"/>
      <c r="N79" s="1"/>
      <c r="O79" s="650"/>
      <c r="X79" s="3"/>
      <c r="Y79" s="3"/>
      <c r="Z79" s="3"/>
      <c r="AA79" s="3"/>
      <c r="AB79" s="3"/>
      <c r="AC79" s="3"/>
      <c r="AD79" s="3"/>
      <c r="AE79" s="3"/>
      <c r="AF79" s="3"/>
      <c r="AG79" s="3"/>
      <c r="AH79" s="3"/>
      <c r="AI79" s="3"/>
      <c r="AJ79" s="3"/>
      <c r="AK79" s="3"/>
      <c r="AL79" s="3"/>
      <c r="AM79" s="3"/>
      <c r="AN79" s="3"/>
      <c r="AO79" s="3"/>
      <c r="AP79" s="3"/>
      <c r="AQ79" s="3"/>
      <c r="AR79" s="3"/>
      <c r="AS79" s="3"/>
      <c r="AT79" s="3"/>
    </row>
    <row r="80" spans="2:46" ht="20.25" customHeight="1" x14ac:dyDescent="0.2">
      <c r="B80" s="668" t="s">
        <v>475</v>
      </c>
      <c r="C80" s="595"/>
      <c r="E80" s="38"/>
      <c r="F80" s="38"/>
      <c r="G80" s="38"/>
      <c r="H80" s="38"/>
      <c r="I80" s="38"/>
      <c r="J80" s="38"/>
      <c r="K80" s="38"/>
      <c r="L80" s="38"/>
      <c r="M80" s="38"/>
      <c r="N80" s="1"/>
      <c r="O80" s="650"/>
      <c r="X80" s="3"/>
      <c r="Y80" s="3"/>
      <c r="Z80" s="3"/>
      <c r="AA80" s="3"/>
      <c r="AB80" s="3"/>
      <c r="AC80" s="3"/>
      <c r="AD80" s="3"/>
      <c r="AE80" s="3"/>
      <c r="AF80" s="3"/>
      <c r="AG80" s="3"/>
      <c r="AH80" s="3"/>
      <c r="AI80" s="3"/>
      <c r="AJ80" s="3"/>
      <c r="AK80" s="3"/>
      <c r="AL80" s="3"/>
      <c r="AM80" s="3"/>
      <c r="AN80" s="3"/>
      <c r="AO80" s="3"/>
      <c r="AP80" s="3"/>
      <c r="AQ80" s="3"/>
      <c r="AR80" s="3"/>
      <c r="AS80" s="3"/>
      <c r="AT80" s="3"/>
    </row>
    <row r="81" spans="2:46" ht="20.25" customHeight="1" x14ac:dyDescent="0.2">
      <c r="B81" s="607" t="str">
        <f>"- Calculates the council's proposed notional general income for next year (Year 1 in the application, "&amp;'WS0 - Input data'!$K$58&amp;")."</f>
        <v>- Calculates the council's proposed notional general income for next year (Year 1 in the application, 2024-25).</v>
      </c>
      <c r="C81" s="596"/>
      <c r="D81" s="38"/>
      <c r="F81" s="1"/>
      <c r="G81" s="1"/>
      <c r="H81" s="1"/>
      <c r="I81" s="1"/>
      <c r="J81" s="1"/>
      <c r="K81" s="1"/>
      <c r="L81" s="1"/>
      <c r="M81" s="1"/>
      <c r="N81" s="1"/>
      <c r="O81" s="650"/>
      <c r="X81" s="3"/>
      <c r="Y81" s="3"/>
      <c r="Z81" s="3"/>
      <c r="AA81" s="3"/>
      <c r="AB81" s="3"/>
      <c r="AC81" s="3"/>
      <c r="AD81" s="3"/>
      <c r="AE81" s="3"/>
      <c r="AF81" s="3"/>
      <c r="AG81" s="3"/>
      <c r="AH81" s="3"/>
      <c r="AI81" s="3"/>
      <c r="AJ81" s="3"/>
      <c r="AK81" s="3"/>
      <c r="AL81" s="3"/>
      <c r="AM81" s="3"/>
      <c r="AN81" s="3"/>
      <c r="AO81" s="3"/>
      <c r="AP81" s="3"/>
      <c r="AQ81" s="3"/>
      <c r="AR81" s="3"/>
      <c r="AS81" s="3"/>
      <c r="AT81" s="3"/>
    </row>
    <row r="82" spans="2:46" ht="20.25" customHeight="1" x14ac:dyDescent="0.2">
      <c r="B82" s="668" t="s">
        <v>476</v>
      </c>
      <c r="C82" s="596"/>
      <c r="D82" s="38"/>
      <c r="F82" s="1"/>
      <c r="G82" s="1"/>
      <c r="H82" s="1"/>
      <c r="I82" s="1"/>
      <c r="J82" s="1"/>
      <c r="K82" s="1"/>
      <c r="L82" s="1"/>
      <c r="M82" s="1"/>
      <c r="N82" s="1"/>
      <c r="O82" s="650"/>
      <c r="X82" s="3"/>
      <c r="Y82" s="3"/>
      <c r="Z82" s="3"/>
      <c r="AA82" s="3"/>
      <c r="AB82" s="3"/>
      <c r="AC82" s="3"/>
      <c r="AD82" s="3"/>
      <c r="AE82" s="3"/>
      <c r="AF82" s="3"/>
      <c r="AG82" s="3"/>
      <c r="AH82" s="3"/>
      <c r="AI82" s="3"/>
      <c r="AJ82" s="3"/>
      <c r="AK82" s="3"/>
      <c r="AL82" s="3"/>
      <c r="AM82" s="3"/>
      <c r="AN82" s="3"/>
      <c r="AO82" s="3"/>
      <c r="AP82" s="3"/>
      <c r="AQ82" s="3"/>
      <c r="AR82" s="3"/>
      <c r="AS82" s="3"/>
      <c r="AT82" s="3"/>
    </row>
    <row r="83" spans="2:46" ht="20.25" customHeight="1" x14ac:dyDescent="0.2">
      <c r="B83" s="607" t="str">
        <f>"- Calculates the council's proposed notional general income for Years 2 to 7 ("&amp;'WS0 - Input data'!L58&amp;" to "&amp;'WS0 - Input data'!Q58&amp;")."</f>
        <v>- Calculates the council's proposed notional general income for Years 2 to 7 (2025-26 to 2030-31).</v>
      </c>
      <c r="C83" s="596"/>
      <c r="D83" s="38"/>
      <c r="F83" s="1"/>
      <c r="G83" s="1"/>
      <c r="H83" s="1"/>
      <c r="I83" s="1"/>
      <c r="J83" s="1"/>
      <c r="K83" s="1"/>
      <c r="L83" s="1"/>
      <c r="M83" s="1"/>
      <c r="N83" s="1"/>
      <c r="O83" s="650"/>
      <c r="X83" s="3"/>
      <c r="Y83" s="3"/>
      <c r="Z83" s="3"/>
      <c r="AA83" s="3"/>
      <c r="AB83" s="3"/>
      <c r="AC83" s="3"/>
      <c r="AD83" s="3"/>
      <c r="AE83" s="3"/>
      <c r="AF83" s="3"/>
      <c r="AG83" s="3"/>
      <c r="AH83" s="3"/>
      <c r="AI83" s="3"/>
      <c r="AJ83" s="3"/>
      <c r="AK83" s="3"/>
      <c r="AL83" s="3"/>
      <c r="AM83" s="3"/>
      <c r="AN83" s="3"/>
      <c r="AO83" s="3"/>
      <c r="AP83" s="3"/>
      <c r="AQ83" s="3"/>
      <c r="AR83" s="3"/>
      <c r="AS83" s="3"/>
      <c r="AT83" s="3"/>
    </row>
    <row r="84" spans="2:46" ht="20.25" customHeight="1" x14ac:dyDescent="0.2">
      <c r="B84" s="668" t="s">
        <v>477</v>
      </c>
      <c r="C84" s="595"/>
      <c r="E84" s="38"/>
      <c r="F84" s="38"/>
      <c r="G84" s="38"/>
      <c r="H84" s="38"/>
      <c r="I84" s="38"/>
      <c r="J84" s="38"/>
      <c r="K84" s="38"/>
      <c r="L84" s="38"/>
      <c r="M84" s="38"/>
      <c r="N84" s="38"/>
      <c r="O84" s="650"/>
      <c r="X84" s="55"/>
      <c r="Y84" s="55"/>
      <c r="Z84" s="55"/>
      <c r="AA84" s="55"/>
      <c r="AB84" s="55"/>
      <c r="AC84" s="55"/>
      <c r="AD84" s="55"/>
      <c r="AE84" s="55"/>
      <c r="AF84" s="55"/>
      <c r="AG84" s="55"/>
      <c r="AH84" s="55"/>
      <c r="AI84" s="55"/>
      <c r="AJ84" s="55"/>
      <c r="AK84" s="55"/>
      <c r="AL84" s="55"/>
      <c r="AM84" s="55"/>
      <c r="AN84" s="55"/>
      <c r="AO84" s="55"/>
      <c r="AP84" s="55"/>
      <c r="AQ84" s="55"/>
      <c r="AR84" s="55"/>
      <c r="AS84" s="55"/>
      <c r="AT84" s="55"/>
    </row>
    <row r="85" spans="2:46" ht="20.25" customHeight="1" x14ac:dyDescent="0.2">
      <c r="B85" s="609" t="s">
        <v>478</v>
      </c>
      <c r="D85" s="38"/>
      <c r="F85" s="1"/>
      <c r="G85" s="1"/>
      <c r="H85" s="1"/>
      <c r="I85" s="1"/>
      <c r="J85" s="1"/>
      <c r="K85" s="1"/>
      <c r="L85" s="1"/>
      <c r="M85" s="38"/>
      <c r="N85" s="38"/>
      <c r="O85" s="650"/>
      <c r="X85" s="49"/>
      <c r="Y85" s="49"/>
      <c r="Z85" s="49"/>
      <c r="AA85" s="49"/>
      <c r="AB85" s="49"/>
      <c r="AC85" s="49"/>
      <c r="AD85" s="49"/>
      <c r="AE85" s="49"/>
      <c r="AF85" s="49"/>
      <c r="AG85" s="49"/>
      <c r="AH85" s="49"/>
      <c r="AI85" s="49"/>
      <c r="AJ85" s="49"/>
      <c r="AK85" s="49"/>
      <c r="AL85" s="49"/>
      <c r="AM85" s="49"/>
      <c r="AN85" s="49"/>
      <c r="AO85" s="49"/>
      <c r="AP85" s="49"/>
      <c r="AQ85" s="49"/>
      <c r="AR85" s="49"/>
      <c r="AS85" s="49"/>
      <c r="AT85" s="49"/>
    </row>
    <row r="86" spans="2:46" ht="20.25" customHeight="1" x14ac:dyDescent="0.2">
      <c r="B86" s="607" t="s">
        <v>479</v>
      </c>
      <c r="C86" s="596"/>
      <c r="D86" s="38"/>
      <c r="F86" s="1"/>
      <c r="G86" s="1"/>
      <c r="H86" s="1"/>
      <c r="I86" s="1"/>
      <c r="J86" s="1"/>
      <c r="K86" s="1"/>
      <c r="L86" s="1"/>
      <c r="M86" s="38"/>
      <c r="N86" s="38"/>
      <c r="O86" s="650"/>
      <c r="X86" s="49"/>
      <c r="Y86" s="49"/>
      <c r="Z86" s="49"/>
      <c r="AA86" s="49"/>
      <c r="AB86" s="49"/>
      <c r="AC86" s="49"/>
      <c r="AD86" s="49"/>
      <c r="AE86" s="49"/>
      <c r="AF86" s="49"/>
      <c r="AG86" s="49"/>
      <c r="AH86" s="49"/>
      <c r="AI86" s="49"/>
      <c r="AJ86" s="49"/>
      <c r="AK86" s="49"/>
      <c r="AL86" s="49"/>
      <c r="AM86" s="49"/>
      <c r="AN86" s="49"/>
      <c r="AO86" s="49"/>
      <c r="AP86" s="49"/>
      <c r="AQ86" s="49"/>
      <c r="AR86" s="49"/>
      <c r="AS86" s="49"/>
      <c r="AT86" s="49"/>
    </row>
    <row r="87" spans="2:46" ht="20.25" customHeight="1" x14ac:dyDescent="0.2">
      <c r="B87" s="668" t="s">
        <v>480</v>
      </c>
      <c r="C87" s="595"/>
      <c r="E87" s="38"/>
      <c r="F87" s="38"/>
      <c r="G87" s="38"/>
      <c r="H87" s="38"/>
      <c r="I87" s="38"/>
      <c r="J87" s="38"/>
      <c r="K87" s="38"/>
      <c r="L87" s="38"/>
      <c r="M87" s="38"/>
      <c r="N87" s="38"/>
      <c r="O87" s="669"/>
      <c r="X87" s="55"/>
      <c r="Y87" s="55"/>
      <c r="Z87" s="55"/>
      <c r="AA87" s="55"/>
      <c r="AB87" s="55"/>
      <c r="AC87" s="55"/>
      <c r="AD87" s="55"/>
      <c r="AE87" s="55"/>
      <c r="AF87" s="55"/>
      <c r="AG87" s="55"/>
      <c r="AH87" s="55"/>
      <c r="AI87" s="55"/>
      <c r="AJ87" s="55"/>
      <c r="AK87" s="55"/>
      <c r="AL87" s="55"/>
      <c r="AM87" s="55"/>
      <c r="AN87" s="55"/>
      <c r="AO87" s="55"/>
      <c r="AP87" s="55"/>
      <c r="AQ87" s="55"/>
      <c r="AR87" s="55"/>
      <c r="AS87" s="55"/>
      <c r="AT87" s="55"/>
    </row>
    <row r="88" spans="2:46" ht="20.25" customHeight="1" x14ac:dyDescent="0.2">
      <c r="B88" s="609" t="s">
        <v>481</v>
      </c>
      <c r="C88" s="596"/>
      <c r="D88" s="1"/>
      <c r="E88" s="1"/>
      <c r="F88" s="1"/>
      <c r="G88" s="1"/>
      <c r="H88" s="1"/>
      <c r="I88" s="1"/>
      <c r="J88" s="1"/>
      <c r="K88" s="1"/>
      <c r="L88" s="1"/>
      <c r="M88" s="1"/>
      <c r="N88" s="1"/>
      <c r="O88" s="568"/>
      <c r="X88" s="49"/>
      <c r="Y88" s="49"/>
      <c r="Z88" s="49"/>
      <c r="AA88" s="49"/>
      <c r="AB88" s="49"/>
      <c r="AC88" s="49"/>
      <c r="AD88" s="49"/>
      <c r="AE88" s="49"/>
      <c r="AF88" s="49"/>
      <c r="AG88" s="49"/>
      <c r="AH88" s="49"/>
      <c r="AI88" s="49"/>
      <c r="AJ88" s="49"/>
      <c r="AK88" s="49"/>
      <c r="AL88" s="49"/>
      <c r="AM88" s="49"/>
      <c r="AN88" s="49"/>
      <c r="AO88" s="49"/>
      <c r="AP88" s="49"/>
      <c r="AQ88" s="49"/>
      <c r="AR88" s="49"/>
      <c r="AS88" s="49"/>
      <c r="AT88" s="49"/>
    </row>
    <row r="89" spans="2:46" ht="20.25" customHeight="1" x14ac:dyDescent="0.2">
      <c r="B89" s="670" t="s">
        <v>482</v>
      </c>
      <c r="C89" s="596"/>
      <c r="D89" s="1"/>
      <c r="F89" s="1"/>
      <c r="G89" s="1"/>
      <c r="H89" s="1"/>
      <c r="I89" s="1"/>
      <c r="J89" s="1"/>
      <c r="K89" s="1"/>
      <c r="L89" s="1"/>
      <c r="M89" s="1"/>
      <c r="N89" s="1"/>
      <c r="O89" s="568"/>
      <c r="P89" s="84"/>
      <c r="Q89" s="84"/>
      <c r="R89" s="84"/>
      <c r="S89" s="84"/>
      <c r="T89" s="84"/>
      <c r="U89" s="3"/>
      <c r="V89" s="3"/>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row>
    <row r="90" spans="2:46" ht="20.25" customHeight="1" x14ac:dyDescent="0.2">
      <c r="B90" s="668" t="s">
        <v>483</v>
      </c>
      <c r="C90" s="595"/>
      <c r="E90" s="38"/>
      <c r="F90" s="38"/>
      <c r="G90" s="38"/>
      <c r="H90" s="38"/>
      <c r="I90" s="38"/>
      <c r="J90" s="38"/>
      <c r="K90" s="38"/>
      <c r="L90" s="38"/>
      <c r="M90" s="38"/>
      <c r="N90" s="1"/>
      <c r="O90" s="568"/>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row>
    <row r="91" spans="2:46" ht="20.25" customHeight="1" x14ac:dyDescent="0.2">
      <c r="B91" s="609" t="s">
        <v>484</v>
      </c>
      <c r="C91" s="597"/>
      <c r="D91" s="1"/>
      <c r="F91" s="1"/>
      <c r="G91" s="1"/>
      <c r="H91" s="1"/>
      <c r="I91" s="1"/>
      <c r="J91" s="1"/>
      <c r="K91" s="1"/>
      <c r="L91" s="1"/>
      <c r="M91" s="1"/>
      <c r="N91" s="1"/>
      <c r="O91" s="568"/>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row>
    <row r="92" spans="2:46" ht="20.25" customHeight="1" x14ac:dyDescent="0.2">
      <c r="B92" s="668" t="s">
        <v>485</v>
      </c>
      <c r="C92" s="598"/>
      <c r="E92" s="38"/>
      <c r="F92" s="38"/>
      <c r="G92" s="38"/>
      <c r="H92" s="38"/>
      <c r="I92" s="38"/>
      <c r="J92" s="38"/>
      <c r="K92" s="38"/>
      <c r="L92" s="38"/>
      <c r="M92" s="38"/>
      <c r="N92" s="1"/>
      <c r="O92" s="568"/>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row>
    <row r="93" spans="2:46" ht="20.25" customHeight="1" x14ac:dyDescent="0.2">
      <c r="B93" s="609" t="s">
        <v>486</v>
      </c>
      <c r="C93" s="598"/>
      <c r="E93" s="38"/>
      <c r="F93" s="38"/>
      <c r="G93" s="38"/>
      <c r="H93" s="38"/>
      <c r="I93" s="38"/>
      <c r="J93" s="38"/>
      <c r="K93" s="38"/>
      <c r="L93" s="38"/>
      <c r="M93" s="38"/>
      <c r="N93" s="1"/>
      <c r="O93" s="568"/>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row>
    <row r="94" spans="2:46" ht="20.25" customHeight="1" x14ac:dyDescent="0.2">
      <c r="B94" s="668" t="s">
        <v>487</v>
      </c>
      <c r="C94" s="598"/>
      <c r="E94" s="38"/>
      <c r="F94" s="38"/>
      <c r="G94" s="38"/>
      <c r="H94" s="38"/>
      <c r="I94" s="38"/>
      <c r="J94" s="38"/>
      <c r="K94" s="38"/>
      <c r="L94" s="38"/>
      <c r="M94" s="38"/>
      <c r="N94" s="1"/>
      <c r="O94" s="568"/>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row>
    <row r="95" spans="2:46" ht="20.25" customHeight="1" x14ac:dyDescent="0.2">
      <c r="B95" s="609" t="s">
        <v>488</v>
      </c>
      <c r="C95" s="1"/>
      <c r="D95" s="38"/>
      <c r="F95" s="38"/>
      <c r="G95" s="38"/>
      <c r="H95" s="38"/>
      <c r="I95" s="38"/>
      <c r="J95" s="38"/>
      <c r="K95" s="38"/>
      <c r="L95" s="38"/>
      <c r="M95" s="38"/>
      <c r="N95" s="1"/>
      <c r="O95" s="568"/>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row r="96" spans="2:46" ht="20.25" customHeight="1" x14ac:dyDescent="0.2">
      <c r="B96" s="668" t="s">
        <v>489</v>
      </c>
      <c r="C96" s="598"/>
      <c r="E96" s="38"/>
      <c r="F96" s="38"/>
      <c r="G96" s="38"/>
      <c r="H96" s="38"/>
      <c r="I96" s="38"/>
      <c r="J96" s="38"/>
      <c r="K96" s="38"/>
      <c r="L96" s="38"/>
      <c r="M96" s="38"/>
      <c r="N96" s="1"/>
      <c r="O96" s="568"/>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row>
    <row r="97" spans="2:46" ht="20.25" customHeight="1" x14ac:dyDescent="0.2">
      <c r="B97" s="609" t="s">
        <v>490</v>
      </c>
      <c r="C97" s="598"/>
      <c r="D97" s="38"/>
      <c r="F97" s="38"/>
      <c r="G97" s="38"/>
      <c r="H97" s="38"/>
      <c r="I97" s="38"/>
      <c r="J97" s="38"/>
      <c r="K97" s="38"/>
      <c r="L97" s="38"/>
      <c r="M97" s="38"/>
      <c r="N97" s="1"/>
      <c r="O97" s="568"/>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row>
    <row r="98" spans="2:46" ht="20.25" customHeight="1" x14ac:dyDescent="0.2">
      <c r="B98" s="668" t="s">
        <v>491</v>
      </c>
      <c r="C98" s="598"/>
      <c r="E98" s="1"/>
      <c r="F98" s="38"/>
      <c r="G98" s="38"/>
      <c r="H98" s="38"/>
      <c r="I98" s="38"/>
      <c r="J98" s="38"/>
      <c r="K98" s="38"/>
      <c r="L98" s="38"/>
      <c r="M98" s="38"/>
      <c r="N98" s="1"/>
      <c r="O98" s="568"/>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row>
    <row r="99" spans="2:46" ht="20.25" customHeight="1" x14ac:dyDescent="0.2">
      <c r="B99" s="609" t="s">
        <v>492</v>
      </c>
      <c r="C99" s="598"/>
      <c r="D99" s="38"/>
      <c r="F99" s="38"/>
      <c r="G99" s="38"/>
      <c r="H99" s="38"/>
      <c r="I99" s="38"/>
      <c r="J99" s="38"/>
      <c r="K99" s="38"/>
      <c r="L99" s="38"/>
      <c r="M99" s="38"/>
      <c r="N99" s="1"/>
      <c r="O99" s="568"/>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row>
    <row r="100" spans="2:46" ht="20.25" customHeight="1" x14ac:dyDescent="0.2">
      <c r="B100" s="609" t="s">
        <v>493</v>
      </c>
      <c r="C100" s="598"/>
      <c r="D100" s="38"/>
      <c r="F100" s="38"/>
      <c r="G100" s="38"/>
      <c r="H100" s="38"/>
      <c r="I100" s="38"/>
      <c r="J100" s="38"/>
      <c r="K100" s="38"/>
      <c r="L100" s="38"/>
      <c r="M100" s="38"/>
      <c r="N100" s="1"/>
      <c r="O100" s="568"/>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row>
    <row r="101" spans="2:46" ht="20.25" customHeight="1" x14ac:dyDescent="0.2">
      <c r="B101" s="609" t="s">
        <v>494</v>
      </c>
      <c r="C101" s="598"/>
      <c r="D101" s="38"/>
      <c r="E101" s="1"/>
      <c r="F101" s="38"/>
      <c r="G101" s="38"/>
      <c r="H101" s="38"/>
      <c r="I101" s="38"/>
      <c r="J101" s="38"/>
      <c r="K101" s="38"/>
      <c r="L101" s="38"/>
      <c r="M101" s="38"/>
      <c r="N101" s="1"/>
      <c r="O101" s="568"/>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row>
    <row r="102" spans="2:46" ht="20.25" customHeight="1" x14ac:dyDescent="0.2">
      <c r="B102" s="607" t="s">
        <v>495</v>
      </c>
      <c r="C102" s="598"/>
      <c r="D102" s="38"/>
      <c r="F102" s="38"/>
      <c r="G102" s="38"/>
      <c r="H102" s="38"/>
      <c r="I102" s="38"/>
      <c r="J102" s="38"/>
      <c r="K102" s="38"/>
      <c r="L102" s="38"/>
      <c r="M102" s="38"/>
      <c r="N102" s="1"/>
      <c r="O102" s="568"/>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2:46" ht="13.9" customHeight="1" x14ac:dyDescent="0.2">
      <c r="B103" s="600"/>
      <c r="C103" s="671"/>
      <c r="D103" s="606"/>
      <c r="E103" s="580"/>
      <c r="F103" s="606"/>
      <c r="G103" s="606"/>
      <c r="H103" s="606"/>
      <c r="I103" s="606"/>
      <c r="J103" s="606"/>
      <c r="K103" s="606"/>
      <c r="L103" s="606"/>
      <c r="M103" s="606"/>
      <c r="N103" s="580"/>
      <c r="O103" s="578"/>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row>
    <row r="104" spans="2:46" ht="13.9" customHeight="1" x14ac:dyDescent="0.2">
      <c r="B104" s="1"/>
      <c r="C104" s="598"/>
      <c r="D104" s="38"/>
      <c r="F104" s="38"/>
      <c r="G104" s="38"/>
      <c r="H104" s="38"/>
      <c r="I104" s="38"/>
      <c r="J104" s="38"/>
      <c r="K104" s="38"/>
      <c r="L104" s="38"/>
      <c r="M104" s="38"/>
      <c r="N104" s="1"/>
      <c r="O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row>
    <row r="105" spans="2:46" x14ac:dyDescent="0.2">
      <c r="B105" s="1"/>
      <c r="C105" s="1"/>
      <c r="D105" s="1"/>
      <c r="E105" s="1"/>
      <c r="F105" s="1"/>
      <c r="G105" s="1"/>
      <c r="H105" s="1"/>
      <c r="I105" s="1"/>
      <c r="J105" s="1"/>
      <c r="K105" s="1"/>
      <c r="L105" s="1"/>
      <c r="M105" s="1"/>
      <c r="N105" s="1"/>
      <c r="O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row>
    <row r="106" spans="2:46" ht="14.25" customHeight="1" x14ac:dyDescent="0.2">
      <c r="B106" s="1"/>
      <c r="C106" s="153"/>
      <c r="D106" s="38"/>
      <c r="E106" s="1"/>
      <c r="F106" s="1"/>
      <c r="G106" s="1"/>
      <c r="H106" s="1"/>
      <c r="I106" s="1"/>
      <c r="J106" s="1"/>
      <c r="K106" s="1"/>
      <c r="L106" s="1"/>
      <c r="M106" s="1"/>
      <c r="N106" s="1"/>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row>
    <row r="107" spans="2:46" ht="14.25" customHeight="1" x14ac:dyDescent="0.2">
      <c r="B107" s="1"/>
      <c r="C107" s="153"/>
      <c r="D107" s="38"/>
      <c r="E107" s="1"/>
      <c r="F107" s="1"/>
      <c r="G107" s="1"/>
      <c r="H107" s="1"/>
      <c r="I107" s="1"/>
      <c r="J107" s="1"/>
      <c r="K107" s="1"/>
      <c r="L107" s="1"/>
      <c r="M107" s="1"/>
      <c r="N107" s="1"/>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row>
  </sheetData>
  <sheetProtection algorithmName="SHA-512" hashValue="8qJoXaeGHdj3xvR3YuEVuCMx9RErVWgKSUKatWzKnh7pUU2VZ3Mys8VcpjD2UlOETW4KUPx0D0Lhl+z2R3hu1w==" saltValue="q/cyczpxo6j64Hcq4FsOCw==" spinCount="100000" sheet="1" formatColumns="0" formatRows="0"/>
  <phoneticPr fontId="12" type="noConversion"/>
  <hyperlinks>
    <hyperlink ref="D31" r:id="rId1" display="tony_camenzuli@ipart.nsw.gov.au"/>
  </hyperlinks>
  <printOptions horizontalCentered="1"/>
  <pageMargins left="0.23622047244094491" right="0.35433070866141736" top="0.19685039370078741" bottom="0.15748031496062992" header="0.15748031496062992" footer="0.19685039370078741"/>
  <pageSetup paperSize="9" scale="77" fitToHeight="0" orientation="portrait" r:id="rId2"/>
  <headerFooter alignWithMargins="0">
    <oddHeader>&amp;C&amp;"Calibri"&amp;10&amp;KFF0000 UNOFFICIAL&amp;1#_x000D_</oddHeader>
    <oddFooter>&amp;C_x000D_&amp;1#&amp;"Calibri"&amp;10&amp;KFF0000 UNOFFICIAL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41"/>
  <sheetViews>
    <sheetView showGridLines="0" tabSelected="1" zoomScale="80" zoomScaleNormal="80" workbookViewId="0">
      <selection activeCell="X26" sqref="X26"/>
    </sheetView>
  </sheetViews>
  <sheetFormatPr defaultRowHeight="12" x14ac:dyDescent="0.2"/>
  <cols>
    <col min="1" max="1" width="2.7109375" style="840" customWidth="1"/>
    <col min="2" max="2" width="28.85546875" customWidth="1"/>
    <col min="3" max="3" width="15.85546875" customWidth="1"/>
    <col min="4" max="4" width="28.42578125" customWidth="1"/>
    <col min="5" max="7" width="2.7109375" customWidth="1"/>
    <col min="8" max="8" width="23.140625" customWidth="1"/>
    <col min="9" max="9" width="40.42578125" customWidth="1"/>
    <col min="14" max="14" width="17.85546875" customWidth="1"/>
  </cols>
  <sheetData>
    <row r="1" spans="1:36" s="3" customFormat="1" ht="12.75" thickBot="1" x14ac:dyDescent="0.25">
      <c r="A1" s="841">
        <v>1</v>
      </c>
      <c r="AF1" s="424"/>
      <c r="AG1" s="424"/>
      <c r="AH1" s="424"/>
      <c r="AI1" s="424"/>
      <c r="AJ1" s="424"/>
    </row>
    <row r="2" spans="1:36" s="3" customFormat="1" ht="15.75" x14ac:dyDescent="0.25">
      <c r="A2" s="841"/>
      <c r="B2" s="1537" t="str">
        <f>"APPLICATION FOR "&amp;UPPER(D33)&amp;" - "&amp;UPPER(IF(ISBLANK(D23),D24,D23))</f>
        <v>APPLICATION FOR SPECIAL VARIATION - WILLOUGHBY CITY COUNCIL</v>
      </c>
      <c r="C2" s="1538"/>
      <c r="D2" s="1538"/>
      <c r="E2" s="1539"/>
      <c r="F2" s="1539"/>
      <c r="G2" s="1539"/>
      <c r="H2" s="1538"/>
      <c r="I2" s="1539"/>
      <c r="J2" s="1538"/>
      <c r="K2" s="1538"/>
      <c r="L2" s="1539"/>
      <c r="M2" s="1538"/>
      <c r="N2" s="1540"/>
      <c r="O2" s="53"/>
      <c r="R2" s="53"/>
      <c r="S2" s="53"/>
      <c r="T2" s="49"/>
      <c r="U2" s="53"/>
      <c r="AF2" s="424"/>
      <c r="AG2" s="424"/>
      <c r="AH2" s="424"/>
      <c r="AI2" s="424"/>
      <c r="AJ2" s="424"/>
    </row>
    <row r="3" spans="1:36" s="3" customFormat="1" ht="12" customHeight="1" x14ac:dyDescent="0.25">
      <c r="A3" s="841"/>
      <c r="B3" s="1541"/>
      <c r="C3" s="1542"/>
      <c r="D3" s="1542"/>
      <c r="E3" s="1543"/>
      <c r="F3" s="1543"/>
      <c r="G3" s="1543"/>
      <c r="H3" s="1542"/>
      <c r="I3" s="1543"/>
      <c r="J3" s="1542"/>
      <c r="K3" s="1542"/>
      <c r="L3" s="1543"/>
      <c r="M3" s="1542"/>
      <c r="N3" s="1544"/>
      <c r="O3" s="53"/>
      <c r="R3" s="53"/>
      <c r="S3" s="53"/>
      <c r="T3" s="49"/>
      <c r="U3" s="53"/>
      <c r="AF3" s="424"/>
      <c r="AG3" s="424"/>
      <c r="AH3" s="424"/>
      <c r="AI3" s="424"/>
      <c r="AJ3" s="424"/>
    </row>
    <row r="4" spans="1:36" s="3" customFormat="1" ht="16.5" thickBot="1" x14ac:dyDescent="0.3">
      <c r="A4" s="841"/>
      <c r="B4" s="1545" t="str">
        <f>"WORKSHEET "&amp;A1&amp;" - CONTACT DETAILS AND PROPOSED APPLICATION "</f>
        <v xml:space="preserve">WORKSHEET 1 - CONTACT DETAILS AND PROPOSED APPLICATION </v>
      </c>
      <c r="C4" s="1546"/>
      <c r="D4" s="1547"/>
      <c r="E4" s="1546"/>
      <c r="F4" s="1546"/>
      <c r="G4" s="1546"/>
      <c r="H4" s="1546"/>
      <c r="I4" s="1546"/>
      <c r="J4" s="1546"/>
      <c r="K4" s="1546"/>
      <c r="L4" s="1546"/>
      <c r="M4" s="1546"/>
      <c r="N4" s="1548"/>
      <c r="AF4" s="424"/>
      <c r="AG4" s="424"/>
      <c r="AH4" s="424"/>
      <c r="AI4" s="424"/>
      <c r="AJ4" s="424"/>
    </row>
    <row r="5" spans="1:36" s="3" customFormat="1" ht="12" customHeight="1" x14ac:dyDescent="0.2">
      <c r="A5" s="841"/>
      <c r="AF5" s="424"/>
      <c r="AG5" s="424"/>
      <c r="AH5" s="424"/>
      <c r="AI5" s="424"/>
      <c r="AJ5" s="424"/>
    </row>
    <row r="6" spans="1:36" s="3" customFormat="1" ht="12" customHeight="1" x14ac:dyDescent="0.2">
      <c r="A6" s="841"/>
      <c r="I6" s="1495"/>
      <c r="J6" s="1495"/>
      <c r="K6" s="1495"/>
      <c r="L6" s="1495"/>
      <c r="M6" s="1495"/>
      <c r="N6" s="1495"/>
    </row>
    <row r="7" spans="1:36" s="3" customFormat="1" ht="12.75" x14ac:dyDescent="0.2">
      <c r="A7" s="841"/>
      <c r="B7" s="461" t="s">
        <v>496</v>
      </c>
      <c r="AF7" s="424"/>
      <c r="AG7" s="424"/>
      <c r="AH7" s="424"/>
      <c r="AI7" s="424"/>
      <c r="AJ7" s="424"/>
    </row>
    <row r="8" spans="1:36" s="3" customFormat="1" x14ac:dyDescent="0.2">
      <c r="A8" s="841"/>
      <c r="B8" s="674" t="s">
        <v>497</v>
      </c>
      <c r="C8" s="666"/>
      <c r="D8" s="141"/>
      <c r="E8" s="666"/>
      <c r="F8" s="666"/>
      <c r="G8" s="666"/>
      <c r="H8" s="666"/>
      <c r="I8" s="141"/>
      <c r="J8" s="141"/>
      <c r="K8" s="141"/>
      <c r="L8" s="141"/>
      <c r="M8" s="141"/>
      <c r="N8" s="667"/>
      <c r="AF8" s="424"/>
      <c r="AG8" s="424"/>
      <c r="AH8" s="424"/>
      <c r="AI8" s="424"/>
      <c r="AJ8" s="424"/>
    </row>
    <row r="9" spans="1:36" s="3" customFormat="1" x14ac:dyDescent="0.2">
      <c r="A9" s="841"/>
      <c r="B9" s="299" t="str">
        <f>"&gt; Select the type of application council is submitting at row "&amp;ROW(B33)&amp;"."</f>
        <v>&gt; Select the type of application council is submitting at row 33.</v>
      </c>
      <c r="N9" s="568"/>
      <c r="AF9" s="424"/>
      <c r="AG9" s="424"/>
      <c r="AH9" s="424"/>
      <c r="AI9" s="424"/>
      <c r="AJ9" s="424"/>
    </row>
    <row r="10" spans="1:36" s="3" customFormat="1" ht="14.65" customHeight="1" x14ac:dyDescent="0.2">
      <c r="A10" s="841"/>
      <c r="B10" s="678" t="s">
        <v>498</v>
      </c>
      <c r="N10" s="568"/>
      <c r="AF10" s="424"/>
      <c r="AG10" s="424"/>
      <c r="AH10" s="424"/>
      <c r="AI10" s="424"/>
      <c r="AJ10" s="424"/>
    </row>
    <row r="11" spans="1:36" s="3" customFormat="1" ht="14.65" customHeight="1" x14ac:dyDescent="0.2">
      <c r="A11" s="841"/>
      <c r="B11" s="668" t="s">
        <v>499</v>
      </c>
      <c r="N11" s="568"/>
      <c r="AF11" s="424"/>
      <c r="AG11" s="424"/>
      <c r="AH11" s="424"/>
      <c r="AI11" s="424"/>
      <c r="AJ11" s="424"/>
    </row>
    <row r="12" spans="1:36" s="3" customFormat="1" ht="14.65" customHeight="1" x14ac:dyDescent="0.2">
      <c r="A12" s="841"/>
      <c r="B12" s="581" t="str">
        <f>"Table "&amp;A1&amp;"."&amp;A40&amp;" lists the relevant tables that council must complete, depending on the type of application council is submitting as stated at row "&amp;ROW(D33)&amp;"."</f>
        <v>Table 1.2 lists the relevant tables that council must complete, depending on the type of application council is submitting as stated at row 33.</v>
      </c>
      <c r="N12" s="568"/>
      <c r="AF12" s="424"/>
      <c r="AG12" s="424"/>
      <c r="AH12" s="424"/>
      <c r="AI12" s="424"/>
      <c r="AJ12" s="424"/>
    </row>
    <row r="13" spans="1:36" s="3" customFormat="1" ht="14.65" customHeight="1" x14ac:dyDescent="0.2">
      <c r="A13" s="841"/>
      <c r="B13" s="581" t="s">
        <v>500</v>
      </c>
      <c r="N13" s="568"/>
      <c r="AF13" s="424"/>
      <c r="AG13" s="424"/>
      <c r="AH13" s="424"/>
      <c r="AI13" s="424"/>
      <c r="AJ13" s="424"/>
    </row>
    <row r="14" spans="1:36" s="3" customFormat="1" ht="14.65" customHeight="1" x14ac:dyDescent="0.2">
      <c r="A14" s="841"/>
      <c r="B14" s="607" t="s">
        <v>501</v>
      </c>
      <c r="N14" s="568"/>
      <c r="AF14" s="424"/>
      <c r="AG14" s="424"/>
      <c r="AH14" s="424"/>
      <c r="AI14" s="424"/>
      <c r="AJ14" s="424"/>
    </row>
    <row r="15" spans="1:36" s="3" customFormat="1" ht="14.65" customHeight="1" x14ac:dyDescent="0.2">
      <c r="A15" s="841"/>
      <c r="B15" s="607" t="s">
        <v>502</v>
      </c>
      <c r="N15" s="568"/>
      <c r="AF15" s="424"/>
      <c r="AG15" s="424"/>
      <c r="AH15" s="424"/>
      <c r="AI15" s="424"/>
      <c r="AJ15" s="424"/>
    </row>
    <row r="16" spans="1:36" s="3" customFormat="1" ht="14.65" customHeight="1" x14ac:dyDescent="0.2">
      <c r="A16" s="841"/>
      <c r="B16" s="607" t="s">
        <v>503</v>
      </c>
      <c r="N16" s="568"/>
      <c r="AF16" s="424"/>
      <c r="AG16" s="424"/>
      <c r="AH16" s="424"/>
      <c r="AI16" s="424"/>
      <c r="AJ16" s="424"/>
    </row>
    <row r="17" spans="1:36" s="3" customFormat="1" ht="14.65" customHeight="1" x14ac:dyDescent="0.2">
      <c r="A17" s="841"/>
      <c r="B17" s="607" t="s">
        <v>504</v>
      </c>
      <c r="N17" s="568"/>
      <c r="AF17" s="424"/>
      <c r="AG17" s="424"/>
      <c r="AH17" s="424"/>
      <c r="AI17" s="424"/>
      <c r="AJ17" s="424"/>
    </row>
    <row r="18" spans="1:36" s="3" customFormat="1" ht="14.65" customHeight="1" x14ac:dyDescent="0.2">
      <c r="A18" s="841"/>
      <c r="B18" s="581" t="str">
        <f>" Please see also the colour coding at row "&amp;ROW(Overview!B55)&amp;" of Overview"</f>
        <v xml:space="preserve"> Please see also the colour coding at row 55 of Overview</v>
      </c>
      <c r="N18" s="568"/>
      <c r="AF18" s="424"/>
      <c r="AG18" s="424"/>
      <c r="AH18" s="424"/>
      <c r="AI18" s="424"/>
      <c r="AJ18" s="424"/>
    </row>
    <row r="19" spans="1:36" s="3" customFormat="1" ht="12" customHeight="1" x14ac:dyDescent="0.2">
      <c r="A19" s="841"/>
      <c r="B19" s="344"/>
      <c r="C19" s="140"/>
      <c r="D19" s="140"/>
      <c r="E19" s="140"/>
      <c r="F19" s="140"/>
      <c r="G19" s="140"/>
      <c r="H19" s="140"/>
      <c r="I19" s="140"/>
      <c r="J19" s="140"/>
      <c r="K19" s="140"/>
      <c r="L19" s="140"/>
      <c r="M19" s="140"/>
      <c r="N19" s="578"/>
      <c r="AF19" s="424"/>
      <c r="AG19" s="424"/>
      <c r="AH19" s="424"/>
      <c r="AI19" s="424"/>
      <c r="AJ19" s="424"/>
    </row>
    <row r="20" spans="1:36" s="3" customFormat="1" ht="12" customHeight="1" x14ac:dyDescent="0.2">
      <c r="A20" s="841"/>
      <c r="AF20" s="424"/>
      <c r="AG20" s="424"/>
      <c r="AH20" s="424"/>
      <c r="AI20" s="424"/>
      <c r="AJ20" s="424"/>
    </row>
    <row r="21" spans="1:36" s="3" customFormat="1" ht="12" customHeight="1" x14ac:dyDescent="0.2">
      <c r="A21" s="841"/>
      <c r="AF21" s="424"/>
      <c r="AG21" s="424"/>
      <c r="AH21" s="424"/>
      <c r="AI21" s="424"/>
      <c r="AJ21" s="424"/>
    </row>
    <row r="22" spans="1:36" ht="12" customHeight="1" x14ac:dyDescent="0.2">
      <c r="A22" s="841">
        <v>1</v>
      </c>
      <c r="B22" s="181" t="str">
        <f>"Table "&amp;$A$1&amp;"."&amp;A22&amp;": Council's name, contact and nature of application"</f>
        <v>Table 1.1: Council's name, contact and nature of application</v>
      </c>
      <c r="C22" s="3"/>
      <c r="D22" s="63"/>
      <c r="E22" s="63"/>
      <c r="F22" s="63"/>
      <c r="G22" s="63"/>
      <c r="H22" s="63"/>
      <c r="I22" s="63"/>
      <c r="J22" s="63"/>
      <c r="K22" s="43"/>
      <c r="L22" s="43"/>
      <c r="M22" s="3"/>
      <c r="N22" s="3"/>
      <c r="O22" s="139"/>
      <c r="P22" s="139"/>
      <c r="Q22" s="139"/>
      <c r="R22" s="139"/>
      <c r="S22" s="19"/>
      <c r="T22" s="19"/>
      <c r="U22" s="63"/>
      <c r="V22" s="3"/>
      <c r="W22" s="3"/>
      <c r="X22" s="3"/>
      <c r="Y22" s="3"/>
      <c r="Z22" s="3"/>
      <c r="AA22" s="3"/>
      <c r="AB22" s="3"/>
      <c r="AC22" s="3"/>
      <c r="AD22" s="3"/>
      <c r="AE22" s="3"/>
    </row>
    <row r="23" spans="1:36" ht="19.5" customHeight="1" x14ac:dyDescent="0.2">
      <c r="A23" s="841"/>
      <c r="B23" s="681" t="s">
        <v>505</v>
      </c>
      <c r="C23" s="141"/>
      <c r="D23" s="682"/>
      <c r="E23" s="683"/>
      <c r="F23" s="141"/>
      <c r="G23" s="683"/>
      <c r="H23" s="683"/>
      <c r="I23" s="683"/>
      <c r="J23" s="141"/>
      <c r="K23" s="141"/>
      <c r="L23" s="141"/>
      <c r="M23" s="141"/>
      <c r="N23" s="667"/>
      <c r="O23" s="3"/>
      <c r="P23" s="3"/>
      <c r="Q23" s="139"/>
      <c r="R23" s="139"/>
      <c r="S23" s="19"/>
      <c r="T23" s="19"/>
      <c r="U23" s="63"/>
      <c r="V23" s="3"/>
      <c r="W23" s="3"/>
      <c r="X23" s="3"/>
      <c r="Y23" s="3"/>
      <c r="Z23" s="3"/>
      <c r="AA23" s="3"/>
      <c r="AB23" s="3"/>
      <c r="AC23" s="3"/>
      <c r="AD23" s="3"/>
      <c r="AE23" s="3"/>
    </row>
    <row r="24" spans="1:36" ht="15.75" customHeight="1" x14ac:dyDescent="0.2">
      <c r="A24" s="841"/>
      <c r="B24" s="299" t="s">
        <v>506</v>
      </c>
      <c r="C24" s="3"/>
      <c r="D24" s="684" t="s">
        <v>239</v>
      </c>
      <c r="E24" s="445"/>
      <c r="G24" s="445"/>
      <c r="H24" s="445"/>
      <c r="I24" s="445"/>
      <c r="J24" s="3"/>
      <c r="K24" s="3"/>
      <c r="L24" s="3"/>
      <c r="M24" s="3"/>
      <c r="N24" s="568"/>
      <c r="O24" s="3"/>
      <c r="P24" s="3"/>
      <c r="Q24" s="139"/>
      <c r="R24" s="139"/>
      <c r="S24" s="19"/>
      <c r="U24" s="63"/>
      <c r="V24" s="3"/>
      <c r="W24" s="3"/>
      <c r="X24" s="3"/>
      <c r="Y24" s="3"/>
      <c r="Z24" s="3"/>
      <c r="AA24" s="3"/>
      <c r="AB24" s="3"/>
      <c r="AC24" s="3"/>
      <c r="AD24" s="3"/>
      <c r="AE24" s="3"/>
    </row>
    <row r="25" spans="1:36" ht="3.75" customHeight="1" x14ac:dyDescent="0.2">
      <c r="A25" s="841"/>
      <c r="B25" s="299"/>
      <c r="C25" s="3"/>
      <c r="D25" s="3"/>
      <c r="E25" s="3"/>
      <c r="F25" s="3"/>
      <c r="G25" s="3"/>
      <c r="H25" s="3"/>
      <c r="I25" s="3"/>
      <c r="J25" s="3"/>
      <c r="K25" s="3"/>
      <c r="L25" s="3"/>
      <c r="M25" s="3"/>
      <c r="N25" s="568"/>
      <c r="O25" s="3"/>
      <c r="P25" s="3"/>
      <c r="Q25" s="3"/>
      <c r="R25" s="3"/>
      <c r="S25" s="3"/>
      <c r="T25" s="3"/>
      <c r="U25" s="3"/>
      <c r="V25" s="3"/>
      <c r="W25" s="3"/>
      <c r="X25" s="3"/>
      <c r="Y25" s="3"/>
      <c r="Z25" s="3"/>
      <c r="AA25" s="3"/>
      <c r="AB25" s="3"/>
      <c r="AC25" s="3"/>
      <c r="AD25" s="3"/>
      <c r="AE25" s="3"/>
    </row>
    <row r="26" spans="1:36" ht="13.5" customHeight="1" x14ac:dyDescent="0.2">
      <c r="A26" s="841"/>
      <c r="B26" s="685" t="s">
        <v>507</v>
      </c>
      <c r="C26" s="3"/>
      <c r="D26" s="3"/>
      <c r="E26" s="3"/>
      <c r="F26" s="3"/>
      <c r="G26" s="3"/>
      <c r="H26" s="3"/>
      <c r="I26" s="3"/>
      <c r="J26" s="3"/>
      <c r="K26" s="3"/>
      <c r="L26" s="3"/>
      <c r="M26" s="3"/>
      <c r="N26" s="568"/>
      <c r="O26" s="3"/>
      <c r="P26" s="3"/>
      <c r="Q26" s="3"/>
      <c r="R26" s="3"/>
      <c r="S26" s="3"/>
      <c r="T26" s="3"/>
      <c r="U26" s="3"/>
      <c r="V26" s="3"/>
      <c r="W26" s="3"/>
      <c r="X26" s="3"/>
      <c r="Y26" s="3"/>
      <c r="Z26" s="3"/>
      <c r="AA26" s="3"/>
      <c r="AB26" s="3"/>
      <c r="AC26" s="3"/>
      <c r="AD26" s="3"/>
      <c r="AE26" s="3"/>
    </row>
    <row r="27" spans="1:36" x14ac:dyDescent="0.2">
      <c r="A27" s="841"/>
      <c r="B27" s="685" t="s">
        <v>508</v>
      </c>
      <c r="C27" s="3"/>
      <c r="D27" s="105" t="s">
        <v>989</v>
      </c>
      <c r="E27" s="446"/>
      <c r="F27" s="446"/>
      <c r="G27" s="446"/>
      <c r="H27" s="446"/>
      <c r="I27" s="446"/>
      <c r="J27" s="3"/>
      <c r="K27" s="3"/>
      <c r="L27" s="3"/>
      <c r="M27" s="3"/>
      <c r="N27" s="568"/>
      <c r="O27" s="3"/>
      <c r="P27" s="3"/>
      <c r="Q27" s="3"/>
      <c r="R27" s="3"/>
      <c r="S27" s="3"/>
      <c r="T27" s="3"/>
      <c r="U27" s="3"/>
      <c r="V27" s="3"/>
      <c r="W27" s="3"/>
      <c r="X27" s="3"/>
      <c r="Y27" s="3"/>
      <c r="Z27" s="3"/>
      <c r="AA27" s="3"/>
      <c r="AB27" s="3"/>
      <c r="AC27" s="3"/>
      <c r="AD27" s="3"/>
      <c r="AE27" s="3"/>
    </row>
    <row r="28" spans="1:36" x14ac:dyDescent="0.2">
      <c r="A28" s="841"/>
      <c r="B28" s="685" t="s">
        <v>509</v>
      </c>
      <c r="C28" s="3"/>
      <c r="D28" s="105" t="s">
        <v>990</v>
      </c>
      <c r="E28" s="446"/>
      <c r="F28" s="3"/>
      <c r="G28" s="446"/>
      <c r="H28" s="446"/>
      <c r="I28" s="446"/>
      <c r="J28" s="3"/>
      <c r="K28" s="3"/>
      <c r="L28" s="3"/>
      <c r="M28" s="139"/>
      <c r="N28" s="568"/>
      <c r="O28" s="3"/>
      <c r="P28" s="3"/>
      <c r="Q28" s="3"/>
      <c r="R28" s="3"/>
      <c r="S28" s="3"/>
      <c r="T28" s="3"/>
      <c r="U28" s="3"/>
      <c r="V28" s="3"/>
      <c r="W28" s="3"/>
      <c r="X28" s="3"/>
      <c r="Y28" s="3"/>
      <c r="Z28" s="3"/>
      <c r="AA28" s="3"/>
      <c r="AB28" s="3"/>
      <c r="AC28" s="3"/>
      <c r="AD28" s="3"/>
      <c r="AE28" s="3"/>
    </row>
    <row r="29" spans="1:36" x14ac:dyDescent="0.2">
      <c r="A29" s="841"/>
      <c r="B29" s="685" t="s">
        <v>510</v>
      </c>
      <c r="C29" s="3"/>
      <c r="D29" s="456" t="s">
        <v>992</v>
      </c>
      <c r="E29" s="447"/>
      <c r="F29" s="446"/>
      <c r="G29" s="447"/>
      <c r="H29" s="447"/>
      <c r="I29" s="447"/>
      <c r="J29" s="3"/>
      <c r="K29" s="3"/>
      <c r="L29" s="3"/>
      <c r="M29" s="139"/>
      <c r="N29" s="568"/>
      <c r="O29" s="3"/>
      <c r="P29" s="3"/>
      <c r="Q29" s="3"/>
      <c r="R29" s="3"/>
      <c r="S29" s="3"/>
      <c r="T29" s="3"/>
      <c r="U29" s="3"/>
      <c r="V29" s="3"/>
      <c r="W29" s="3"/>
      <c r="X29" s="3"/>
      <c r="Y29" s="3"/>
      <c r="Z29" s="3"/>
      <c r="AA29" s="3"/>
      <c r="AB29" s="3"/>
      <c r="AC29" s="3"/>
      <c r="AD29" s="3"/>
      <c r="AE29" s="3"/>
    </row>
    <row r="30" spans="1:36" ht="12.75" customHeight="1" x14ac:dyDescent="0.2">
      <c r="A30" s="841"/>
      <c r="B30" s="685" t="s">
        <v>511</v>
      </c>
      <c r="C30" s="3"/>
      <c r="D30" s="105" t="s">
        <v>991</v>
      </c>
      <c r="E30" s="446"/>
      <c r="F30" s="446"/>
      <c r="G30" s="446"/>
      <c r="H30" s="446"/>
      <c r="I30" s="446"/>
      <c r="J30" s="3"/>
      <c r="K30" s="3"/>
      <c r="L30" s="3"/>
      <c r="M30" s="139"/>
      <c r="N30" s="568"/>
      <c r="O30" s="3"/>
      <c r="P30" s="3"/>
      <c r="Q30" s="3"/>
      <c r="R30" s="3"/>
      <c r="S30" s="3"/>
      <c r="T30" s="3"/>
      <c r="U30" s="3"/>
      <c r="V30" s="3"/>
      <c r="W30" s="3"/>
      <c r="X30" s="3"/>
      <c r="Y30" s="3"/>
      <c r="Z30" s="3"/>
      <c r="AA30" s="3"/>
      <c r="AB30" s="3"/>
      <c r="AC30" s="3"/>
      <c r="AD30" s="3"/>
      <c r="AE30" s="3"/>
    </row>
    <row r="31" spans="1:36" x14ac:dyDescent="0.2">
      <c r="A31" s="841"/>
      <c r="B31" s="686" t="s">
        <v>512</v>
      </c>
      <c r="C31" s="3"/>
      <c r="D31" s="3"/>
      <c r="E31" s="3"/>
      <c r="F31" s="3"/>
      <c r="G31" s="3"/>
      <c r="H31" s="3"/>
      <c r="I31" s="3"/>
      <c r="J31" s="2"/>
      <c r="K31" s="3"/>
      <c r="L31" s="2"/>
      <c r="M31" s="2"/>
      <c r="N31" s="687"/>
      <c r="O31" s="278"/>
      <c r="P31" s="3"/>
      <c r="Q31" s="2"/>
      <c r="R31" s="3"/>
      <c r="S31" s="3"/>
      <c r="T31" s="3"/>
      <c r="U31" s="3"/>
      <c r="V31" s="3"/>
      <c r="W31" s="3"/>
      <c r="X31" s="3"/>
      <c r="Y31" s="3"/>
      <c r="Z31" s="3"/>
      <c r="AA31" s="3"/>
      <c r="AB31" s="3"/>
      <c r="AC31" s="3"/>
      <c r="AD31" s="3"/>
      <c r="AE31" s="3"/>
    </row>
    <row r="32" spans="1:36" ht="2.25" customHeight="1" x14ac:dyDescent="0.2">
      <c r="A32" s="841"/>
      <c r="B32" s="688"/>
      <c r="C32" s="3"/>
      <c r="D32" s="3"/>
      <c r="E32" s="3"/>
      <c r="F32" s="3"/>
      <c r="G32" s="3"/>
      <c r="H32" s="3"/>
      <c r="I32" s="3"/>
      <c r="J32" s="2"/>
      <c r="K32" s="3"/>
      <c r="L32" s="2"/>
      <c r="M32" s="2"/>
      <c r="N32" s="687"/>
      <c r="O32" s="278"/>
      <c r="P32" s="3"/>
      <c r="Q32" s="2"/>
      <c r="R32" s="3"/>
      <c r="S32" s="3"/>
      <c r="T32" s="3"/>
      <c r="U32" s="3"/>
      <c r="V32" s="3"/>
      <c r="W32" s="3"/>
      <c r="X32" s="3"/>
      <c r="Y32" s="3"/>
      <c r="Z32" s="3"/>
      <c r="AA32" s="3"/>
      <c r="AB32" s="3"/>
      <c r="AC32" s="3"/>
      <c r="AD32" s="3"/>
      <c r="AE32" s="3"/>
    </row>
    <row r="33" spans="1:36" x14ac:dyDescent="0.2">
      <c r="A33" s="841"/>
      <c r="B33" s="685" t="s">
        <v>513</v>
      </c>
      <c r="C33" s="3"/>
      <c r="D33" s="8" t="s">
        <v>396</v>
      </c>
      <c r="E33" s="3"/>
      <c r="F33" s="3"/>
      <c r="G33" s="3"/>
      <c r="H33" s="3"/>
      <c r="I33" s="3"/>
      <c r="J33" s="2"/>
      <c r="K33" s="3"/>
      <c r="L33" s="2"/>
      <c r="M33" s="2"/>
      <c r="N33" s="687"/>
      <c r="O33" s="278"/>
      <c r="P33" s="3"/>
      <c r="Q33" s="2"/>
      <c r="R33" s="3"/>
      <c r="S33" s="3"/>
      <c r="T33" s="3"/>
      <c r="U33" s="3"/>
      <c r="V33" s="3"/>
      <c r="W33" s="3"/>
      <c r="X33" s="3"/>
      <c r="Y33" s="3"/>
      <c r="Z33" s="3"/>
      <c r="AA33" s="3"/>
      <c r="AB33" s="3"/>
      <c r="AC33" s="3"/>
      <c r="AD33" s="3"/>
      <c r="AE33" s="3"/>
    </row>
    <row r="34" spans="1:36" s="3" customFormat="1" ht="22.15" customHeight="1" x14ac:dyDescent="0.2">
      <c r="A34" s="841"/>
      <c r="B34" s="686" t="s">
        <v>436</v>
      </c>
      <c r="N34" s="568"/>
      <c r="AF34" s="424"/>
      <c r="AG34" s="424"/>
      <c r="AH34" s="424"/>
      <c r="AI34" s="424"/>
      <c r="AJ34" s="424"/>
    </row>
    <row r="35" spans="1:36" s="3" customFormat="1" x14ac:dyDescent="0.2">
      <c r="A35" s="841"/>
      <c r="B35" s="1439" t="s">
        <v>514</v>
      </c>
      <c r="N35" s="568"/>
      <c r="AF35" s="424"/>
      <c r="AG35" s="424"/>
      <c r="AH35" s="424"/>
      <c r="AI35" s="424"/>
      <c r="AJ35" s="424"/>
    </row>
    <row r="36" spans="1:36" s="3" customFormat="1" x14ac:dyDescent="0.2">
      <c r="A36" s="841"/>
      <c r="B36" s="686" t="str">
        <f>"- Once council has indicated the nature of the application at row "&amp;ROW(B33)&amp;" above, table "&amp;A1&amp;"."&amp;A40&amp;" below will specify the exact worksheets and tables in this application form that council must complete and special instructions (if any)"</f>
        <v>- Once council has indicated the nature of the application at row 33 above, table 1.2 below will specify the exact worksheets and tables in this application form that council must complete and special instructions (if any)</v>
      </c>
      <c r="N36" s="568"/>
      <c r="AF36" s="424"/>
      <c r="AG36" s="424"/>
      <c r="AH36" s="424"/>
      <c r="AI36" s="424"/>
      <c r="AJ36" s="424"/>
    </row>
    <row r="37" spans="1:36" s="3" customFormat="1" ht="11.65" customHeight="1" x14ac:dyDescent="0.2">
      <c r="A37" s="841"/>
      <c r="B37" s="344"/>
      <c r="C37" s="140"/>
      <c r="D37" s="140"/>
      <c r="E37" s="140"/>
      <c r="F37" s="140"/>
      <c r="G37" s="140"/>
      <c r="H37" s="140"/>
      <c r="I37" s="140"/>
      <c r="J37" s="140"/>
      <c r="K37" s="140"/>
      <c r="L37" s="140"/>
      <c r="M37" s="140"/>
      <c r="N37" s="578"/>
      <c r="AF37" s="424"/>
      <c r="AG37" s="424"/>
      <c r="AH37" s="424"/>
      <c r="AI37" s="424"/>
      <c r="AJ37" s="424"/>
    </row>
    <row r="38" spans="1:36" s="3" customFormat="1" ht="12" customHeight="1" x14ac:dyDescent="0.2">
      <c r="A38" s="841"/>
    </row>
    <row r="39" spans="1:36" s="3" customFormat="1" ht="12" customHeight="1" x14ac:dyDescent="0.2">
      <c r="A39" s="841"/>
    </row>
    <row r="40" spans="1:36" s="3" customFormat="1" ht="12.75" x14ac:dyDescent="0.2">
      <c r="A40" s="841">
        <f>A22+1</f>
        <v>2</v>
      </c>
      <c r="B40" s="181" t="str">
        <f>"Table "&amp;A1&amp;"."&amp;A40&amp;": List of tables for council to complete - based on council's proposed application"</f>
        <v>Table 1.2: List of tables for council to complete - based on council's proposed application</v>
      </c>
    </row>
    <row r="41" spans="1:36" s="3" customFormat="1" x14ac:dyDescent="0.2">
      <c r="A41" s="841"/>
      <c r="B41" s="950"/>
      <c r="C41" s="141"/>
      <c r="D41" s="141"/>
      <c r="E41" s="141"/>
      <c r="F41" s="141"/>
      <c r="G41" s="695"/>
      <c r="H41" s="141"/>
      <c r="I41" s="695" t="s">
        <v>515</v>
      </c>
      <c r="J41" s="695" t="str">
        <f>IF(D33='WS0 - Input data'!B405,"Instructions for MR increase application",".")</f>
        <v>.</v>
      </c>
      <c r="K41" s="141"/>
      <c r="L41" s="141"/>
      <c r="M41" s="141"/>
      <c r="N41" s="667"/>
    </row>
    <row r="42" spans="1:36" s="3" customFormat="1" x14ac:dyDescent="0.2">
      <c r="A42" s="841"/>
      <c r="B42" s="685" t="str">
        <f>B4</f>
        <v xml:space="preserve">WORKSHEET 1 - CONTACT DETAILS AND PROPOSED APPLICATION </v>
      </c>
      <c r="N42" s="568"/>
    </row>
    <row r="43" spans="1:36" s="3" customFormat="1" x14ac:dyDescent="0.2">
      <c r="A43" s="841"/>
      <c r="B43" s="607" t="str">
        <f>B22</f>
        <v>Table 1.1: Council's name, contact and nature of application</v>
      </c>
      <c r="I43" s="3" t="str">
        <f>$B$14</f>
        <v>Y = Must complete</v>
      </c>
      <c r="N43" s="568"/>
    </row>
    <row r="44" spans="1:36" s="3" customFormat="1" x14ac:dyDescent="0.2">
      <c r="A44" s="841"/>
      <c r="B44" s="685" t="str">
        <f>'WS2-Proposal'!B4</f>
        <v>WORKSHEET 2 - PROPOSED SPECIAL VARIATION</v>
      </c>
      <c r="N44" s="568"/>
    </row>
    <row r="45" spans="1:36" s="3" customFormat="1" x14ac:dyDescent="0.2">
      <c r="A45" s="841"/>
      <c r="B45" s="607" t="str">
        <f>'WS2-Proposal'!B38</f>
        <v>Table 2.1: Existing and expiring special variations and adjustments</v>
      </c>
      <c r="I45" s="3" t="str">
        <f>$B$14</f>
        <v>Y = Must complete</v>
      </c>
      <c r="N45" s="568"/>
    </row>
    <row r="46" spans="1:36" s="3" customFormat="1" x14ac:dyDescent="0.2">
      <c r="A46" s="841"/>
      <c r="B46" s="607" t="str">
        <f>'WS2-Proposal'!B54</f>
        <v>Table 2.2: Proposed special variations and requested percentage increases</v>
      </c>
      <c r="I46" s="3" t="str">
        <f>$B$14</f>
        <v>Y = Must complete</v>
      </c>
      <c r="J46" s="3" t="str">
        <f>IF(D33='WS0 - Input data'!B405,"Special instructions apply, please see worksheet",".")</f>
        <v>.</v>
      </c>
      <c r="N46" s="568"/>
    </row>
    <row r="47" spans="1:36" s="3" customFormat="1" x14ac:dyDescent="0.2">
      <c r="A47" s="841"/>
      <c r="B47" s="685" t="str">
        <f>'WS3 - Notional General Income'!B4</f>
        <v>WORKSHEET 3 - CALCULATION OF NOTIONAL GENERAL INCOME FOR 2023-24 (THE CURRENT YEAR OR YEAR 0)</v>
      </c>
      <c r="N47" s="568"/>
    </row>
    <row r="48" spans="1:36" s="3" customFormat="1" x14ac:dyDescent="0.2">
      <c r="A48" s="841"/>
      <c r="B48" s="607" t="str">
        <f>'WS3 - Notional General Income'!B19</f>
        <v>Table 3.1: Calculation of Notional General Income - Ordinary Rates ($nominal)</v>
      </c>
      <c r="I48" s="3" t="str">
        <f>$B$14</f>
        <v>Y = Must complete</v>
      </c>
      <c r="N48" s="568"/>
    </row>
    <row r="49" spans="1:14" s="3" customFormat="1" x14ac:dyDescent="0.2">
      <c r="A49" s="841"/>
      <c r="B49" s="607" t="str">
        <f>'WS3 - Notional General Income'!B94</f>
        <v>Table 3.2: Calculation of Notional General Income - Special Rates ($nominal)</v>
      </c>
      <c r="I49" s="3" t="str">
        <f>$B$14</f>
        <v>Y = Must complete</v>
      </c>
      <c r="N49" s="568"/>
    </row>
    <row r="50" spans="1:14" s="3" customFormat="1" x14ac:dyDescent="0.2">
      <c r="A50" s="841"/>
      <c r="B50" s="607" t="str">
        <f>'WS3 - Notional General Income'!B150</f>
        <v>Table 3.3: Calculation of Notional General Income - Annual Charges ($nominal)</v>
      </c>
      <c r="I50" s="3" t="str">
        <f>$B$14</f>
        <v>Y = Must complete</v>
      </c>
      <c r="N50" s="568"/>
    </row>
    <row r="51" spans="1:14" s="3" customFormat="1" x14ac:dyDescent="0.2">
      <c r="A51" s="841"/>
      <c r="B51" s="685" t="str">
        <f>'WS4 - Yr 1 YIELD'!B4</f>
        <v>WORKSHEET 4: CALCULATION OF NOTIONAL GENERAL INCOME FOR 2024-25 (YEAR 1)</v>
      </c>
      <c r="N51" s="568"/>
    </row>
    <row r="52" spans="1:14" s="3" customFormat="1" x14ac:dyDescent="0.2">
      <c r="A52" s="841"/>
      <c r="B52" s="607" t="str">
        <f>'WS4 - Yr 1 YIELD'!B16</f>
        <v>Table 4.1: Calculation of Notional General Income - Ordinary Rates ($ nominal)</v>
      </c>
      <c r="I52" s="3" t="str">
        <f>$B$14</f>
        <v>Y = Must complete</v>
      </c>
      <c r="N52" s="568"/>
    </row>
    <row r="53" spans="1:14" s="3" customFormat="1" x14ac:dyDescent="0.2">
      <c r="A53" s="841"/>
      <c r="B53" s="607" t="str">
        <f>'WS4 - Yr 1 YIELD'!B91</f>
        <v>Table 4.2: Calculation of Notional General Income - Special Rates ($ nominal)</v>
      </c>
      <c r="I53" s="3" t="str">
        <f>$B$14</f>
        <v>Y = Must complete</v>
      </c>
      <c r="N53" s="568"/>
    </row>
    <row r="54" spans="1:14" s="3" customFormat="1" x14ac:dyDescent="0.2">
      <c r="A54" s="841"/>
      <c r="B54" s="607" t="str">
        <f>'WS4 - Yr 1 YIELD'!B147</f>
        <v>Table 4.3: Calculation of Notional General Income - Annual Charges ($ nominal)</v>
      </c>
      <c r="I54" s="3" t="str">
        <f>$B$14</f>
        <v>Y = Must complete</v>
      </c>
      <c r="N54" s="568"/>
    </row>
    <row r="55" spans="1:14" s="3" customFormat="1" x14ac:dyDescent="0.2">
      <c r="A55" s="841"/>
      <c r="B55" s="685" t="str">
        <f>'WS5 - Yrs 2-7 YIELD'!B4</f>
        <v>WORKSHEET 5: CALCULATION OF NOTIONAL GENERAL INCOME FOR YEARS 2 TO 7 (2025-26 TO 2030-31)</v>
      </c>
      <c r="N55" s="568"/>
    </row>
    <row r="56" spans="1:14" s="3" customFormat="1" x14ac:dyDescent="0.2">
      <c r="A56" s="841"/>
      <c r="B56" s="607" t="str">
        <f>'WS5 - Yrs 2-7 YIELD'!B19</f>
        <v>Table 5.1: Calculation of Notional General Income - Ordinary Rates from 2025-26 to 2030-31 ($ nominal)</v>
      </c>
      <c r="N56" s="568"/>
    </row>
    <row r="57" spans="1:14" s="3" customFormat="1" x14ac:dyDescent="0.2">
      <c r="A57" s="841"/>
      <c r="B57" s="1513" t="str">
        <f>'WS5 - Yrs 2-7 YIELD'!D20</f>
        <v>Year 2 (2025-26)</v>
      </c>
      <c r="I57" s="3" t="str">
        <f t="shared" ref="I57:I62" si="0">$B$14</f>
        <v>Y = Must complete</v>
      </c>
      <c r="N57" s="568"/>
    </row>
    <row r="58" spans="1:14" s="3" customFormat="1" x14ac:dyDescent="0.2">
      <c r="A58" s="841"/>
      <c r="B58" s="1513" t="str">
        <f>'WS5 - Yrs 2-7 YIELD'!M20</f>
        <v>Year 3 (2026-27)</v>
      </c>
      <c r="I58" s="3" t="str">
        <f t="shared" si="0"/>
        <v>Y = Must complete</v>
      </c>
      <c r="N58" s="568"/>
    </row>
    <row r="59" spans="1:14" s="3" customFormat="1" x14ac:dyDescent="0.2">
      <c r="A59" s="841"/>
      <c r="B59" s="1513" t="str">
        <f>'WS5 - Yrs 2-7 YIELD'!V20</f>
        <v>Year 4 (2027-28)</v>
      </c>
      <c r="I59" s="3" t="str">
        <f t="shared" si="0"/>
        <v>Y = Must complete</v>
      </c>
      <c r="N59" s="568"/>
    </row>
    <row r="60" spans="1:14" s="3" customFormat="1" x14ac:dyDescent="0.2">
      <c r="A60" s="841"/>
      <c r="B60" s="1513" t="str">
        <f>'WS5 - Yrs 2-7 YIELD'!AE20</f>
        <v>Year 5 (2028-29)</v>
      </c>
      <c r="I60" s="3" t="str">
        <f t="shared" si="0"/>
        <v>Y = Must complete</v>
      </c>
      <c r="N60" s="568"/>
    </row>
    <row r="61" spans="1:14" s="3" customFormat="1" x14ac:dyDescent="0.2">
      <c r="A61" s="841"/>
      <c r="B61" s="1513" t="str">
        <f>'WS5 - Yrs 2-7 YIELD'!AN20</f>
        <v>Year 6 (2029-30)</v>
      </c>
      <c r="I61" s="3" t="str">
        <f t="shared" si="0"/>
        <v>Y = Must complete</v>
      </c>
      <c r="N61" s="568"/>
    </row>
    <row r="62" spans="1:14" s="3" customFormat="1" x14ac:dyDescent="0.2">
      <c r="A62" s="841"/>
      <c r="B62" s="1513" t="str">
        <f>'WS5 - Yrs 2-7 YIELD'!AW20</f>
        <v>Year 7 (2030-31)</v>
      </c>
      <c r="I62" s="3" t="str">
        <f t="shared" si="0"/>
        <v>Y = Must complete</v>
      </c>
      <c r="N62" s="568"/>
    </row>
    <row r="63" spans="1:14" s="3" customFormat="1" x14ac:dyDescent="0.2">
      <c r="A63" s="841"/>
      <c r="B63" s="607" t="str">
        <f>'WS5 - Yrs 2-7 YIELD'!B95</f>
        <v>Table 5.2: Calculation of Notional General Income - Special Rates from 2025-26 to 2030-31 ($ nominal)</v>
      </c>
      <c r="N63" s="568"/>
    </row>
    <row r="64" spans="1:14" s="3" customFormat="1" x14ac:dyDescent="0.2">
      <c r="A64" s="841"/>
      <c r="B64" s="1513" t="str">
        <f>'WS5 - Yrs 2-7 YIELD'!D96</f>
        <v>Year 2 (2025-26)</v>
      </c>
      <c r="I64" s="3" t="str">
        <f t="shared" ref="I64:I69" si="1">$B$14</f>
        <v>Y = Must complete</v>
      </c>
      <c r="N64" s="568"/>
    </row>
    <row r="65" spans="1:14" s="3" customFormat="1" x14ac:dyDescent="0.2">
      <c r="A65" s="841"/>
      <c r="B65" s="1513" t="str">
        <f>'WS5 - Yrs 2-7 YIELD'!M96</f>
        <v>Year 3 (2026-27)</v>
      </c>
      <c r="I65" s="3" t="str">
        <f t="shared" si="1"/>
        <v>Y = Must complete</v>
      </c>
      <c r="N65" s="568"/>
    </row>
    <row r="66" spans="1:14" s="3" customFormat="1" x14ac:dyDescent="0.2">
      <c r="A66" s="841"/>
      <c r="B66" s="1513" t="str">
        <f>'WS5 - Yrs 2-7 YIELD'!V96</f>
        <v>Year 4 (2027-28)</v>
      </c>
      <c r="I66" s="3" t="str">
        <f t="shared" si="1"/>
        <v>Y = Must complete</v>
      </c>
      <c r="N66" s="568"/>
    </row>
    <row r="67" spans="1:14" s="3" customFormat="1" x14ac:dyDescent="0.2">
      <c r="A67" s="841"/>
      <c r="B67" s="1513" t="str">
        <f>'WS5 - Yrs 2-7 YIELD'!AE96</f>
        <v>Year 5 (2028-29)</v>
      </c>
      <c r="I67" s="3" t="str">
        <f t="shared" si="1"/>
        <v>Y = Must complete</v>
      </c>
      <c r="N67" s="568"/>
    </row>
    <row r="68" spans="1:14" s="3" customFormat="1" x14ac:dyDescent="0.2">
      <c r="A68" s="841"/>
      <c r="B68" s="1513" t="str">
        <f>'WS5 - Yrs 2-7 YIELD'!AN96</f>
        <v>Year 6 (2029-30)</v>
      </c>
      <c r="I68" s="3" t="str">
        <f t="shared" si="1"/>
        <v>Y = Must complete</v>
      </c>
      <c r="N68" s="568"/>
    </row>
    <row r="69" spans="1:14" s="3" customFormat="1" x14ac:dyDescent="0.2">
      <c r="A69" s="841"/>
      <c r="B69" s="1513" t="str">
        <f>'WS5 - Yrs 2-7 YIELD'!AW96</f>
        <v>Year 7 (2030-31)</v>
      </c>
      <c r="I69" s="3" t="str">
        <f t="shared" si="1"/>
        <v>Y = Must complete</v>
      </c>
      <c r="N69" s="568"/>
    </row>
    <row r="70" spans="1:14" s="3" customFormat="1" x14ac:dyDescent="0.2">
      <c r="A70" s="841"/>
      <c r="B70" s="607" t="str">
        <f>'WS5 - Yrs 2-7 YIELD'!B152</f>
        <v>Table 5.3: Calculation of Notional General Income - Annual Charges from 2025-26 to 2030-31 ($ nominal)</v>
      </c>
      <c r="N70" s="568"/>
    </row>
    <row r="71" spans="1:14" s="3" customFormat="1" x14ac:dyDescent="0.2">
      <c r="A71" s="841"/>
      <c r="B71" s="1513" t="str">
        <f>'WS5 - Yrs 2-7 YIELD'!D153</f>
        <v>Year 2 (2025-26)</v>
      </c>
      <c r="I71" s="3" t="str">
        <f>$B$14</f>
        <v>Y = Must complete</v>
      </c>
      <c r="N71" s="568"/>
    </row>
    <row r="72" spans="1:14" s="3" customFormat="1" x14ac:dyDescent="0.2">
      <c r="A72" s="841"/>
      <c r="B72" s="1513" t="str">
        <f>'WS5 - Yrs 2-7 YIELD'!M153</f>
        <v>Year 3 (2026-27)</v>
      </c>
      <c r="I72" s="3" t="str">
        <f t="shared" ref="I72:I76" si="2">$B$14</f>
        <v>Y = Must complete</v>
      </c>
      <c r="N72" s="568"/>
    </row>
    <row r="73" spans="1:14" s="3" customFormat="1" x14ac:dyDescent="0.2">
      <c r="A73" s="841"/>
      <c r="B73" s="1513" t="str">
        <f>'WS5 - Yrs 2-7 YIELD'!V153</f>
        <v>Year 4 (2027-28)</v>
      </c>
      <c r="I73" s="3" t="str">
        <f t="shared" si="2"/>
        <v>Y = Must complete</v>
      </c>
      <c r="N73" s="568"/>
    </row>
    <row r="74" spans="1:14" s="3" customFormat="1" x14ac:dyDescent="0.2">
      <c r="A74" s="841"/>
      <c r="B74" s="1513" t="str">
        <f>'WS5 - Yrs 2-7 YIELD'!AE153</f>
        <v>Year 5 (2028-29)</v>
      </c>
      <c r="I74" s="3" t="str">
        <f t="shared" si="2"/>
        <v>Y = Must complete</v>
      </c>
      <c r="N74" s="568"/>
    </row>
    <row r="75" spans="1:14" s="3" customFormat="1" x14ac:dyDescent="0.2">
      <c r="A75" s="841"/>
      <c r="B75" s="1513" t="str">
        <f>'WS5 - Yrs 2-7 YIELD'!AN153</f>
        <v>Year 6 (2029-30)</v>
      </c>
      <c r="I75" s="3" t="str">
        <f t="shared" si="2"/>
        <v>Y = Must complete</v>
      </c>
      <c r="N75" s="568"/>
    </row>
    <row r="76" spans="1:14" s="3" customFormat="1" x14ac:dyDescent="0.2">
      <c r="A76" s="841"/>
      <c r="B76" s="1513" t="str">
        <f>'WS5 - Yrs 2-7 YIELD'!AW153</f>
        <v>Year 7 (2030-31)</v>
      </c>
      <c r="I76" s="3" t="str">
        <f t="shared" si="2"/>
        <v>Y = Must complete</v>
      </c>
      <c r="N76" s="568"/>
    </row>
    <row r="77" spans="1:14" s="3" customFormat="1" x14ac:dyDescent="0.2">
      <c r="A77" s="841"/>
      <c r="B77" s="685" t="str">
        <f>'WS6 - PGI summary'!B4</f>
        <v>WORKSHEET 6: PERMISSIBLE GENERAL INCOME SUMMARY FOR 2024-25</v>
      </c>
      <c r="N77" s="568"/>
    </row>
    <row r="78" spans="1:14" s="3" customFormat="1" x14ac:dyDescent="0.2">
      <c r="A78" s="841"/>
      <c r="B78" s="607" t="str">
        <f>'WS6 - PGI summary'!B55</f>
        <v>Table 6.1: Calculation of first year Permissble General Income ($ nominal)</v>
      </c>
      <c r="I78" s="3" t="str">
        <f>$B$15 &amp;" - automatic calculation"</f>
        <v>N = No need to complete - automatic calculation</v>
      </c>
      <c r="N78" s="568"/>
    </row>
    <row r="79" spans="1:14" s="3" customFormat="1" x14ac:dyDescent="0.2">
      <c r="A79" s="841"/>
      <c r="B79" s="607" t="str">
        <f>'WS6 - PGI summary'!B78</f>
        <v>Table 6.2: Calculation of PGI with proposed SV, rate peg and renewal of expiring SV ($ nominal)</v>
      </c>
      <c r="I79" s="3" t="str">
        <f>$B$15 &amp;" - automatic calculation"</f>
        <v>N = No need to complete - automatic calculation</v>
      </c>
      <c r="N79" s="568"/>
    </row>
    <row r="80" spans="1:14" s="3" customFormat="1" x14ac:dyDescent="0.2">
      <c r="A80" s="841"/>
      <c r="B80" s="607" t="str">
        <f>'WS6 - PGI summary'!B114</f>
        <v>Table 6.3 Increases in permissable general income over proposed SV period ($ nominal)</v>
      </c>
      <c r="I80" s="3" t="str">
        <f>$B$15 &amp;" - automatic calculation"</f>
        <v>N = No need to complete - automatic calculation</v>
      </c>
      <c r="N80" s="568"/>
    </row>
    <row r="81" spans="1:14" s="3" customFormat="1" x14ac:dyDescent="0.2">
      <c r="A81" s="841"/>
      <c r="B81" s="685" t="str">
        <f>'WS7 - Impact on Rates'!B4</f>
        <v>WORKSHEET 7: IMPACT ON MINIMUM RATES, AVERAGE RATES AND OTHER CHARGES</v>
      </c>
      <c r="N81" s="568"/>
    </row>
    <row r="82" spans="1:14" s="3" customFormat="1" x14ac:dyDescent="0.2">
      <c r="A82" s="841"/>
      <c r="B82" s="607" t="str">
        <f>'WS7 - Impact on Rates'!B25</f>
        <v>Table 7.1: Minimum Rates - with proposed special variation</v>
      </c>
      <c r="I82" s="3" t="str">
        <f t="shared" ref="I82:I88" si="3">$B$14</f>
        <v>Y = Must complete</v>
      </c>
      <c r="N82" s="568"/>
    </row>
    <row r="83" spans="1:14" s="3" customFormat="1" x14ac:dyDescent="0.2">
      <c r="A83" s="841"/>
      <c r="B83" s="607" t="str">
        <f>'WS7 - Impact on Rates'!B98</f>
        <v>Table 7.2: Average Ordinary and Special Rates - with proposed special variation</v>
      </c>
      <c r="I83" s="3" t="str">
        <f t="shared" si="3"/>
        <v>Y = Must complete</v>
      </c>
      <c r="N83" s="568"/>
    </row>
    <row r="84" spans="1:14" s="3" customFormat="1" x14ac:dyDescent="0.2">
      <c r="A84" s="841"/>
      <c r="B84" s="607" t="str">
        <f>'WS7 - Impact on Rates'!B222</f>
        <v>Table 7.3: Average Ordinary and Special Rates - without proposed special variation (assumed rate peg only)</v>
      </c>
      <c r="I84" s="3" t="str">
        <f t="shared" si="3"/>
        <v>Y = Must complete</v>
      </c>
      <c r="N84" s="568"/>
    </row>
    <row r="85" spans="1:14" s="3" customFormat="1" x14ac:dyDescent="0.2">
      <c r="A85" s="841"/>
      <c r="B85" s="607" t="str">
        <f>'WS7 - Impact on Rates'!B346</f>
        <v>Table 7.4: Domestic Waste Management Services - Annual Charge</v>
      </c>
      <c r="I85" s="3" t="str">
        <f t="shared" si="3"/>
        <v>Y = Must complete</v>
      </c>
      <c r="N85" s="568"/>
    </row>
    <row r="86" spans="1:14" s="3" customFormat="1" x14ac:dyDescent="0.2">
      <c r="A86" s="841"/>
      <c r="B86" s="607" t="str">
        <f>'WS7 - Impact on Rates'!B378</f>
        <v>Table 7.5: Water Supply Services - Annual Charge</v>
      </c>
      <c r="I86" s="3" t="str">
        <f t="shared" si="3"/>
        <v>Y = Must complete</v>
      </c>
      <c r="N86" s="568"/>
    </row>
    <row r="87" spans="1:14" s="3" customFormat="1" x14ac:dyDescent="0.2">
      <c r="A87" s="841"/>
      <c r="B87" s="607" t="str">
        <f>'WS7 - Impact on Rates'!B404</f>
        <v>Table 7.6: Sewerage Services - Annual Charge</v>
      </c>
      <c r="I87" s="3" t="str">
        <f t="shared" si="3"/>
        <v>Y = Must complete</v>
      </c>
      <c r="N87" s="568"/>
    </row>
    <row r="88" spans="1:14" s="3" customFormat="1" x14ac:dyDescent="0.2">
      <c r="A88" s="841"/>
      <c r="B88" s="607" t="str">
        <f>'WS7 - Impact on Rates'!B430</f>
        <v>Table 7.7: Other Annual Charges</v>
      </c>
      <c r="I88" s="3" t="str">
        <f t="shared" si="3"/>
        <v>Y = Must complete</v>
      </c>
      <c r="N88" s="568"/>
    </row>
    <row r="89" spans="1:14" s="3" customFormat="1" x14ac:dyDescent="0.2">
      <c r="A89" s="841"/>
      <c r="B89" s="685" t="str">
        <f>'WS8 - Expenditure Program'!B4</f>
        <v>WORKSHEET 8: PROPOSED ADDITIONAL SPECIAL VARIATION INCOME AND EXPENDITURE</v>
      </c>
      <c r="N89" s="568"/>
    </row>
    <row r="90" spans="1:14" s="3" customFormat="1" x14ac:dyDescent="0.2">
      <c r="A90" s="841"/>
      <c r="B90" s="607" t="str">
        <f>'WS8 - Expenditure Program'!B25</f>
        <v>Table 8.1: Income and Operating balance ($ nominal)</v>
      </c>
      <c r="I90" s="3" t="str">
        <f>$B$15 &amp;" - automatic calculation"</f>
        <v>N = No need to complete - automatic calculation</v>
      </c>
      <c r="N90" s="568"/>
    </row>
    <row r="91" spans="1:14" s="3" customFormat="1" x14ac:dyDescent="0.2">
      <c r="A91" s="841"/>
      <c r="B91" s="607" t="str">
        <f>'WS8 - Expenditure Program'!B35</f>
        <v xml:space="preserve">Table 8.2: Operating expenses (including loan interest costs) ($ nominal) </v>
      </c>
      <c r="I91" s="3" t="str">
        <f>IF($D$33="minimum rate increase",$B$15,$B$14)</f>
        <v>Y = Must complete</v>
      </c>
      <c r="J91" s="3" t="str">
        <f>'WS8 - Expenditure Program'!M35</f>
        <v/>
      </c>
      <c r="N91" s="568"/>
    </row>
    <row r="92" spans="1:14" s="3" customFormat="1" x14ac:dyDescent="0.2">
      <c r="A92" s="841"/>
      <c r="B92" s="607" t="str">
        <f>'WS8 - Expenditure Program'!B74</f>
        <v xml:space="preserve">Table 8.3: Capital expenditure ($ nominal) </v>
      </c>
      <c r="I92" s="3" t="str">
        <f t="shared" ref="I92:I93" si="4">IF($D$33="minimum rate increase",$B$15,$B$14)</f>
        <v>Y = Must complete</v>
      </c>
      <c r="J92" s="3" t="str">
        <f>'WS8 - Expenditure Program'!M74</f>
        <v/>
      </c>
      <c r="N92" s="568"/>
    </row>
    <row r="93" spans="1:14" s="3" customFormat="1" x14ac:dyDescent="0.2">
      <c r="A93" s="841"/>
      <c r="B93" s="607" t="str">
        <f>'WS8 - Expenditure Program'!B146</f>
        <v xml:space="preserve">Table 8.4: Other uses of proposed SV income (eg, loan principal repayments, transfers to reserves) ($ nominal) </v>
      </c>
      <c r="I93" s="3" t="str">
        <f t="shared" si="4"/>
        <v>Y = Must complete</v>
      </c>
      <c r="J93" s="3" t="str">
        <f>'WS8 - Expenditure Program'!M146</f>
        <v/>
      </c>
      <c r="N93" s="568"/>
    </row>
    <row r="94" spans="1:14" s="3" customFormat="1" x14ac:dyDescent="0.2">
      <c r="A94" s="841"/>
      <c r="B94" s="607" t="str">
        <f>'WS8 - Expenditure Program'!B163</f>
        <v>Table 8.5: Total ($ nominal)</v>
      </c>
      <c r="I94" s="3" t="str">
        <f>$B$15 &amp;" - automatic calculation"</f>
        <v>N = No need to complete - automatic calculation</v>
      </c>
      <c r="N94" s="568"/>
    </row>
    <row r="95" spans="1:14" s="3" customFormat="1" x14ac:dyDescent="0.2">
      <c r="A95" s="841"/>
      <c r="B95" s="685" t="str">
        <f>'WS9 - Financials'!B4</f>
        <v>WORKSHEET 9: FINANCIAL INFORMATION</v>
      </c>
      <c r="N95" s="568"/>
    </row>
    <row r="96" spans="1:14" s="3" customFormat="1" x14ac:dyDescent="0.2">
      <c r="A96" s="841"/>
      <c r="B96" s="607" t="str">
        <f>'WS9 - Financials'!B15</f>
        <v>Table 9.1: Income statement (General fund) ($'000 nominal)</v>
      </c>
      <c r="I96" s="3" t="str">
        <f t="shared" ref="I96:I105" si="5">$B$14</f>
        <v>Y = Must complete</v>
      </c>
      <c r="N96" s="568"/>
    </row>
    <row r="97" spans="1:14" s="3" customFormat="1" x14ac:dyDescent="0.2">
      <c r="A97" s="841"/>
      <c r="B97" s="607" t="str">
        <f>'WS9 - Financials'!B56</f>
        <v>Table 9.2: Borrowing costs and repayments ($'000 nominal)</v>
      </c>
      <c r="I97" s="3" t="str">
        <f t="shared" si="5"/>
        <v>Y = Must complete</v>
      </c>
      <c r="N97" s="568"/>
    </row>
    <row r="98" spans="1:14" s="3" customFormat="1" x14ac:dyDescent="0.2">
      <c r="A98" s="841"/>
      <c r="B98" s="607" t="str">
        <f>'WS9 - Financials'!B65</f>
        <v>Table 9.3: Infrastructure asset performance indicators by fund (%)</v>
      </c>
      <c r="I98" s="3" t="str">
        <f t="shared" si="5"/>
        <v>Y = Must complete</v>
      </c>
      <c r="N98" s="568"/>
    </row>
    <row r="99" spans="1:14" s="3" customFormat="1" x14ac:dyDescent="0.2">
      <c r="A99" s="841"/>
      <c r="B99" s="607" t="str">
        <f>'WS9 - Financials'!B75</f>
        <v>Table 9.4: Cash and investments (General fund) ($'000 nominal)</v>
      </c>
      <c r="I99" s="3" t="str">
        <f t="shared" si="5"/>
        <v>Y = Must complete</v>
      </c>
      <c r="N99" s="568"/>
    </row>
    <row r="100" spans="1:14" s="3" customFormat="1" x14ac:dyDescent="0.2">
      <c r="A100" s="841"/>
      <c r="B100" s="607" t="str">
        <f>'WS9 - Financials'!B100</f>
        <v>Table 9.5: Balance sheet extract (General fund) - historical and forecasts for SV scenario ($'000 nominal)</v>
      </c>
      <c r="I100" s="3" t="str">
        <f t="shared" si="5"/>
        <v>Y = Must complete</v>
      </c>
      <c r="N100" s="568"/>
    </row>
    <row r="101" spans="1:14" s="3" customFormat="1" x14ac:dyDescent="0.2">
      <c r="A101" s="841"/>
      <c r="B101" s="685" t="str">
        <f>'WS10 - LTFP'!B4</f>
        <v>WORKSHEET 10: LONG TERM FINANCIAL PLAN</v>
      </c>
      <c r="N101" s="568"/>
    </row>
    <row r="102" spans="1:14" s="3" customFormat="1" x14ac:dyDescent="0.2">
      <c r="A102" s="841"/>
      <c r="B102" s="607" t="str">
        <f>'WS10 - LTFP'!B21</f>
        <v>Table 10.1(a): Income Statement- General fund - PROPOSED Special Variation Scenario ($ nominal)</v>
      </c>
      <c r="I102" s="3" t="str">
        <f>IF($D$33="minimum rate increase",$B$15,$B$14)</f>
        <v>Y = Must complete</v>
      </c>
      <c r="J102" s="3" t="str">
        <f>'WS10 - LTFP'!K21</f>
        <v>.</v>
      </c>
      <c r="N102" s="568"/>
    </row>
    <row r="103" spans="1:14" s="3" customFormat="1" x14ac:dyDescent="0.2">
      <c r="A103" s="841"/>
      <c r="B103" s="607" t="str">
        <f>'WS10 - LTFP'!B75</f>
        <v>Table 10.1(b): Cashflow Statement - General fund- PROPOSED Special Variation Scenario ($ nominal)</v>
      </c>
      <c r="I103" s="3" t="str">
        <f>IF($D$33="minimum rate increase",$B$15,$B$14)</f>
        <v>Y = Must complete</v>
      </c>
      <c r="J103" s="3" t="str">
        <f>'WS10 - LTFP'!K75</f>
        <v>.</v>
      </c>
      <c r="N103" s="568"/>
    </row>
    <row r="104" spans="1:14" s="3" customFormat="1" x14ac:dyDescent="0.2">
      <c r="A104" s="841"/>
      <c r="B104" s="607" t="str">
        <f>'WS10 - LTFP'!B167</f>
        <v xml:space="preserve">Table 10.2(a): Income Statement - General fund - BASE case scenario ($ nominal) </v>
      </c>
      <c r="I104" s="3" t="str">
        <f t="shared" si="5"/>
        <v>Y = Must complete</v>
      </c>
      <c r="N104" s="568"/>
    </row>
    <row r="105" spans="1:14" s="3" customFormat="1" x14ac:dyDescent="0.2">
      <c r="A105" s="841"/>
      <c r="B105" s="607" t="str">
        <f>'WS10 - LTFP'!B221</f>
        <v xml:space="preserve">Table 10.2(b): Cashflow Statement - General fund - BASE case scenario ($ nominal) </v>
      </c>
      <c r="I105" s="3" t="str">
        <f t="shared" si="5"/>
        <v>Y = Must complete</v>
      </c>
      <c r="N105" s="568"/>
    </row>
    <row r="106" spans="1:14" s="3" customFormat="1" x14ac:dyDescent="0.2">
      <c r="A106" s="841"/>
      <c r="B106" s="607" t="str">
        <f>'WS10 - LTFP'!B313</f>
        <v>Table 10.3: Key Assumptions</v>
      </c>
      <c r="I106" s="3" t="str">
        <f>IF($D$33="minimum rate increase",$B$16,$B$14)</f>
        <v>Y = Must complete</v>
      </c>
      <c r="J106" s="3" t="str">
        <f>'WS10 - LTFP'!K313</f>
        <v>.</v>
      </c>
      <c r="N106" s="568"/>
    </row>
    <row r="107" spans="1:14" s="3" customFormat="1" x14ac:dyDescent="0.2">
      <c r="A107" s="841"/>
      <c r="B107" s="607" t="str">
        <f>'WS10 - LTFP'!B334</f>
        <v>Table 10.4: Income Statement - General fund - Hybrid case scenario ($ nominal)</v>
      </c>
      <c r="I107" s="3" t="str">
        <f>IF($D$33="minimum rate increase",$B$15,$B$14)</f>
        <v>Y = Must complete</v>
      </c>
      <c r="J107" s="1495" t="str">
        <f>'WS10 - LTFP'!K334</f>
        <v>.</v>
      </c>
      <c r="N107" s="568"/>
    </row>
    <row r="108" spans="1:14" s="3" customFormat="1" x14ac:dyDescent="0.2">
      <c r="A108" s="841"/>
      <c r="B108" s="607" t="str">
        <f>'WS10 - LTFP'!B388</f>
        <v>Table 10.5: Difference between Scenario 1 (with proposed SV income and expenditure) and Scenario 2 (base case - no SV income or expenditure)</v>
      </c>
      <c r="I108" s="3" t="str">
        <f>IF($D$33="minimum rate increase",$B$15,$B$14)</f>
        <v>Y = Must complete</v>
      </c>
      <c r="J108" s="3" t="str">
        <f>'WS10 - LTFP'!K388</f>
        <v>.</v>
      </c>
      <c r="N108" s="568"/>
    </row>
    <row r="109" spans="1:14" s="3" customFormat="1" x14ac:dyDescent="0.2">
      <c r="A109" s="841"/>
      <c r="B109" s="685" t="str">
        <f>'WS11 - Ratios'!B4</f>
        <v>WORKSHEET 11 : FINANCIAL RATIOS</v>
      </c>
      <c r="N109" s="568"/>
    </row>
    <row r="110" spans="1:14" s="3" customFormat="1" x14ac:dyDescent="0.2">
      <c r="A110" s="841"/>
      <c r="B110" s="607" t="str">
        <f>'WS11 - Ratios'!B42</f>
        <v>Table 11.1: Sustainability</v>
      </c>
      <c r="I110" s="3" t="str">
        <f>IF($D$33="minimum rate increase",$B$16,$B$14)</f>
        <v>Y = Must complete</v>
      </c>
      <c r="J110" s="3" t="str">
        <f>'WS11 - Ratios'!E42</f>
        <v>.</v>
      </c>
      <c r="N110" s="568"/>
    </row>
    <row r="111" spans="1:14" s="3" customFormat="1" x14ac:dyDescent="0.2">
      <c r="A111" s="841"/>
      <c r="B111" s="607" t="str">
        <f>'WS11 - Ratios'!B62</f>
        <v>Table 11.2: Effective infrastructure and service management</v>
      </c>
      <c r="I111" s="3" t="str">
        <f>B16</f>
        <v>P = Partial, some tables/sections apply</v>
      </c>
      <c r="J111" s="3" t="str">
        <f>'WS11 - Ratios'!E62</f>
        <v>.</v>
      </c>
      <c r="N111" s="568"/>
    </row>
    <row r="112" spans="1:14" s="3" customFormat="1" x14ac:dyDescent="0.2">
      <c r="A112" s="841"/>
      <c r="B112" s="607" t="str">
        <f>'WS11 - Ratios'!B78</f>
        <v>Table 11.3: Financial data underlying the ratios</v>
      </c>
      <c r="I112" s="3" t="str">
        <f t="shared" ref="I112" si="6">$B$14</f>
        <v>Y = Must complete</v>
      </c>
      <c r="N112" s="568"/>
    </row>
    <row r="113" spans="1:14" s="3" customFormat="1" x14ac:dyDescent="0.2">
      <c r="A113" s="841"/>
      <c r="B113" s="685" t="str">
        <f>'WS12 - Other'!B4</f>
        <v>WORKSHEET 12: OTHER DATA</v>
      </c>
      <c r="N113" s="568"/>
    </row>
    <row r="114" spans="1:14" s="3" customFormat="1" x14ac:dyDescent="0.2">
      <c r="A114" s="841"/>
      <c r="B114" s="607" t="str">
        <f>'WS12 - Other'!B16</f>
        <v>Table 12.1: Overdue notices, rebate and hardship</v>
      </c>
      <c r="I114" s="3" t="str">
        <f t="shared" ref="I114" si="7">$B$14</f>
        <v>Y = Must complete</v>
      </c>
      <c r="N114" s="568"/>
    </row>
    <row r="115" spans="1:14" s="3" customFormat="1" x14ac:dyDescent="0.2">
      <c r="A115" s="841"/>
      <c r="B115" s="607" t="str">
        <f>'WS12 - Other'!B82</f>
        <v>Table 12.2: Rateable and non-ratable assessments</v>
      </c>
      <c r="I115" s="3" t="str">
        <f>$B$17</f>
        <v>O = Optional</v>
      </c>
      <c r="N115" s="568"/>
    </row>
    <row r="116" spans="1:14" s="3" customFormat="1" x14ac:dyDescent="0.2">
      <c r="A116" s="841"/>
      <c r="B116" s="607" t="str">
        <f>'WS12 - Other'!B90</f>
        <v>Table 12.3: Optional blank table for council to use - please do not remove year headings in rows 92 and 93</v>
      </c>
      <c r="I116" s="3" t="str">
        <f>$B$17</f>
        <v>O = Optional</v>
      </c>
      <c r="N116" s="568"/>
    </row>
    <row r="117" spans="1:14" s="3" customFormat="1" x14ac:dyDescent="0.2">
      <c r="A117" s="841"/>
      <c r="B117" s="344"/>
      <c r="C117" s="140"/>
      <c r="D117" s="140"/>
      <c r="E117" s="140"/>
      <c r="F117" s="140"/>
      <c r="G117" s="140"/>
      <c r="H117" s="140"/>
      <c r="I117" s="140"/>
      <c r="J117" s="140"/>
      <c r="K117" s="140"/>
      <c r="L117" s="140"/>
      <c r="M117" s="140"/>
      <c r="N117" s="578"/>
    </row>
    <row r="118" spans="1:14" s="3" customFormat="1" x14ac:dyDescent="0.2">
      <c r="A118" s="841"/>
    </row>
    <row r="119" spans="1:14" s="3" customFormat="1" x14ac:dyDescent="0.2">
      <c r="A119" s="841"/>
    </row>
    <row r="120" spans="1:14" s="3" customFormat="1" x14ac:dyDescent="0.2">
      <c r="A120" s="841"/>
    </row>
    <row r="121" spans="1:14" s="3" customFormat="1" x14ac:dyDescent="0.2">
      <c r="A121" s="841"/>
    </row>
    <row r="122" spans="1:14" s="3" customFormat="1" x14ac:dyDescent="0.2">
      <c r="A122" s="841"/>
    </row>
    <row r="123" spans="1:14" s="3" customFormat="1" x14ac:dyDescent="0.2">
      <c r="A123" s="841"/>
    </row>
    <row r="124" spans="1:14" s="3" customFormat="1" x14ac:dyDescent="0.2">
      <c r="A124" s="841"/>
    </row>
    <row r="125" spans="1:14" s="3" customFormat="1" x14ac:dyDescent="0.2">
      <c r="A125" s="841"/>
    </row>
    <row r="126" spans="1:14" s="3" customFormat="1" x14ac:dyDescent="0.2">
      <c r="A126" s="841"/>
    </row>
    <row r="127" spans="1:14" s="3" customFormat="1" x14ac:dyDescent="0.2">
      <c r="A127" s="841"/>
    </row>
    <row r="128" spans="1:14" s="3" customFormat="1" x14ac:dyDescent="0.2">
      <c r="A128" s="841"/>
    </row>
    <row r="129" spans="1:1" s="3" customFormat="1" x14ac:dyDescent="0.2">
      <c r="A129" s="841"/>
    </row>
    <row r="130" spans="1:1" s="3" customFormat="1" x14ac:dyDescent="0.2">
      <c r="A130" s="841"/>
    </row>
    <row r="131" spans="1:1" s="3" customFormat="1" x14ac:dyDescent="0.2">
      <c r="A131" s="841"/>
    </row>
    <row r="132" spans="1:1" s="3" customFormat="1" x14ac:dyDescent="0.2">
      <c r="A132" s="841"/>
    </row>
    <row r="133" spans="1:1" s="3" customFormat="1" x14ac:dyDescent="0.2">
      <c r="A133" s="841"/>
    </row>
    <row r="134" spans="1:1" s="3" customFormat="1" x14ac:dyDescent="0.2">
      <c r="A134" s="841"/>
    </row>
    <row r="135" spans="1:1" s="3" customFormat="1" x14ac:dyDescent="0.2">
      <c r="A135" s="841"/>
    </row>
    <row r="136" spans="1:1" s="3" customFormat="1" x14ac:dyDescent="0.2">
      <c r="A136" s="841"/>
    </row>
    <row r="137" spans="1:1" s="3" customFormat="1" x14ac:dyDescent="0.2">
      <c r="A137" s="841"/>
    </row>
    <row r="138" spans="1:1" s="3" customFormat="1" x14ac:dyDescent="0.2">
      <c r="A138" s="841"/>
    </row>
    <row r="139" spans="1:1" s="3" customFormat="1" x14ac:dyDescent="0.2">
      <c r="A139" s="841"/>
    </row>
    <row r="140" spans="1:1" s="3" customFormat="1" x14ac:dyDescent="0.2">
      <c r="A140" s="841"/>
    </row>
    <row r="141" spans="1:1" s="3" customFormat="1" x14ac:dyDescent="0.2">
      <c r="A141" s="841"/>
    </row>
  </sheetData>
  <sheetProtection algorithmName="SHA-512" hashValue="I+GA4wfNS0c3iEvce5oCW7DJB2hs+WhYAfrzWcyrj6gVZW+ht1eZwtWFugf/O4SR8snf3SLfR5MoAAlK/K09/g==" saltValue="XgOzTp56k2RxgQonBRvwaw==" spinCount="100000" sheet="1" formatColumns="0" formatRows="0"/>
  <protectedRanges>
    <protectedRange sqref="O31:O33" name="Range4_1"/>
  </protectedRanges>
  <dataValidations count="3">
    <dataValidation type="list" allowBlank="1" showInputMessage="1" showErrorMessage="1" sqref="U23:U24">
      <formula1>$C$96:$C$145</formula1>
    </dataValidation>
    <dataValidation allowBlank="1" showErrorMessage="1" error="You must select the date from the drop down list." promptTitle="Application Start Date          " prompt="Select the date of the first rating year for which this application applies" sqref="D4"/>
    <dataValidation errorStyle="warning" allowBlank="1" showInputMessage="1" showErrorMessage="1" errorTitle="Expiring variation amount" error="The expiring variation amount must be entered as a whole negative number." promptTitle="Forward yr SV % increase" sqref="O31:O33"/>
  </dataValidations>
  <pageMargins left="0.70866141732283472" right="0.70866141732283472" top="0.74803149606299213" bottom="0.74803149606299213" header="0.31496062992125984" footer="0.31496062992125984"/>
  <pageSetup paperSize="9" scale="49" fitToHeight="2"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 id="{B796B792-7239-4173-AC1E-00B2CADA97C1}">
            <xm:f>$D$33='WS0 - Input data'!$B$405</xm:f>
            <x14:dxf>
              <font>
                <color rgb="FF974706"/>
              </font>
            </x14:dxf>
          </x14:cfRule>
          <xm:sqref>J46 J91:J93 J110:J111 J41 J106:J108 J102:J103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'WS0 - Input data'!$B$404:$B$407</xm:f>
          </x14:formula1>
          <xm:sqref>D33</xm:sqref>
        </x14:dataValidation>
        <x14:dataValidation type="list" allowBlank="1" showInputMessage="1" showErrorMessage="1">
          <x14:formula1>
            <xm:f>'WS0 - Input data'!$C$68:$C$202</xm:f>
          </x14:formula1>
          <xm:sqref>D23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J213"/>
  <sheetViews>
    <sheetView showGridLines="0" zoomScaleNormal="100" workbookViewId="0">
      <selection activeCell="K49" sqref="K49"/>
    </sheetView>
  </sheetViews>
  <sheetFormatPr defaultColWidth="9.140625" defaultRowHeight="12" outlineLevelRow="1" outlineLevelCol="1" x14ac:dyDescent="0.2"/>
  <cols>
    <col min="1" max="1" width="2.7109375" style="840" customWidth="1"/>
    <col min="2" max="2" width="72.42578125" customWidth="1"/>
    <col min="3" max="3" width="8.85546875" customWidth="1"/>
    <col min="4" max="4" width="3.7109375" hidden="1" customWidth="1" outlineLevel="1"/>
    <col min="5" max="5" width="3.28515625" hidden="1" customWidth="1" outlineLevel="1"/>
    <col min="6" max="8" width="2.7109375" hidden="1" customWidth="1" outlineLevel="1"/>
    <col min="9" max="9" width="2.7109375" customWidth="1" collapsed="1"/>
    <col min="10" max="10" width="13.7109375" customWidth="1"/>
    <col min="11" max="11" width="10.140625" bestFit="1" customWidth="1"/>
    <col min="12" max="17" width="13.7109375" customWidth="1"/>
    <col min="18" max="18" width="5" customWidth="1"/>
    <col min="19" max="19" width="11" customWidth="1"/>
    <col min="20" max="20" width="14.42578125" customWidth="1"/>
    <col min="21" max="21" width="14.28515625" customWidth="1"/>
    <col min="22" max="22" width="15.85546875" hidden="1" customWidth="1" outlineLevel="1"/>
    <col min="23" max="23" width="15.140625" hidden="1" customWidth="1" outlineLevel="1"/>
    <col min="24" max="24" width="15.42578125" bestFit="1" customWidth="1" collapsed="1"/>
    <col min="25" max="31" width="15.42578125" bestFit="1" customWidth="1"/>
    <col min="32" max="32" width="9.140625" style="68" customWidth="1"/>
    <col min="33" max="34" width="9.42578125" style="68" bestFit="1" customWidth="1"/>
    <col min="35" max="36" width="9.140625" style="68" customWidth="1"/>
  </cols>
  <sheetData>
    <row r="1" spans="1:36" s="3" customFormat="1" ht="12.75" thickBot="1" x14ac:dyDescent="0.25">
      <c r="A1" s="841">
        <v>2</v>
      </c>
      <c r="AF1" s="1510"/>
      <c r="AG1" s="1510"/>
      <c r="AH1" s="1510"/>
      <c r="AI1" s="1510"/>
      <c r="AJ1" s="1510"/>
    </row>
    <row r="2" spans="1:36" s="3" customFormat="1" ht="15.75" x14ac:dyDescent="0.25">
      <c r="A2" s="841"/>
      <c r="B2" s="1549" t="str">
        <f>'WS1-Application'!B2</f>
        <v>APPLICATION FOR SPECIAL VARIATION - WILLOUGHBY CITY COUNCIL</v>
      </c>
      <c r="C2" s="1550"/>
      <c r="D2" s="1550"/>
      <c r="E2" s="1550"/>
      <c r="F2" s="1550"/>
      <c r="G2" s="1550"/>
      <c r="H2" s="1550"/>
      <c r="I2" s="1550"/>
      <c r="J2" s="1550"/>
      <c r="K2" s="1550"/>
      <c r="L2" s="1550"/>
      <c r="M2" s="1550"/>
      <c r="N2" s="1550"/>
      <c r="O2" s="1550"/>
      <c r="P2" s="1550"/>
      <c r="Q2" s="1550"/>
      <c r="R2" s="1551"/>
      <c r="AF2" s="1510"/>
      <c r="AG2" s="1510"/>
      <c r="AH2" s="1510"/>
      <c r="AI2" s="1510"/>
      <c r="AJ2" s="1510"/>
    </row>
    <row r="3" spans="1:36" s="3" customFormat="1" ht="12.75" x14ac:dyDescent="0.2">
      <c r="A3" s="841"/>
      <c r="B3" s="1552"/>
      <c r="C3" s="1542"/>
      <c r="D3" s="1542"/>
      <c r="E3" s="1542"/>
      <c r="F3" s="1542"/>
      <c r="G3" s="1542"/>
      <c r="H3" s="1542"/>
      <c r="I3" s="1542"/>
      <c r="J3" s="1542"/>
      <c r="K3" s="1542"/>
      <c r="L3" s="1542"/>
      <c r="M3" s="1542"/>
      <c r="N3" s="1542"/>
      <c r="O3" s="1542"/>
      <c r="P3" s="1542"/>
      <c r="Q3" s="1542"/>
      <c r="R3" s="1528"/>
      <c r="AF3" s="1510"/>
      <c r="AG3" s="1510"/>
      <c r="AH3" s="1510"/>
      <c r="AI3" s="1510"/>
      <c r="AJ3" s="1510"/>
    </row>
    <row r="4" spans="1:36" s="3" customFormat="1" ht="16.5" thickBot="1" x14ac:dyDescent="0.3">
      <c r="A4" s="841"/>
      <c r="B4" s="1553" t="str">
        <f>"WORKSHEET "&amp;A1&amp;" - PROPOSED "&amp;UPPER('WS1-Application'!D33)</f>
        <v>WORKSHEET 2 - PROPOSED SPECIAL VARIATION</v>
      </c>
      <c r="C4" s="1554"/>
      <c r="D4" s="1555"/>
      <c r="E4" s="1555"/>
      <c r="F4" s="1555"/>
      <c r="G4" s="1555"/>
      <c r="H4" s="1555"/>
      <c r="I4" s="1555"/>
      <c r="J4" s="1555"/>
      <c r="K4" s="1555"/>
      <c r="L4" s="1555"/>
      <c r="M4" s="1555"/>
      <c r="N4" s="1555"/>
      <c r="O4" s="1555"/>
      <c r="P4" s="1555"/>
      <c r="Q4" s="1555"/>
      <c r="R4" s="1556"/>
      <c r="AF4" s="1510"/>
      <c r="AG4" s="1510"/>
      <c r="AH4" s="1510"/>
      <c r="AI4" s="1510"/>
      <c r="AJ4" s="1510"/>
    </row>
    <row r="5" spans="1:36" s="3" customFormat="1" ht="12" customHeight="1" x14ac:dyDescent="0.2">
      <c r="A5" s="841"/>
      <c r="AF5" s="1510"/>
      <c r="AG5" s="1510"/>
      <c r="AH5" s="1510"/>
      <c r="AI5" s="1510"/>
      <c r="AJ5" s="1510"/>
    </row>
    <row r="6" spans="1:36" s="3" customFormat="1" ht="12" customHeight="1" x14ac:dyDescent="0.2">
      <c r="A6" s="841"/>
      <c r="AF6" s="1510"/>
      <c r="AG6" s="1510"/>
      <c r="AH6" s="1510"/>
      <c r="AI6" s="1510"/>
      <c r="AJ6" s="1510"/>
    </row>
    <row r="7" spans="1:36" s="3" customFormat="1" ht="12.75" x14ac:dyDescent="0.2">
      <c r="A7" s="841"/>
      <c r="B7" s="461" t="s">
        <v>496</v>
      </c>
      <c r="AF7" s="1510"/>
      <c r="AG7" s="1510"/>
      <c r="AH7" s="1510"/>
      <c r="AI7" s="1510"/>
      <c r="AJ7" s="1510"/>
    </row>
    <row r="8" spans="1:36" s="3" customFormat="1" x14ac:dyDescent="0.2">
      <c r="A8" s="841"/>
      <c r="B8" s="681" t="str">
        <f>"Table "&amp;A1&amp;"."&amp;A38</f>
        <v>Table 2.1</v>
      </c>
      <c r="C8" s="141"/>
      <c r="D8" s="141"/>
      <c r="E8" s="141"/>
      <c r="F8" s="141"/>
      <c r="G8" s="141"/>
      <c r="H8" s="141"/>
      <c r="I8" s="141"/>
      <c r="J8" s="141"/>
      <c r="K8" s="141"/>
      <c r="L8" s="141"/>
      <c r="M8" s="141"/>
      <c r="N8" s="141"/>
      <c r="O8" s="141"/>
      <c r="P8" s="141"/>
      <c r="Q8" s="141"/>
      <c r="R8" s="667"/>
      <c r="AF8" s="1510"/>
      <c r="AG8" s="1510"/>
      <c r="AH8" s="1510"/>
      <c r="AI8" s="1510"/>
      <c r="AJ8" s="1510"/>
    </row>
    <row r="9" spans="1:36" s="3" customFormat="1" x14ac:dyDescent="0.2">
      <c r="A9" s="841"/>
      <c r="B9" s="581" t="s">
        <v>516</v>
      </c>
      <c r="D9" s="1495"/>
      <c r="R9" s="568"/>
      <c r="AF9" s="1510"/>
      <c r="AG9" s="1510"/>
      <c r="AH9" s="1510"/>
      <c r="AI9" s="1510"/>
      <c r="AJ9" s="1510"/>
    </row>
    <row r="10" spans="1:36" s="3" customFormat="1" x14ac:dyDescent="0.2">
      <c r="A10" s="841"/>
      <c r="B10" s="607" t="str">
        <f>"- where the existing SV means you have an existing increase(s) above the rate peg for any year from "&amp;'WS0 - Input data'!K55&amp;" ("&amp;'WS0 - Input data'!K58&amp;")"&amp;" onwards."</f>
        <v>- where the existing SV means you have an existing increase(s) above the rate peg for any year from Year 1 (2024-25) onwards.</v>
      </c>
      <c r="D10" s="1495"/>
      <c r="R10" s="568"/>
      <c r="AF10" s="1510"/>
      <c r="AG10" s="1510"/>
      <c r="AH10" s="1510"/>
      <c r="AI10" s="1510"/>
      <c r="AJ10" s="1510"/>
    </row>
    <row r="11" spans="1:36" s="3" customFormat="1" x14ac:dyDescent="0.2">
      <c r="A11" s="841"/>
      <c r="B11" s="581" t="s">
        <v>517</v>
      </c>
      <c r="D11" s="1495"/>
      <c r="R11" s="568"/>
      <c r="AF11" s="1510"/>
      <c r="AG11" s="1510"/>
      <c r="AH11" s="1510"/>
      <c r="AI11" s="1510"/>
      <c r="AJ11" s="1510"/>
    </row>
    <row r="12" spans="1:36" s="3" customFormat="1" x14ac:dyDescent="0.2">
      <c r="A12" s="841"/>
      <c r="B12" s="609" t="s">
        <v>518</v>
      </c>
      <c r="R12" s="568"/>
      <c r="AF12" s="1510"/>
      <c r="AG12" s="1510"/>
      <c r="AH12" s="1510"/>
      <c r="AI12" s="1510"/>
      <c r="AJ12" s="1510"/>
    </row>
    <row r="13" spans="1:36" s="3" customFormat="1" x14ac:dyDescent="0.2">
      <c r="A13" s="841"/>
      <c r="B13" s="607" t="str">
        <f>"- Enter the $ value of expiring SVs in table "&amp;A1&amp;"."&amp;A54&amp;" (row "&amp;ROW('WS2-Proposal'!B91)&amp;")"</f>
        <v>- Enter the $ value of expiring SVs in table 2.2 (row 91)</v>
      </c>
      <c r="R13" s="568"/>
      <c r="AF13" s="1510"/>
      <c r="AG13" s="1510"/>
      <c r="AH13" s="1510"/>
      <c r="AI13" s="1510"/>
      <c r="AJ13" s="1510"/>
    </row>
    <row r="14" spans="1:36" s="3" customFormat="1" x14ac:dyDescent="0.2">
      <c r="A14" s="841"/>
      <c r="B14" s="693" t="s">
        <v>519</v>
      </c>
      <c r="R14" s="568"/>
      <c r="AF14" s="1510"/>
      <c r="AG14" s="1510"/>
      <c r="AH14" s="1510"/>
      <c r="AI14" s="1510"/>
      <c r="AJ14" s="1510"/>
    </row>
    <row r="15" spans="1:36" s="3" customFormat="1" x14ac:dyDescent="0.2">
      <c r="A15" s="841"/>
      <c r="B15" s="581" t="s">
        <v>520</v>
      </c>
      <c r="D15" s="1495"/>
      <c r="R15" s="568"/>
      <c r="AF15" s="1510"/>
      <c r="AG15" s="1510"/>
      <c r="AH15" s="1510"/>
      <c r="AI15" s="1510"/>
      <c r="AJ15" s="1510"/>
    </row>
    <row r="16" spans="1:36" s="3" customFormat="1" x14ac:dyDescent="0.2">
      <c r="A16" s="841"/>
      <c r="B16" s="609" t="s">
        <v>521</v>
      </c>
      <c r="C16" s="16"/>
      <c r="R16" s="568"/>
      <c r="AF16" s="1510"/>
      <c r="AG16" s="1510"/>
      <c r="AH16" s="1510"/>
      <c r="AI16" s="1510"/>
      <c r="AJ16" s="1510"/>
    </row>
    <row r="17" spans="1:36" s="3" customFormat="1" x14ac:dyDescent="0.2">
      <c r="A17" s="841"/>
      <c r="B17" s="693" t="s">
        <v>522</v>
      </c>
      <c r="C17" s="16"/>
      <c r="R17" s="568"/>
      <c r="AF17" s="1510"/>
      <c r="AG17" s="1510"/>
      <c r="AH17" s="1510"/>
      <c r="AI17" s="1510"/>
      <c r="AJ17" s="1510"/>
    </row>
    <row r="18" spans="1:36" s="3" customFormat="1" x14ac:dyDescent="0.2">
      <c r="A18" s="841"/>
      <c r="B18" s="685" t="str">
        <f>"Table "&amp;A1&amp;"."&amp;A54</f>
        <v>Table 2.2</v>
      </c>
      <c r="C18" s="16"/>
      <c r="R18" s="568"/>
      <c r="AF18" s="1510"/>
      <c r="AG18" s="1510"/>
      <c r="AH18" s="1510"/>
      <c r="AI18" s="1510"/>
      <c r="AJ18" s="1510"/>
    </row>
    <row r="19" spans="1:36" s="3" customFormat="1" x14ac:dyDescent="0.2">
      <c r="A19" s="841"/>
      <c r="B19" s="1511" t="s">
        <v>523</v>
      </c>
      <c r="C19" s="16"/>
      <c r="R19" s="568"/>
      <c r="AF19" s="1510"/>
      <c r="AG19" s="1510"/>
      <c r="AH19" s="1510"/>
      <c r="AI19" s="1510"/>
      <c r="AJ19" s="1510"/>
    </row>
    <row r="20" spans="1:36" s="3" customFormat="1" x14ac:dyDescent="0.2">
      <c r="A20" s="841"/>
      <c r="B20" s="581" t="s">
        <v>524</v>
      </c>
      <c r="C20" s="16"/>
      <c r="R20" s="568"/>
      <c r="AF20" s="1510"/>
      <c r="AG20" s="1510"/>
      <c r="AH20" s="1510"/>
      <c r="AI20" s="1510"/>
      <c r="AJ20" s="1510"/>
    </row>
    <row r="21" spans="1:36" s="3" customFormat="1" x14ac:dyDescent="0.2">
      <c r="A21" s="841"/>
      <c r="B21" s="652" t="s">
        <v>525</v>
      </c>
      <c r="C21" s="16"/>
      <c r="R21" s="568"/>
      <c r="AF21" s="1510"/>
      <c r="AG21" s="1510"/>
      <c r="AH21" s="1510"/>
      <c r="AI21" s="1510"/>
      <c r="AJ21" s="1510"/>
    </row>
    <row r="22" spans="1:36" s="3" customFormat="1" x14ac:dyDescent="0.2">
      <c r="A22" s="841"/>
      <c r="B22" s="581" t="str">
        <f>"&gt; Enter the rate peg (to 2 decimal places) assumed by council for each year of the proposed SV period at row "&amp;ROW(B78)&amp;":"</f>
        <v>&gt; Enter the rate peg (to 2 decimal places) assumed by council for each year of the proposed SV period at row 78:</v>
      </c>
      <c r="C22" s="16"/>
      <c r="R22" s="568"/>
      <c r="AF22" s="1510"/>
      <c r="AG22" s="1510"/>
      <c r="AH22" s="1510"/>
      <c r="AI22" s="1510"/>
      <c r="AJ22" s="1510"/>
    </row>
    <row r="23" spans="1:36" s="3" customFormat="1" x14ac:dyDescent="0.2">
      <c r="A23" s="841"/>
      <c r="B23" s="652" t="s">
        <v>526</v>
      </c>
      <c r="C23" s="16"/>
      <c r="R23" s="568"/>
      <c r="AF23" s="1510"/>
      <c r="AG23" s="1510"/>
      <c r="AH23" s="1510"/>
      <c r="AI23" s="1510"/>
      <c r="AJ23" s="1510"/>
    </row>
    <row r="24" spans="1:36" s="3" customFormat="1" x14ac:dyDescent="0.2">
      <c r="A24" s="841"/>
      <c r="B24" s="652" t="s">
        <v>527</v>
      </c>
      <c r="C24" s="16"/>
      <c r="R24" s="568"/>
      <c r="AF24" s="1510"/>
      <c r="AG24" s="1510"/>
      <c r="AH24" s="1510"/>
      <c r="AI24" s="1510"/>
      <c r="AJ24" s="1510"/>
    </row>
    <row r="25" spans="1:36" s="3" customFormat="1" x14ac:dyDescent="0.2">
      <c r="A25" s="841"/>
      <c r="B25" s="652" t="s">
        <v>528</v>
      </c>
      <c r="C25" s="16"/>
      <c r="R25" s="568"/>
      <c r="AF25" s="1510"/>
      <c r="AG25" s="1510"/>
      <c r="AH25" s="1510"/>
      <c r="AI25" s="1510"/>
      <c r="AJ25" s="1510"/>
    </row>
    <row r="26" spans="1:36" s="3" customFormat="1" x14ac:dyDescent="0.2">
      <c r="A26" s="841"/>
      <c r="B26" s="581" t="str">
        <f>"&gt; Enter the additional percentage (to 2 decimal places) being sought above the rate peg (excluding other adjustments) for year 1 ("&amp;'WS0 - Input data'!K58&amp;") at row "&amp;ROW(B63)</f>
        <v>&gt; Enter the additional percentage (to 2 decimal places) being sought above the rate peg (excluding other adjustments) for year 1 (2024-25) at row 63</v>
      </c>
      <c r="C26" s="16"/>
      <c r="R26" s="568"/>
      <c r="AF26" s="1510"/>
      <c r="AG26" s="1510"/>
      <c r="AH26" s="1510"/>
      <c r="AI26" s="1510"/>
      <c r="AJ26" s="1510"/>
    </row>
    <row r="27" spans="1:36" s="3" customFormat="1" x14ac:dyDescent="0.2">
      <c r="A27" s="841"/>
      <c r="B27" s="581" t="str">
        <f>"&gt; Enter the total proposed SV percentages (to 2 decimal places and including the rate peg and existing SV income) for the other years (year 2 onwards) of the proposed period at row "&amp;ROW(B84) &amp;" [blue highlight cells]:"</f>
        <v>&gt; Enter the total proposed SV percentages (to 2 decimal places and including the rate peg and existing SV income) for the other years (year 2 onwards) of the proposed period at row 84 [blue highlight cells]:</v>
      </c>
      <c r="D27" s="1495"/>
      <c r="R27" s="568"/>
      <c r="AF27" s="1510"/>
      <c r="AG27" s="1510"/>
      <c r="AH27" s="1510"/>
      <c r="AI27" s="1510"/>
      <c r="AJ27" s="1510"/>
    </row>
    <row r="28" spans="1:36" s="3" customFormat="1" x14ac:dyDescent="0.2">
      <c r="A28" s="841"/>
      <c r="B28" s="652" t="str">
        <f>"The annual and cumulative increases in the white cells at row "&amp;ROW(B85)&amp;" are automatically calculated once the requested percentages increases have been entered."</f>
        <v>The annual and cumulative increases in the white cells at row 85 are automatically calculated once the requested percentages increases have been entered.</v>
      </c>
      <c r="D28" s="1495"/>
      <c r="R28" s="568"/>
      <c r="AF28" s="1510"/>
      <c r="AG28" s="1510"/>
      <c r="AH28" s="1510"/>
      <c r="AI28" s="1510"/>
      <c r="AJ28" s="1510"/>
    </row>
    <row r="29" spans="1:36" s="3" customFormat="1" x14ac:dyDescent="0.2">
      <c r="A29" s="841"/>
      <c r="B29" s="581" t="str">
        <f>"&gt; Enter the dollar value of expiring special variations at row "&amp;ROW(B90)&amp;"."</f>
        <v>&gt; Enter the dollar value of expiring special variations at row 90.</v>
      </c>
      <c r="C29" s="1495"/>
      <c r="D29" s="1495"/>
      <c r="R29" s="568"/>
      <c r="AF29" s="1510"/>
      <c r="AG29" s="1510"/>
      <c r="AH29" s="1510"/>
      <c r="AI29" s="1510"/>
      <c r="AJ29" s="1510"/>
    </row>
    <row r="30" spans="1:36" s="3" customFormat="1" ht="5.25" customHeight="1" x14ac:dyDescent="0.2">
      <c r="A30" s="841"/>
      <c r="B30" s="607"/>
      <c r="C30" s="1495"/>
      <c r="D30" s="1495"/>
      <c r="R30" s="568"/>
      <c r="AF30" s="1510"/>
      <c r="AG30" s="1510"/>
      <c r="AH30" s="1510"/>
      <c r="AI30" s="1510"/>
      <c r="AJ30" s="1510"/>
    </row>
    <row r="31" spans="1:36" s="3" customFormat="1" x14ac:dyDescent="0.2">
      <c r="A31" s="841"/>
      <c r="B31" s="1511" t="s">
        <v>529</v>
      </c>
      <c r="C31" s="1495"/>
      <c r="D31" s="1495"/>
      <c r="R31" s="568"/>
      <c r="AF31" s="1510"/>
      <c r="AG31" s="1510"/>
      <c r="AH31" s="1510"/>
      <c r="AI31" s="1510"/>
      <c r="AJ31" s="1510"/>
    </row>
    <row r="32" spans="1:36" s="3" customFormat="1" x14ac:dyDescent="0.2">
      <c r="A32" s="841"/>
      <c r="B32" s="581" t="str">
        <f>"&gt; Please follow instructions at column "&amp;LOOKUP(COLUMN($L$55),'WS0 - Input data'!$B$411:$B$431,'WS0 - Input data'!$C$411:$C$431)&amp;" at rows "&amp;ROW(L57)&amp;" to row "&amp;ROW(L63)&amp; " for each of the blue input cells at column "&amp;LOOKUP(COLUMN($K$55),'WS0 - Input data'!$B$411:$B$431,'WS0 - Input data'!$C$411:$C$431)</f>
        <v>&gt; Please follow instructions at column L at rows 57 to row 63 for each of the blue input cells at column K</v>
      </c>
      <c r="C32" s="1495"/>
      <c r="D32" s="1495"/>
      <c r="R32" s="568"/>
      <c r="AF32" s="1510"/>
      <c r="AG32" s="1510"/>
      <c r="AH32" s="1510"/>
      <c r="AI32" s="1510"/>
      <c r="AJ32" s="1510"/>
    </row>
    <row r="33" spans="1:36" s="3" customFormat="1" x14ac:dyDescent="0.2">
      <c r="A33" s="841"/>
      <c r="B33" s="581" t="str">
        <f>"&gt; At row "&amp;ROW(B78)&amp;" blue input cells, enter the rate peg percentages used by council if different to the 2.5% advised by OLG. If council uses 2.5%, council can either leave this row blank or enter 2.5%"</f>
        <v>&gt; At row 78 blue input cells, enter the rate peg percentages used by council if different to the 2.5% advised by OLG. If council uses 2.5%, council can either leave this row blank or enter 2.5%</v>
      </c>
      <c r="C33" s="1495"/>
      <c r="D33" s="1495"/>
      <c r="R33" s="568"/>
      <c r="AF33" s="424"/>
      <c r="AG33" s="424"/>
      <c r="AH33" s="424"/>
      <c r="AI33" s="424"/>
      <c r="AJ33" s="424"/>
    </row>
    <row r="34" spans="1:36" s="3" customFormat="1" x14ac:dyDescent="0.2">
      <c r="A34" s="841"/>
      <c r="B34" s="581" t="str">
        <f>"&gt; Leave the blue input cells at row "&amp;ROW(B84)&amp;" blank"</f>
        <v>&gt; Leave the blue input cells at row 84 blank</v>
      </c>
      <c r="C34" s="1495"/>
      <c r="D34" s="1495"/>
      <c r="R34" s="568"/>
      <c r="AF34" s="424"/>
      <c r="AG34" s="424"/>
      <c r="AH34" s="424"/>
      <c r="AI34" s="424"/>
      <c r="AJ34" s="424"/>
    </row>
    <row r="35" spans="1:36" s="3" customFormat="1" x14ac:dyDescent="0.2">
      <c r="A35" s="841"/>
      <c r="B35" s="600"/>
      <c r="C35" s="140"/>
      <c r="D35" s="140"/>
      <c r="E35" s="140"/>
      <c r="F35" s="140"/>
      <c r="G35" s="140"/>
      <c r="H35" s="140"/>
      <c r="I35" s="140"/>
      <c r="J35" s="140"/>
      <c r="K35" s="140"/>
      <c r="L35" s="140"/>
      <c r="M35" s="140"/>
      <c r="N35" s="140"/>
      <c r="O35" s="140"/>
      <c r="P35" s="140"/>
      <c r="Q35" s="140"/>
      <c r="R35" s="578"/>
      <c r="AF35" s="424"/>
      <c r="AG35" s="424"/>
      <c r="AH35" s="424"/>
      <c r="AI35" s="424"/>
      <c r="AJ35" s="424"/>
    </row>
    <row r="36" spans="1:36" s="3" customFormat="1" ht="12" customHeight="1" x14ac:dyDescent="0.2">
      <c r="A36" s="841"/>
      <c r="AF36" s="1510"/>
      <c r="AG36" s="1510"/>
      <c r="AH36" s="1510"/>
      <c r="AI36" s="1510"/>
      <c r="AJ36" s="1510"/>
    </row>
    <row r="37" spans="1:36" s="3" customFormat="1" ht="12" customHeight="1" x14ac:dyDescent="0.2">
      <c r="A37" s="841"/>
      <c r="AF37" s="1510"/>
      <c r="AG37" s="1510"/>
      <c r="AH37" s="1510"/>
      <c r="AI37" s="1510"/>
      <c r="AJ37" s="1510"/>
    </row>
    <row r="38" spans="1:36" ht="12.75" x14ac:dyDescent="0.2">
      <c r="A38" s="841">
        <v>1</v>
      </c>
      <c r="B38" s="461" t="str">
        <f>"Table "&amp;A1&amp;"."&amp;A38&amp;": Existing and expiring special variations and adjustments"</f>
        <v>Table 2.1: Existing and expiring special variations and adjustments</v>
      </c>
      <c r="C38" s="3"/>
      <c r="D38" s="3"/>
      <c r="E38" s="3"/>
      <c r="F38" s="3"/>
      <c r="G38" s="3"/>
      <c r="H38" s="3"/>
      <c r="I38" s="3"/>
      <c r="J38" s="2"/>
      <c r="K38" s="3"/>
      <c r="L38" s="2"/>
      <c r="M38" s="2"/>
      <c r="N38" s="16"/>
      <c r="O38" s="278"/>
      <c r="P38" s="3"/>
      <c r="Q38" s="2"/>
      <c r="R38" s="3"/>
      <c r="S38" s="3"/>
      <c r="T38" s="3"/>
      <c r="U38" s="3"/>
      <c r="V38" s="3"/>
      <c r="W38" s="3"/>
      <c r="X38" s="3"/>
      <c r="Y38" s="3"/>
      <c r="Z38" s="3"/>
      <c r="AA38" s="3"/>
      <c r="AB38" s="3"/>
      <c r="AC38" s="3"/>
      <c r="AD38" s="3"/>
      <c r="AE38" s="3"/>
      <c r="AF38"/>
      <c r="AG38"/>
      <c r="AH38"/>
      <c r="AI38"/>
      <c r="AJ38"/>
    </row>
    <row r="39" spans="1:36" x14ac:dyDescent="0.2">
      <c r="A39" s="841"/>
      <c r="B39" s="694" t="s">
        <v>530</v>
      </c>
      <c r="C39" s="141"/>
      <c r="D39" s="141"/>
      <c r="E39" s="141"/>
      <c r="F39" s="141"/>
      <c r="G39" s="141"/>
      <c r="H39" s="695"/>
      <c r="I39" s="141"/>
      <c r="J39" s="695"/>
      <c r="K39" s="695"/>
      <c r="L39" s="141"/>
      <c r="M39" s="141"/>
      <c r="N39" s="696"/>
      <c r="O39" s="696"/>
      <c r="P39" s="696"/>
      <c r="Q39" s="696"/>
      <c r="R39" s="697"/>
      <c r="S39" s="3"/>
      <c r="T39" s="3"/>
      <c r="U39" s="3"/>
      <c r="V39" s="3"/>
      <c r="W39" s="167" t="s">
        <v>46</v>
      </c>
      <c r="X39" s="3"/>
      <c r="Y39" s="3"/>
      <c r="Z39" s="3"/>
      <c r="AA39" s="3"/>
      <c r="AB39" s="3"/>
      <c r="AC39" s="3"/>
      <c r="AD39" s="3"/>
      <c r="AE39" s="3"/>
      <c r="AF39"/>
      <c r="AG39"/>
      <c r="AH39"/>
      <c r="AI39"/>
      <c r="AJ39"/>
    </row>
    <row r="40" spans="1:36" ht="26.25" customHeight="1" x14ac:dyDescent="0.2">
      <c r="A40" s="841"/>
      <c r="B40" s="1265" t="str">
        <f>"Does the council have any existing SV(s) that means it has an increase above the rate peg for any year from "&amp;K72&amp;" ("&amp;K71&amp;") onwards?"</f>
        <v>Does the council have any existing SV(s) that means it has an increase above the rate peg for any year from 2024-25 (Year 1) onwards?</v>
      </c>
      <c r="C40" s="628"/>
      <c r="D40" s="628"/>
      <c r="E40" s="628"/>
      <c r="F40" s="628"/>
      <c r="G40" s="628"/>
      <c r="H40" s="628"/>
      <c r="I40" s="628"/>
      <c r="J40" s="2"/>
      <c r="K40" s="617" t="s">
        <v>259</v>
      </c>
      <c r="L40" s="1495" t="s">
        <v>534</v>
      </c>
      <c r="M40" s="2"/>
      <c r="N40" s="3"/>
      <c r="O40" s="3"/>
      <c r="P40" s="3"/>
      <c r="Q40" s="3"/>
      <c r="R40" s="568"/>
      <c r="S40" s="3"/>
      <c r="T40" s="3"/>
      <c r="U40" s="3"/>
      <c r="V40" s="3"/>
      <c r="W40" s="289">
        <f>IF(K40='WS0 - Input data'!B249,1,2)</f>
        <v>2</v>
      </c>
      <c r="X40" s="3"/>
      <c r="Y40" s="3"/>
      <c r="Z40" s="3"/>
      <c r="AA40" s="3"/>
      <c r="AB40" s="3"/>
      <c r="AC40" s="3"/>
      <c r="AD40" s="3"/>
      <c r="AE40" s="3"/>
      <c r="AF40"/>
      <c r="AG40"/>
      <c r="AH40"/>
      <c r="AI40"/>
      <c r="AJ40"/>
    </row>
    <row r="41" spans="1:36" ht="2.25" customHeight="1" x14ac:dyDescent="0.2">
      <c r="A41" s="841"/>
      <c r="B41" s="581"/>
      <c r="C41" s="3"/>
      <c r="D41" s="3"/>
      <c r="E41" s="3"/>
      <c r="F41" s="3"/>
      <c r="G41" s="3"/>
      <c r="H41" s="3"/>
      <c r="I41" s="3"/>
      <c r="J41" s="2"/>
      <c r="K41" s="3"/>
      <c r="L41" s="2"/>
      <c r="M41" s="2"/>
      <c r="N41" s="3"/>
      <c r="O41" s="3"/>
      <c r="P41" s="3"/>
      <c r="Q41" s="3"/>
      <c r="R41" s="568"/>
      <c r="S41" s="3"/>
      <c r="T41" s="3"/>
      <c r="U41" s="3"/>
      <c r="V41" s="3"/>
      <c r="W41" s="3"/>
      <c r="X41" s="3"/>
      <c r="Y41" s="3"/>
      <c r="Z41" s="3"/>
      <c r="AA41" s="3"/>
      <c r="AB41" s="3"/>
      <c r="AC41" s="3"/>
      <c r="AD41" s="3"/>
      <c r="AE41" s="3"/>
      <c r="AF41"/>
      <c r="AG41"/>
      <c r="AH41"/>
      <c r="AI41"/>
      <c r="AJ41"/>
    </row>
    <row r="42" spans="1:36" x14ac:dyDescent="0.2">
      <c r="A42" s="841"/>
      <c r="B42" s="668" t="s">
        <v>531</v>
      </c>
      <c r="C42" s="3"/>
      <c r="D42" s="3"/>
      <c r="E42" s="3"/>
      <c r="F42" s="3"/>
      <c r="G42" s="3"/>
      <c r="H42" s="3"/>
      <c r="I42" s="3"/>
      <c r="J42" s="2"/>
      <c r="K42" s="3"/>
      <c r="L42" s="2"/>
      <c r="M42" s="2"/>
      <c r="N42" s="3"/>
      <c r="O42" s="3"/>
      <c r="P42" s="3"/>
      <c r="Q42" s="3"/>
      <c r="R42" s="568"/>
      <c r="S42" s="3"/>
      <c r="T42" s="2"/>
      <c r="U42" s="2"/>
      <c r="V42" s="3"/>
      <c r="W42" s="3"/>
      <c r="X42" s="3"/>
      <c r="Y42" s="3"/>
      <c r="Z42" s="3"/>
      <c r="AA42" s="3"/>
      <c r="AB42" s="3"/>
      <c r="AC42" s="3"/>
      <c r="AD42" s="3"/>
      <c r="AE42" s="3"/>
      <c r="AF42"/>
      <c r="AG42"/>
      <c r="AH42"/>
      <c r="AI42"/>
      <c r="AJ42"/>
    </row>
    <row r="43" spans="1:36" ht="15" customHeight="1" x14ac:dyDescent="0.2">
      <c r="A43" s="841"/>
      <c r="B43" s="581" t="s">
        <v>532</v>
      </c>
      <c r="C43" s="1495" t="s">
        <v>533</v>
      </c>
      <c r="D43" s="3"/>
      <c r="E43" s="3"/>
      <c r="F43" s="3"/>
      <c r="G43" s="3"/>
      <c r="H43" s="3"/>
      <c r="I43" s="3"/>
      <c r="J43" s="3"/>
      <c r="K43" s="105" t="s">
        <v>254</v>
      </c>
      <c r="L43" s="1495" t="s">
        <v>534</v>
      </c>
      <c r="M43" s="3"/>
      <c r="N43" s="3"/>
      <c r="O43" s="3"/>
      <c r="P43" s="3"/>
      <c r="Q43" s="3"/>
      <c r="R43" s="568"/>
      <c r="S43" s="3"/>
      <c r="T43" s="3"/>
      <c r="U43" s="126"/>
      <c r="V43" s="3"/>
      <c r="W43" s="3"/>
      <c r="X43" s="3"/>
      <c r="Y43" s="3"/>
      <c r="Z43" s="3"/>
      <c r="AA43" s="3"/>
      <c r="AB43" s="3"/>
      <c r="AC43" s="3"/>
      <c r="AD43" s="3"/>
      <c r="AE43" s="3"/>
      <c r="AF43"/>
      <c r="AG43"/>
      <c r="AH43"/>
      <c r="AI43"/>
      <c r="AJ43"/>
    </row>
    <row r="44" spans="1:36" ht="15" customHeight="1" x14ac:dyDescent="0.2">
      <c r="A44" s="841"/>
      <c r="B44" s="299"/>
      <c r="C44" s="1495" t="s">
        <v>535</v>
      </c>
      <c r="D44" s="3"/>
      <c r="E44" s="3"/>
      <c r="F44" s="3"/>
      <c r="G44" s="3"/>
      <c r="H44" s="3"/>
      <c r="I44" s="3"/>
      <c r="J44" s="3"/>
      <c r="K44" s="105" t="s">
        <v>254</v>
      </c>
      <c r="L44" s="1495" t="s">
        <v>534</v>
      </c>
      <c r="M44" s="3"/>
      <c r="N44" s="3"/>
      <c r="O44" s="3"/>
      <c r="P44" s="3"/>
      <c r="Q44" s="3"/>
      <c r="R44" s="568"/>
      <c r="S44" s="3"/>
      <c r="T44" s="3"/>
      <c r="U44" s="126"/>
      <c r="V44" s="3"/>
      <c r="W44" s="3"/>
      <c r="X44" s="3"/>
      <c r="Y44" s="3"/>
      <c r="Z44" s="3"/>
      <c r="AA44" s="3"/>
      <c r="AB44" s="3"/>
      <c r="AC44" s="3"/>
      <c r="AD44" s="3"/>
      <c r="AE44" s="3"/>
      <c r="AF44"/>
      <c r="AG44"/>
      <c r="AH44"/>
      <c r="AI44"/>
      <c r="AJ44"/>
    </row>
    <row r="45" spans="1:36" ht="15" customHeight="1" x14ac:dyDescent="0.2">
      <c r="A45" s="841"/>
      <c r="B45" s="581" t="str">
        <f>"If the council has an expiring variation, enter the $ amount expiring in row "&amp;ROW(B91)&amp;" below."</f>
        <v>If the council has an expiring variation, enter the $ amount expiring in row 91 below.</v>
      </c>
      <c r="C45" s="3"/>
      <c r="D45" s="3"/>
      <c r="E45" s="3"/>
      <c r="F45" s="3"/>
      <c r="G45" s="3"/>
      <c r="H45" s="3"/>
      <c r="I45" s="3"/>
      <c r="J45" s="3"/>
      <c r="K45" s="3"/>
      <c r="L45" s="2"/>
      <c r="M45" s="2"/>
      <c r="N45" s="2"/>
      <c r="O45" s="2"/>
      <c r="P45" s="2"/>
      <c r="Q45" s="2"/>
      <c r="R45" s="699"/>
      <c r="S45" s="3"/>
      <c r="T45" s="3"/>
      <c r="U45" s="3"/>
      <c r="V45" s="3"/>
      <c r="W45" s="3"/>
      <c r="X45" s="3"/>
      <c r="Y45" s="3"/>
      <c r="Z45" s="3"/>
      <c r="AA45" s="3"/>
      <c r="AB45" s="3"/>
      <c r="AC45" s="3"/>
      <c r="AD45" s="3"/>
      <c r="AE45" s="3"/>
      <c r="AF45"/>
      <c r="AG45"/>
      <c r="AH45"/>
      <c r="AI45"/>
      <c r="AJ45"/>
    </row>
    <row r="46" spans="1:36" ht="5.25" customHeight="1" x14ac:dyDescent="0.2">
      <c r="A46" s="841"/>
      <c r="B46" s="299"/>
      <c r="C46" s="3"/>
      <c r="D46" s="3"/>
      <c r="E46" s="3"/>
      <c r="F46" s="3"/>
      <c r="G46" s="3"/>
      <c r="H46" s="3"/>
      <c r="I46" s="3"/>
      <c r="J46" s="3"/>
      <c r="K46" s="3"/>
      <c r="L46" s="2"/>
      <c r="M46" s="2"/>
      <c r="N46" s="2"/>
      <c r="O46" s="2"/>
      <c r="P46" s="2"/>
      <c r="Q46" s="2"/>
      <c r="R46" s="699"/>
      <c r="S46" s="3"/>
      <c r="T46" s="3"/>
      <c r="U46" s="3"/>
      <c r="V46" s="3"/>
      <c r="W46" s="3"/>
      <c r="X46" s="3"/>
      <c r="Y46" s="3"/>
      <c r="Z46" s="3"/>
      <c r="AA46" s="3"/>
      <c r="AB46" s="3"/>
      <c r="AC46" s="3"/>
      <c r="AD46" s="3"/>
      <c r="AE46" s="3"/>
      <c r="AF46"/>
      <c r="AG46"/>
      <c r="AH46"/>
      <c r="AI46"/>
      <c r="AJ46"/>
    </row>
    <row r="47" spans="1:36" ht="24" x14ac:dyDescent="0.2">
      <c r="A47" s="841"/>
      <c r="B47" s="692" t="s">
        <v>536</v>
      </c>
      <c r="C47" s="3"/>
      <c r="D47" s="3"/>
      <c r="E47" s="3"/>
      <c r="F47" s="3"/>
      <c r="G47" s="3"/>
      <c r="H47" s="3"/>
      <c r="I47" s="3"/>
      <c r="J47" s="3"/>
      <c r="K47" s="74" t="s">
        <v>116</v>
      </c>
      <c r="L47" s="618" t="s">
        <v>537</v>
      </c>
      <c r="M47" s="3"/>
      <c r="N47" s="3"/>
      <c r="O47" s="3"/>
      <c r="P47" s="3"/>
      <c r="Q47" s="3"/>
      <c r="R47" s="568"/>
      <c r="S47" s="3"/>
      <c r="T47" s="3"/>
      <c r="U47" s="3"/>
      <c r="V47" s="3"/>
      <c r="W47" s="3"/>
      <c r="X47" s="3"/>
      <c r="Y47" s="3"/>
      <c r="Z47" s="3"/>
      <c r="AA47" s="3"/>
      <c r="AB47" s="3"/>
      <c r="AC47" s="3"/>
      <c r="AD47" s="3"/>
      <c r="AE47" s="3"/>
      <c r="AF47"/>
      <c r="AG47"/>
      <c r="AH47"/>
      <c r="AI47"/>
      <c r="AJ47"/>
    </row>
    <row r="48" spans="1:36" x14ac:dyDescent="0.2">
      <c r="A48" s="841"/>
      <c r="B48" s="581" t="s">
        <v>538</v>
      </c>
      <c r="C48" s="3"/>
      <c r="D48" s="3"/>
      <c r="E48" s="3"/>
      <c r="F48" s="3"/>
      <c r="G48" s="3"/>
      <c r="H48" s="3"/>
      <c r="I48" s="3"/>
      <c r="J48" s="3"/>
      <c r="K48" s="619">
        <v>0</v>
      </c>
      <c r="L48" s="1509">
        <f>IF('WS3 - Notional General Income'!$L$163-$J$91=0,0,K48/('WS3 - Notional General Income'!$L$163-$J$91))</f>
        <v>0</v>
      </c>
      <c r="M48" s="1495" t="s">
        <v>539</v>
      </c>
      <c r="N48" s="3"/>
      <c r="O48" s="3"/>
      <c r="P48" s="3"/>
      <c r="Q48" s="3"/>
      <c r="R48" s="568"/>
      <c r="S48" s="3"/>
      <c r="T48" s="3"/>
      <c r="U48" s="3"/>
      <c r="V48" s="3"/>
      <c r="W48" s="3"/>
      <c r="X48" s="3"/>
      <c r="Y48" s="3"/>
      <c r="Z48" s="3"/>
      <c r="AA48" s="3"/>
      <c r="AB48" s="3"/>
      <c r="AC48" s="3"/>
      <c r="AD48" s="3"/>
      <c r="AE48" s="3"/>
      <c r="AF48"/>
      <c r="AG48"/>
      <c r="AH48"/>
      <c r="AI48"/>
      <c r="AJ48"/>
    </row>
    <row r="49" spans="1:36" x14ac:dyDescent="0.2">
      <c r="A49" s="841"/>
      <c r="B49" s="581" t="s">
        <v>540</v>
      </c>
      <c r="C49" s="3"/>
      <c r="D49" s="3"/>
      <c r="E49" s="3"/>
      <c r="F49" s="3"/>
      <c r="G49" s="3"/>
      <c r="H49" s="3"/>
      <c r="I49" s="3"/>
      <c r="J49" s="3"/>
      <c r="K49" s="619">
        <v>1784</v>
      </c>
      <c r="L49" s="1509">
        <f>IF('WS3 - Notional General Income'!$L$163-$J$91=0,0,K49/('WS3 - Notional General Income'!$L$163-$J$91))</f>
        <v>3.282307697947994E-5</v>
      </c>
      <c r="M49" s="1495" t="str">
        <f>M48</f>
        <v xml:space="preserve">enter $ </v>
      </c>
      <c r="N49" s="3"/>
      <c r="O49" s="3"/>
      <c r="P49" s="3"/>
      <c r="Q49" s="3"/>
      <c r="R49" s="568"/>
      <c r="S49" s="3"/>
      <c r="T49" s="3"/>
      <c r="U49" s="3"/>
      <c r="V49" s="3"/>
      <c r="W49" s="3"/>
      <c r="X49" s="3"/>
      <c r="Y49" s="3"/>
      <c r="Z49" s="3"/>
      <c r="AA49" s="3"/>
      <c r="AB49" s="3"/>
      <c r="AC49" s="3"/>
      <c r="AD49" s="3"/>
      <c r="AE49" s="3"/>
      <c r="AF49"/>
      <c r="AG49"/>
      <c r="AH49"/>
      <c r="AI49"/>
      <c r="AJ49"/>
    </row>
    <row r="50" spans="1:36" x14ac:dyDescent="0.2">
      <c r="A50" s="841"/>
      <c r="B50" s="581" t="s">
        <v>541</v>
      </c>
      <c r="C50" s="3"/>
      <c r="D50" s="3"/>
      <c r="E50" s="3"/>
      <c r="F50" s="3"/>
      <c r="G50" s="3"/>
      <c r="H50" s="3"/>
      <c r="I50" s="3"/>
      <c r="J50" s="3"/>
      <c r="K50" s="619">
        <v>0</v>
      </c>
      <c r="L50" s="1509">
        <f>IF('WS3 - Notional General Income'!$L$163-$J$91=0,0,K50/('WS3 - Notional General Income'!$L$163-$J$91))</f>
        <v>0</v>
      </c>
      <c r="M50" s="1495" t="str">
        <f>M49</f>
        <v xml:space="preserve">enter $ </v>
      </c>
      <c r="N50" s="3"/>
      <c r="O50" s="3"/>
      <c r="P50" s="3"/>
      <c r="Q50" s="3"/>
      <c r="R50" s="568"/>
      <c r="S50" s="3"/>
      <c r="T50" s="3"/>
      <c r="U50" s="3"/>
      <c r="V50" s="3"/>
      <c r="W50" s="3"/>
      <c r="X50" s="3"/>
      <c r="Y50" s="3"/>
      <c r="Z50" s="3"/>
      <c r="AA50" s="3"/>
      <c r="AB50" s="3"/>
      <c r="AC50" s="3"/>
      <c r="AD50" s="3"/>
      <c r="AE50" s="3"/>
      <c r="AF50"/>
      <c r="AG50"/>
      <c r="AH50"/>
      <c r="AI50"/>
      <c r="AJ50"/>
    </row>
    <row r="51" spans="1:36" ht="12" customHeight="1" x14ac:dyDescent="0.2">
      <c r="A51" s="841"/>
      <c r="B51" s="600"/>
      <c r="C51" s="140"/>
      <c r="D51" s="140"/>
      <c r="E51" s="140"/>
      <c r="F51" s="140"/>
      <c r="G51" s="140"/>
      <c r="H51" s="140"/>
      <c r="I51" s="140"/>
      <c r="J51" s="584"/>
      <c r="K51" s="700"/>
      <c r="L51" s="584"/>
      <c r="M51" s="584"/>
      <c r="N51" s="584"/>
      <c r="O51" s="584"/>
      <c r="P51" s="584"/>
      <c r="Q51" s="584"/>
      <c r="R51" s="701"/>
      <c r="S51" s="2"/>
      <c r="T51" s="3"/>
      <c r="U51" s="3"/>
      <c r="V51" s="3"/>
      <c r="W51" s="3"/>
      <c r="X51" s="3"/>
      <c r="Y51" s="3"/>
      <c r="Z51" s="3"/>
      <c r="AA51" s="3"/>
      <c r="AB51" s="3"/>
      <c r="AC51" s="3"/>
      <c r="AD51" s="3"/>
      <c r="AE51" s="3"/>
      <c r="AF51"/>
      <c r="AG51"/>
      <c r="AH51"/>
      <c r="AI51"/>
      <c r="AJ51"/>
    </row>
    <row r="52" spans="1:36" ht="12" customHeight="1" x14ac:dyDescent="0.2">
      <c r="A52" s="841"/>
      <c r="B52" s="1"/>
      <c r="C52" s="3"/>
      <c r="D52" s="3"/>
      <c r="E52" s="3"/>
      <c r="F52" s="3"/>
      <c r="G52" s="3"/>
      <c r="H52" s="3"/>
      <c r="I52" s="3"/>
      <c r="J52" s="2"/>
      <c r="K52" s="142"/>
      <c r="L52" s="2"/>
      <c r="M52" s="2"/>
      <c r="N52" s="2"/>
      <c r="O52" s="3"/>
      <c r="P52" s="2"/>
      <c r="Q52" s="2"/>
      <c r="R52" s="3"/>
      <c r="S52" s="2"/>
      <c r="T52" s="3"/>
      <c r="U52" s="3"/>
      <c r="V52" s="3"/>
      <c r="W52" s="3"/>
      <c r="X52" s="3"/>
      <c r="Y52" s="3"/>
      <c r="Z52" s="3"/>
      <c r="AA52" s="3"/>
      <c r="AB52" s="3"/>
      <c r="AC52" s="3"/>
      <c r="AD52" s="3"/>
      <c r="AE52" s="3"/>
      <c r="AF52"/>
      <c r="AG52"/>
      <c r="AH52"/>
      <c r="AI52"/>
      <c r="AJ52"/>
    </row>
    <row r="53" spans="1:36" ht="12" customHeight="1" x14ac:dyDescent="0.2">
      <c r="A53" s="841"/>
      <c r="B53" s="1"/>
      <c r="C53" s="3"/>
      <c r="F53" s="3"/>
      <c r="G53" s="3"/>
      <c r="H53" s="3"/>
      <c r="I53" s="3"/>
      <c r="J53" s="2"/>
      <c r="K53" s="142"/>
      <c r="L53" s="2"/>
      <c r="M53" s="2"/>
      <c r="N53" s="2"/>
      <c r="O53" s="3"/>
      <c r="P53" s="2"/>
      <c r="Q53" s="2"/>
      <c r="R53" s="3"/>
      <c r="S53" s="2"/>
      <c r="T53" s="3"/>
      <c r="U53" s="3"/>
      <c r="V53" s="3"/>
      <c r="W53" s="3"/>
      <c r="X53" s="3"/>
      <c r="Y53" s="3"/>
      <c r="Z53" s="3"/>
      <c r="AA53" s="3"/>
      <c r="AB53" s="3"/>
      <c r="AC53" s="3"/>
      <c r="AD53" s="3"/>
      <c r="AE53" s="3"/>
      <c r="AF53"/>
      <c r="AG53"/>
      <c r="AH53"/>
      <c r="AI53"/>
      <c r="AJ53"/>
    </row>
    <row r="54" spans="1:36" ht="16.149999999999999" customHeight="1" x14ac:dyDescent="0.25">
      <c r="A54" s="841">
        <f>A38+1</f>
        <v>2</v>
      </c>
      <c r="B54" s="461" t="str">
        <f>"Table "&amp;A1&amp;"."&amp;A54&amp;": Proposed special variations and requested percentage increases"</f>
        <v>Table 2.2: Proposed special variations and requested percentage increases</v>
      </c>
      <c r="C54" s="585"/>
      <c r="D54" s="3" t="str">
        <f>IF('WS1-Application'!$D$33="Minimum rate increase","[MR increase only application - follow instructions for each blue input cells]","")</f>
        <v/>
      </c>
      <c r="E54" s="3"/>
      <c r="F54" s="3"/>
      <c r="G54" s="3"/>
      <c r="H54" s="3"/>
      <c r="I54" s="3"/>
      <c r="J54" s="2"/>
      <c r="K54" s="142"/>
      <c r="L54" s="2"/>
      <c r="M54" s="2"/>
      <c r="N54" s="2"/>
      <c r="O54" s="3"/>
      <c r="P54" s="2"/>
      <c r="Q54" s="2"/>
      <c r="R54" s="3"/>
      <c r="S54" s="2"/>
      <c r="T54" s="3"/>
      <c r="U54" s="3"/>
      <c r="V54" s="3"/>
      <c r="W54" s="3"/>
      <c r="X54" s="3"/>
      <c r="Y54" s="3"/>
      <c r="Z54" s="3"/>
      <c r="AA54" s="3"/>
      <c r="AB54" s="3"/>
      <c r="AC54" s="3"/>
      <c r="AD54" s="3"/>
      <c r="AE54" s="3"/>
      <c r="AF54"/>
      <c r="AG54"/>
      <c r="AH54"/>
      <c r="AI54"/>
      <c r="AJ54"/>
    </row>
    <row r="55" spans="1:36" ht="13.5" customHeight="1" x14ac:dyDescent="0.2">
      <c r="A55" s="841"/>
      <c r="B55" s="691" t="s">
        <v>542</v>
      </c>
      <c r="C55" s="141"/>
      <c r="D55" s="141"/>
      <c r="E55" s="141"/>
      <c r="F55" s="141"/>
      <c r="G55" s="141"/>
      <c r="H55" s="141"/>
      <c r="I55" s="141"/>
      <c r="J55" s="141"/>
      <c r="K55" s="141"/>
      <c r="L55" s="1438" t="s">
        <v>543</v>
      </c>
      <c r="M55" s="141"/>
      <c r="N55" s="1512"/>
      <c r="O55" s="1512" t="s">
        <v>544</v>
      </c>
      <c r="P55" s="141"/>
      <c r="Q55" s="141"/>
      <c r="R55" s="667"/>
      <c r="S55" s="3"/>
      <c r="T55" s="3"/>
      <c r="U55" s="3"/>
      <c r="V55" s="3"/>
      <c r="W55" s="290"/>
      <c r="X55" s="3"/>
      <c r="Y55" s="3"/>
      <c r="Z55" s="3"/>
      <c r="AA55" s="3"/>
      <c r="AB55" s="3"/>
      <c r="AC55" s="3"/>
      <c r="AD55" s="3"/>
      <c r="AE55" s="3"/>
      <c r="AF55"/>
      <c r="AG55"/>
      <c r="AH55"/>
      <c r="AI55"/>
      <c r="AJ55"/>
    </row>
    <row r="56" spans="1:36" ht="5.25" customHeight="1" x14ac:dyDescent="0.2">
      <c r="A56" s="841"/>
      <c r="B56" s="702"/>
      <c r="C56" s="3"/>
      <c r="D56" s="3"/>
      <c r="E56" s="3"/>
      <c r="F56" s="3"/>
      <c r="G56" s="3"/>
      <c r="H56" s="3"/>
      <c r="I56" s="3"/>
      <c r="J56" s="3"/>
      <c r="K56" s="3"/>
      <c r="L56" s="3"/>
      <c r="M56" s="3"/>
      <c r="N56" s="3"/>
      <c r="O56" s="3"/>
      <c r="P56" s="3"/>
      <c r="Q56" s="3"/>
      <c r="R56" s="568"/>
      <c r="S56" s="3"/>
      <c r="T56" s="3"/>
      <c r="U56" s="3"/>
      <c r="V56" s="3"/>
      <c r="W56" s="290"/>
      <c r="X56" s="3"/>
      <c r="Y56" s="3"/>
      <c r="Z56" s="3"/>
      <c r="AA56" s="3"/>
      <c r="AB56" s="3"/>
      <c r="AC56" s="3"/>
      <c r="AD56" s="3"/>
      <c r="AE56" s="3"/>
      <c r="AF56"/>
      <c r="AG56"/>
      <c r="AH56"/>
      <c r="AI56"/>
      <c r="AJ56"/>
    </row>
    <row r="57" spans="1:36" ht="13.5" customHeight="1" x14ac:dyDescent="0.2">
      <c r="A57" s="841"/>
      <c r="B57" s="581" t="s">
        <v>545</v>
      </c>
      <c r="C57" s="3"/>
      <c r="D57" s="3"/>
      <c r="E57" s="3"/>
      <c r="F57" s="3"/>
      <c r="G57" s="3"/>
      <c r="H57" s="3"/>
      <c r="I57" s="3"/>
      <c r="J57" s="3"/>
      <c r="K57" s="703" t="s">
        <v>247</v>
      </c>
      <c r="L57" s="1" t="str">
        <f>IF('WS1-Application'!$D$33='WS0 - Input data'!$B$405,"MR increase - select option s508A","Select option")</f>
        <v>Select option</v>
      </c>
      <c r="M57" s="3"/>
      <c r="N57" s="3"/>
      <c r="O57" s="3"/>
      <c r="P57" s="3"/>
      <c r="Q57" s="3"/>
      <c r="R57" s="568"/>
      <c r="S57" s="3"/>
      <c r="T57" s="3"/>
      <c r="U57" s="3"/>
      <c r="V57" s="3"/>
      <c r="W57" s="291">
        <f>IF(K57="",0,MATCH(K57,'WS0 - Input data'!B228:B229,0))</f>
        <v>1</v>
      </c>
      <c r="X57" s="3"/>
      <c r="Y57" s="3"/>
      <c r="Z57" s="3"/>
      <c r="AA57" s="3"/>
      <c r="AB57" s="3"/>
      <c r="AC57" s="3"/>
      <c r="AD57" s="3"/>
      <c r="AE57" s="3"/>
      <c r="AF57"/>
      <c r="AG57"/>
      <c r="AH57"/>
      <c r="AI57"/>
      <c r="AJ57"/>
    </row>
    <row r="58" spans="1:36" ht="12.75" x14ac:dyDescent="0.2">
      <c r="A58" s="841"/>
      <c r="B58" s="581" t="s">
        <v>546</v>
      </c>
      <c r="C58" s="3"/>
      <c r="D58" s="3"/>
      <c r="E58" s="3"/>
      <c r="F58" s="3"/>
      <c r="G58" s="3"/>
      <c r="H58" s="3"/>
      <c r="I58" s="3"/>
      <c r="J58" s="3"/>
      <c r="K58" s="703" t="s">
        <v>254</v>
      </c>
      <c r="L58" s="1" t="str">
        <f>IF('WS1-Application'!$D$33='WS0 - Input data'!$B$405,"MR increase - select 7 years","Select option")</f>
        <v>Select option</v>
      </c>
      <c r="M58" s="3"/>
      <c r="N58" s="3"/>
      <c r="O58" s="586" t="str">
        <f>IF(AND(W57=1,W58&gt;1),"Error, s508(2) is for one year",IF(AND(W57=2,W58=1),"Please select number of years","ok"))</f>
        <v>ok</v>
      </c>
      <c r="P58" s="3"/>
      <c r="Q58" s="2"/>
      <c r="R58" s="568"/>
      <c r="S58" s="3"/>
      <c r="U58" s="3"/>
      <c r="V58" s="3"/>
      <c r="W58" s="291">
        <f>IF(K58="",0,MATCH(K58,'WS0 - Input data'!E235:E241,0))</f>
        <v>1</v>
      </c>
      <c r="X58" s="3"/>
      <c r="Y58" s="3"/>
      <c r="Z58" s="3"/>
      <c r="AA58" s="3"/>
      <c r="AB58" s="3"/>
      <c r="AC58" s="3"/>
      <c r="AD58" s="3"/>
      <c r="AE58" s="3"/>
      <c r="AF58"/>
      <c r="AG58"/>
      <c r="AH58"/>
      <c r="AI58"/>
      <c r="AJ58"/>
    </row>
    <row r="59" spans="1:36" x14ac:dyDescent="0.2">
      <c r="A59" s="841"/>
      <c r="B59" s="581" t="s">
        <v>547</v>
      </c>
      <c r="C59" s="3"/>
      <c r="D59" s="3"/>
      <c r="E59" s="3"/>
      <c r="F59" s="3"/>
      <c r="G59" s="3"/>
      <c r="H59" s="3"/>
      <c r="I59" s="3"/>
      <c r="J59" s="3"/>
      <c r="K59" s="703" t="s">
        <v>255</v>
      </c>
      <c r="L59" s="1" t="str">
        <f>IF('WS1-Application'!$D$33='WS0 - Input data'!$B$405,"MR increase - select Permanent","Select option")</f>
        <v>Select option</v>
      </c>
      <c r="M59" s="576"/>
      <c r="N59" s="3"/>
      <c r="O59" s="3"/>
      <c r="P59" s="3"/>
      <c r="Q59" s="2"/>
      <c r="R59" s="568"/>
      <c r="S59" s="3"/>
      <c r="T59" s="3"/>
      <c r="U59" s="3"/>
      <c r="V59" s="3"/>
      <c r="W59" s="290"/>
      <c r="X59" s="3"/>
      <c r="Y59" s="3"/>
      <c r="Z59" s="3"/>
      <c r="AA59" s="3"/>
      <c r="AB59" s="3"/>
      <c r="AC59" s="3"/>
      <c r="AD59" s="3"/>
      <c r="AE59" s="3"/>
      <c r="AF59"/>
      <c r="AG59"/>
      <c r="AH59"/>
      <c r="AI59"/>
      <c r="AJ59"/>
    </row>
    <row r="60" spans="1:36" s="3" customFormat="1" ht="6" customHeight="1" x14ac:dyDescent="0.2">
      <c r="A60" s="841"/>
      <c r="B60" s="581"/>
      <c r="K60" s="1516"/>
      <c r="L60" s="1495"/>
      <c r="M60" s="576"/>
      <c r="Q60" s="2"/>
      <c r="R60" s="568"/>
      <c r="W60" s="290"/>
    </row>
    <row r="61" spans="1:36" ht="36" x14ac:dyDescent="0.2">
      <c r="A61" s="841"/>
      <c r="B61" s="1514" t="s">
        <v>971</v>
      </c>
      <c r="C61" s="3"/>
      <c r="D61" s="3"/>
      <c r="E61" s="3"/>
      <c r="F61" s="3"/>
      <c r="G61" s="3"/>
      <c r="H61" s="3"/>
      <c r="I61" s="3"/>
      <c r="J61" s="3"/>
      <c r="K61" s="704"/>
      <c r="L61" s="1" t="str">
        <f>IF('WS1-Application'!$D$33='WS0 - Input data'!$B$405,"MR increase - leave blank","enter years if temporary SV")</f>
        <v>enter years if temporary SV</v>
      </c>
      <c r="M61" s="3"/>
      <c r="N61" s="3"/>
      <c r="O61" s="586" t="str">
        <f>IF(AND(OR(K59='WS0 - Input data'!B244,'WS2-Proposal'!K59='WS0 - Input data'!B246),K61=0),"ok",IF(AND(VALUE(LEFT(K58,1))=K61,K59='WS0 - Input data'!B245),"Proposed # of temporary years ok","Error, check if number of years entered is correct"))</f>
        <v>ok</v>
      </c>
      <c r="P61" s="3"/>
      <c r="Q61" s="2"/>
      <c r="R61" s="568"/>
      <c r="S61" s="3"/>
      <c r="T61" s="3"/>
      <c r="U61" s="3"/>
      <c r="V61" s="3"/>
      <c r="W61" s="391">
        <f>IF(W57+W58=0,0,IF(W57=1,1,W58))</f>
        <v>1</v>
      </c>
      <c r="X61" s="3"/>
      <c r="Y61" s="3"/>
      <c r="Z61" s="3"/>
      <c r="AA61" s="3"/>
      <c r="AB61" s="3"/>
      <c r="AC61" s="3"/>
      <c r="AD61" s="3"/>
      <c r="AE61" s="3"/>
      <c r="AF61"/>
      <c r="AG61"/>
      <c r="AH61"/>
      <c r="AI61"/>
      <c r="AJ61"/>
    </row>
    <row r="62" spans="1:36" ht="11.25" customHeight="1" x14ac:dyDescent="0.2">
      <c r="A62" s="841"/>
      <c r="B62" s="581" t="str">
        <f>"Percentage rate peg for the first year of the SV period ("&amp;Year0&amp;").  This will autofill with the selection of Council."</f>
        <v>Percentage rate peg for the first year of the SV period (2024-25).  This will autofill with the selection of Council.</v>
      </c>
      <c r="C62" s="3"/>
      <c r="D62" s="3"/>
      <c r="E62" s="86"/>
      <c r="F62" s="3"/>
      <c r="G62" s="3"/>
      <c r="H62" s="3"/>
      <c r="I62" s="3"/>
      <c r="J62" s="3"/>
      <c r="K62" s="705">
        <v>0.05</v>
      </c>
      <c r="L62" s="38"/>
      <c r="M62" s="3"/>
      <c r="N62" s="3"/>
      <c r="O62" s="3"/>
      <c r="P62" s="3"/>
      <c r="Q62" s="2"/>
      <c r="R62" s="568"/>
      <c r="S62" s="3"/>
      <c r="T62" s="3"/>
      <c r="U62" s="3"/>
      <c r="V62" s="3"/>
      <c r="W62" s="405"/>
      <c r="X62" s="3"/>
      <c r="Y62" s="3"/>
      <c r="Z62" s="3"/>
      <c r="AA62" s="3"/>
      <c r="AB62" s="3"/>
      <c r="AC62" s="3"/>
      <c r="AD62" s="3"/>
      <c r="AE62" s="3"/>
      <c r="AF62"/>
      <c r="AG62"/>
      <c r="AH62"/>
      <c r="AI62"/>
      <c r="AJ62"/>
    </row>
    <row r="63" spans="1:36" x14ac:dyDescent="0.2">
      <c r="A63" s="841"/>
      <c r="B63" s="581" t="str">
        <f>CHOOSE($W$40,"Enter the percentage above the existing full SV (ie, incl rate peg) the council is applying for in the first year ","Enter the percentage above the rate peg the council is applying for in the first year")</f>
        <v>Enter the percentage above the rate peg the council is applying for in the first year</v>
      </c>
      <c r="C63" s="3"/>
      <c r="D63" s="3"/>
      <c r="E63" s="3"/>
      <c r="F63" s="3"/>
      <c r="G63" s="3"/>
      <c r="H63" s="3"/>
      <c r="I63" s="3"/>
      <c r="J63" s="3"/>
      <c r="K63" s="381">
        <v>0.1</v>
      </c>
      <c r="L63" s="1" t="str">
        <f>IF('WS1-Application'!$D$33='WS0 - Input data'!$B$405,"MR increase - leave blank","enter % to 2 decimal places")</f>
        <v>enter % to 2 decimal places</v>
      </c>
      <c r="M63" s="3"/>
      <c r="N63" s="3"/>
      <c r="O63" s="3"/>
      <c r="P63" s="3"/>
      <c r="Q63" s="2"/>
      <c r="R63" s="568"/>
      <c r="S63" s="3"/>
      <c r="T63" s="3"/>
      <c r="U63" s="3"/>
      <c r="V63" s="3"/>
      <c r="W63" s="3"/>
      <c r="X63" s="3"/>
      <c r="Y63" s="3"/>
      <c r="Z63" s="3"/>
      <c r="AA63" s="3"/>
      <c r="AB63" s="3"/>
      <c r="AC63" s="3"/>
      <c r="AD63" s="3"/>
      <c r="AE63" s="3"/>
      <c r="AF63"/>
      <c r="AG63"/>
      <c r="AH63"/>
      <c r="AI63"/>
      <c r="AJ63"/>
    </row>
    <row r="64" spans="1:36" x14ac:dyDescent="0.2">
      <c r="A64" s="841"/>
      <c r="B64" s="1515" t="str">
        <f>IF($W$65=1,"- percentage of the Combined SV that this temporary","na - ignore this row - Not a combined SV")</f>
        <v>na - ignore this row - Not a combined SV</v>
      </c>
      <c r="C64" s="3"/>
      <c r="D64" s="3"/>
      <c r="E64" s="3"/>
      <c r="F64" s="3"/>
      <c r="G64" s="3"/>
      <c r="H64" s="3"/>
      <c r="I64" s="3"/>
      <c r="J64" s="3"/>
      <c r="K64" s="381"/>
      <c r="L64" s="1" t="str">
        <f>IF($K$59='WS0 - Input data'!$B$246,"enter %","na - ignore")</f>
        <v>na - ignore</v>
      </c>
      <c r="M64" s="3"/>
      <c r="N64" s="3"/>
      <c r="O64" s="3"/>
      <c r="P64" s="3"/>
      <c r="Q64" s="2"/>
      <c r="R64" s="568"/>
      <c r="S64" s="3"/>
      <c r="T64" s="3"/>
      <c r="U64" s="3"/>
      <c r="V64" s="3"/>
      <c r="W64" s="167" t="s">
        <v>46</v>
      </c>
      <c r="X64" s="3"/>
      <c r="Y64" s="3"/>
      <c r="Z64" s="3"/>
      <c r="AA64" s="3"/>
      <c r="AB64" s="3"/>
      <c r="AC64" s="3"/>
      <c r="AD64" s="3"/>
      <c r="AE64" s="3"/>
      <c r="AF64"/>
      <c r="AG64"/>
      <c r="AH64"/>
      <c r="AI64"/>
      <c r="AJ64"/>
    </row>
    <row r="65" spans="1:36" x14ac:dyDescent="0.2">
      <c r="A65" s="841"/>
      <c r="B65" s="1515" t="str">
        <f>IF($W$65=1,"        - percentage of the Combined SV that this permanent","na - ignore this row - Not a combined SV")</f>
        <v>na - ignore this row - Not a combined SV</v>
      </c>
      <c r="C65" s="3"/>
      <c r="D65" s="3"/>
      <c r="E65" s="3"/>
      <c r="F65" s="3"/>
      <c r="G65" s="3"/>
      <c r="H65" s="3"/>
      <c r="I65" s="3"/>
      <c r="J65" s="3"/>
      <c r="K65" s="96">
        <f>IF(K59='WS0 - Input data'!$B$246,K63-K64,0)</f>
        <v>0</v>
      </c>
      <c r="L65" s="1" t="s">
        <v>108</v>
      </c>
      <c r="M65" s="3"/>
      <c r="N65" s="3"/>
      <c r="O65" s="3"/>
      <c r="P65" s="3"/>
      <c r="Q65" s="2"/>
      <c r="R65" s="568"/>
      <c r="S65" s="3"/>
      <c r="T65" s="3"/>
      <c r="V65" s="3"/>
      <c r="W65" s="392">
        <f>IF(K59='WS0 - Input data'!$B$246,1,2)</f>
        <v>2</v>
      </c>
      <c r="X65" s="3"/>
      <c r="Y65" s="3"/>
      <c r="Z65" s="3"/>
      <c r="AA65" s="3"/>
      <c r="AB65" s="3"/>
      <c r="AC65" s="3"/>
      <c r="AD65" s="3"/>
      <c r="AE65" s="3"/>
      <c r="AF65"/>
      <c r="AG65"/>
      <c r="AH65"/>
      <c r="AI65"/>
      <c r="AJ65"/>
    </row>
    <row r="66" spans="1:36" x14ac:dyDescent="0.2">
      <c r="A66" s="841"/>
      <c r="B66" s="698"/>
      <c r="C66" s="3"/>
      <c r="D66" s="3"/>
      <c r="E66" s="3"/>
      <c r="F66" s="3"/>
      <c r="G66" s="3"/>
      <c r="H66" s="3"/>
      <c r="I66" s="3"/>
      <c r="J66" s="2"/>
      <c r="K66" s="3"/>
      <c r="L66" s="2"/>
      <c r="M66" s="2"/>
      <c r="P66" s="16"/>
      <c r="Q66" s="2"/>
      <c r="R66" s="568"/>
      <c r="S66" s="3"/>
      <c r="T66" s="3"/>
      <c r="U66" s="3"/>
      <c r="V66" s="3"/>
      <c r="W66" s="3"/>
      <c r="X66" s="3"/>
      <c r="Y66" s="3"/>
      <c r="Z66" s="3"/>
      <c r="AA66" s="3"/>
      <c r="AB66" s="3"/>
      <c r="AC66" s="3"/>
      <c r="AD66" s="3"/>
      <c r="AE66" s="3"/>
      <c r="AF66"/>
      <c r="AG66"/>
      <c r="AH66"/>
      <c r="AI66"/>
      <c r="AJ66"/>
    </row>
    <row r="67" spans="1:36" ht="15.75" customHeight="1" x14ac:dyDescent="0.2">
      <c r="A67" s="841"/>
      <c r="B67" s="692" t="s">
        <v>548</v>
      </c>
      <c r="C67" s="3"/>
      <c r="D67" s="3"/>
      <c r="E67" s="3"/>
      <c r="F67" s="3"/>
      <c r="G67" s="3"/>
      <c r="H67" s="3"/>
      <c r="I67" s="3"/>
      <c r="J67" s="3"/>
      <c r="K67" s="3"/>
      <c r="L67" s="3"/>
      <c r="M67" s="3"/>
      <c r="N67" s="3"/>
      <c r="O67" s="3"/>
      <c r="P67" s="3"/>
      <c r="Q67" s="3"/>
      <c r="R67" s="568"/>
      <c r="S67" s="143"/>
      <c r="T67" s="3"/>
      <c r="U67" s="3"/>
      <c r="V67" s="3"/>
      <c r="W67" s="3"/>
      <c r="X67" s="3"/>
      <c r="Y67" s="3"/>
      <c r="Z67" s="3"/>
      <c r="AA67" s="3"/>
      <c r="AB67" s="3"/>
      <c r="AC67" s="3"/>
      <c r="AD67" s="3"/>
      <c r="AE67" s="3"/>
      <c r="AF67"/>
      <c r="AG67"/>
      <c r="AH67"/>
      <c r="AI67"/>
      <c r="AJ67"/>
    </row>
    <row r="68" spans="1:36" ht="13.5" customHeight="1" x14ac:dyDescent="0.2">
      <c r="A68" s="841"/>
      <c r="B68" s="581" t="s">
        <v>972</v>
      </c>
      <c r="C68" s="3"/>
      <c r="D68" s="2"/>
      <c r="E68" s="2"/>
      <c r="F68" s="2"/>
      <c r="G68" s="2"/>
      <c r="H68" s="2"/>
      <c r="I68" s="2"/>
      <c r="J68" s="3"/>
      <c r="K68" s="3"/>
      <c r="L68" s="3"/>
      <c r="M68" s="3"/>
      <c r="N68" s="3"/>
      <c r="O68" s="3"/>
      <c r="P68" s="3"/>
      <c r="Q68" s="3"/>
      <c r="R68" s="568"/>
      <c r="S68" s="5"/>
      <c r="T68" s="3"/>
      <c r="U68" s="3"/>
      <c r="V68" s="3"/>
      <c r="W68" s="3"/>
      <c r="X68" s="3"/>
      <c r="Y68" s="3"/>
      <c r="Z68" s="3"/>
      <c r="AA68" s="3"/>
      <c r="AB68" s="3"/>
      <c r="AC68" s="3"/>
      <c r="AD68" s="3"/>
      <c r="AE68" s="3"/>
      <c r="AF68"/>
      <c r="AG68"/>
      <c r="AH68"/>
      <c r="AI68"/>
      <c r="AJ68"/>
    </row>
    <row r="69" spans="1:36" ht="13.5" customHeight="1" x14ac:dyDescent="0.2">
      <c r="A69" s="841"/>
      <c r="B69" s="616" t="s">
        <v>549</v>
      </c>
      <c r="C69" s="3"/>
      <c r="D69" s="2"/>
      <c r="E69" s="2"/>
      <c r="F69" s="2"/>
      <c r="G69" s="2"/>
      <c r="H69" s="2"/>
      <c r="I69" s="2"/>
      <c r="J69" s="3"/>
      <c r="K69" s="125"/>
      <c r="L69" s="62"/>
      <c r="M69" s="62"/>
      <c r="N69" s="3"/>
      <c r="O69" s="3"/>
      <c r="P69" s="3"/>
      <c r="Q69" s="3"/>
      <c r="R69" s="568"/>
      <c r="S69" s="3"/>
      <c r="T69" s="3"/>
      <c r="U69" s="3"/>
      <c r="V69" s="3"/>
      <c r="W69" s="3"/>
      <c r="X69" s="3"/>
      <c r="Y69" s="3"/>
      <c r="Z69" s="3"/>
      <c r="AA69" s="3"/>
      <c r="AB69" s="3"/>
      <c r="AC69" s="3"/>
      <c r="AD69" s="3"/>
      <c r="AE69" s="3"/>
      <c r="AF69"/>
      <c r="AG69"/>
      <c r="AH69"/>
      <c r="AI69"/>
      <c r="AJ69"/>
    </row>
    <row r="70" spans="1:36" ht="13.5" customHeight="1" x14ac:dyDescent="0.2">
      <c r="A70" s="841"/>
      <c r="B70" s="299"/>
      <c r="C70" s="3"/>
      <c r="D70" s="2"/>
      <c r="E70" s="2"/>
      <c r="F70" s="2"/>
      <c r="G70" s="2"/>
      <c r="H70" s="2"/>
      <c r="I70" s="2"/>
      <c r="J70" s="3"/>
      <c r="K70" s="3"/>
      <c r="L70" s="125"/>
      <c r="M70" s="3"/>
      <c r="N70" s="3"/>
      <c r="O70" s="3"/>
      <c r="P70" s="3"/>
      <c r="Q70" s="3"/>
      <c r="R70" s="568"/>
      <c r="S70" s="3"/>
      <c r="T70" s="3"/>
      <c r="U70" s="3"/>
      <c r="V70" s="3"/>
      <c r="W70" s="3"/>
      <c r="X70" s="3"/>
      <c r="Y70" s="3"/>
      <c r="Z70" s="3"/>
      <c r="AA70" s="3"/>
      <c r="AB70" s="3"/>
      <c r="AC70" s="3"/>
      <c r="AD70" s="3"/>
      <c r="AE70" s="3"/>
      <c r="AF70"/>
      <c r="AG70"/>
      <c r="AH70"/>
      <c r="AI70"/>
      <c r="AJ70"/>
    </row>
    <row r="71" spans="1:36" ht="15" customHeight="1" x14ac:dyDescent="0.2">
      <c r="A71" s="841"/>
      <c r="B71" s="299"/>
      <c r="C71" s="3"/>
      <c r="D71" s="3"/>
      <c r="E71" s="3"/>
      <c r="F71" s="3"/>
      <c r="G71" s="3"/>
      <c r="H71" s="3"/>
      <c r="I71" s="3"/>
      <c r="J71" s="39" t="str">
        <f>'WS0 - Input data'!J$55</f>
        <v>Year 0</v>
      </c>
      <c r="K71" s="39" t="str">
        <f>'WS0 - Input data'!K$55</f>
        <v>Year 1</v>
      </c>
      <c r="L71" s="39" t="str">
        <f>'WS0 - Input data'!L$55</f>
        <v>Year 2</v>
      </c>
      <c r="M71" s="39" t="str">
        <f>'WS0 - Input data'!M$55</f>
        <v>Year 3</v>
      </c>
      <c r="N71" s="39" t="str">
        <f>'WS0 - Input data'!N$55</f>
        <v>Year 4</v>
      </c>
      <c r="O71" s="39" t="str">
        <f>'WS0 - Input data'!O$55</f>
        <v>Year 5</v>
      </c>
      <c r="P71" s="39" t="str">
        <f>'WS0 - Input data'!P$55</f>
        <v>Year 6</v>
      </c>
      <c r="Q71" s="39" t="str">
        <f>'WS0 - Input data'!Q$55</f>
        <v>Year 7</v>
      </c>
      <c r="R71" s="568"/>
      <c r="T71" s="3"/>
      <c r="U71" s="3"/>
      <c r="V71" s="3"/>
      <c r="W71" s="3"/>
      <c r="X71" s="3"/>
      <c r="Y71" s="3"/>
      <c r="Z71" s="3"/>
      <c r="AA71" s="3"/>
      <c r="AB71" s="3"/>
      <c r="AC71" s="3"/>
      <c r="AD71" s="3"/>
      <c r="AE71" s="3"/>
      <c r="AF71"/>
      <c r="AG71"/>
      <c r="AH71"/>
      <c r="AI71"/>
      <c r="AJ71"/>
    </row>
    <row r="72" spans="1:36" ht="15" customHeight="1" x14ac:dyDescent="0.2">
      <c r="A72" s="841"/>
      <c r="B72" s="299" t="str">
        <f>'WS0 - Input data'!B$58</f>
        <v>Financial year</v>
      </c>
      <c r="C72" s="3"/>
      <c r="D72" s="3"/>
      <c r="E72" s="3"/>
      <c r="F72" s="3"/>
      <c r="G72" s="3"/>
      <c r="H72" s="3"/>
      <c r="I72" s="3"/>
      <c r="J72" s="39" t="str">
        <f>'WS0 - Input data'!J$58</f>
        <v>2023-24</v>
      </c>
      <c r="K72" s="39" t="str">
        <f>'WS0 - Input data'!K$58</f>
        <v>2024-25</v>
      </c>
      <c r="L72" s="39" t="str">
        <f>'WS0 - Input data'!L$58</f>
        <v>2025-26</v>
      </c>
      <c r="M72" s="39" t="str">
        <f>'WS0 - Input data'!M$58</f>
        <v>2026-27</v>
      </c>
      <c r="N72" s="39" t="str">
        <f>'WS0 - Input data'!N$58</f>
        <v>2027-28</v>
      </c>
      <c r="O72" s="39" t="str">
        <f>'WS0 - Input data'!O$58</f>
        <v>2028-29</v>
      </c>
      <c r="P72" s="39" t="str">
        <f>'WS0 - Input data'!P$58</f>
        <v>2029-30</v>
      </c>
      <c r="Q72" s="39" t="str">
        <f>'WS0 - Input data'!Q$58</f>
        <v>2030-31</v>
      </c>
      <c r="R72" s="568"/>
      <c r="S72" s="3"/>
      <c r="T72" s="3"/>
      <c r="U72" s="3"/>
      <c r="V72" s="3"/>
      <c r="W72" s="3"/>
      <c r="X72" s="3"/>
      <c r="Y72" s="3"/>
      <c r="Z72" s="3"/>
      <c r="AA72" s="3"/>
      <c r="AB72" s="3"/>
      <c r="AC72" s="3"/>
      <c r="AD72" s="3"/>
      <c r="AE72" s="3"/>
      <c r="AF72"/>
      <c r="AG72"/>
      <c r="AH72"/>
      <c r="AI72"/>
      <c r="AJ72"/>
    </row>
    <row r="73" spans="1:36" ht="11.25" hidden="1" customHeight="1" outlineLevel="1" x14ac:dyDescent="0.2">
      <c r="A73" s="841"/>
      <c r="B73" s="706" t="s">
        <v>550</v>
      </c>
      <c r="C73" s="3"/>
      <c r="D73" s="3"/>
      <c r="E73" s="3"/>
      <c r="F73" s="3"/>
      <c r="G73" s="3"/>
      <c r="H73" s="3"/>
      <c r="I73" s="3"/>
      <c r="J73" s="318">
        <f t="shared" ref="J73:Q73" si="0">IF(VALUE(RIGHT(J71,1))&gt;$W$61,0,1)</f>
        <v>1</v>
      </c>
      <c r="K73" s="318">
        <f t="shared" si="0"/>
        <v>1</v>
      </c>
      <c r="L73" s="318">
        <f t="shared" si="0"/>
        <v>0</v>
      </c>
      <c r="M73" s="318">
        <f t="shared" si="0"/>
        <v>0</v>
      </c>
      <c r="N73" s="318">
        <f t="shared" si="0"/>
        <v>0</v>
      </c>
      <c r="O73" s="318">
        <f t="shared" si="0"/>
        <v>0</v>
      </c>
      <c r="P73" s="318">
        <f t="shared" si="0"/>
        <v>0</v>
      </c>
      <c r="Q73" s="318">
        <f t="shared" si="0"/>
        <v>0</v>
      </c>
      <c r="R73" s="568"/>
      <c r="S73" s="3"/>
      <c r="T73" s="3"/>
      <c r="U73" s="3"/>
      <c r="V73" s="3"/>
      <c r="W73" s="3"/>
      <c r="X73" s="3"/>
      <c r="Y73" s="3"/>
      <c r="Z73" s="3"/>
      <c r="AA73" s="3"/>
      <c r="AB73" s="3"/>
      <c r="AC73" s="3"/>
      <c r="AD73" s="3"/>
      <c r="AE73" s="3"/>
      <c r="AF73"/>
      <c r="AG73"/>
      <c r="AH73"/>
      <c r="AI73"/>
      <c r="AJ73"/>
    </row>
    <row r="74" spans="1:36" ht="11.25" hidden="1" customHeight="1" outlineLevel="1" x14ac:dyDescent="0.2">
      <c r="A74" s="841"/>
      <c r="B74" s="706" t="s">
        <v>551</v>
      </c>
      <c r="C74" s="3"/>
      <c r="D74" s="3"/>
      <c r="E74" s="3"/>
      <c r="F74" s="3"/>
      <c r="G74" s="3"/>
      <c r="H74" s="3"/>
      <c r="I74" s="3"/>
      <c r="J74" s="318">
        <f>IF($K$59='WS0 - Input data'!$B$244,1,IF($K$61&lt;VALUE(RIGHT(J71,1)),0,1))</f>
        <v>1</v>
      </c>
      <c r="K74" s="318">
        <f>IF($K$59='WS0 - Input data'!$B$244,1,IF($K$61&lt;VALUE(RIGHT(K71,1)),0,1))</f>
        <v>1</v>
      </c>
      <c r="L74" s="318">
        <f>IF($K$59='WS0 - Input data'!$B$244,1,IF($K$61&lt;VALUE(RIGHT(L71,1)),0,1))</f>
        <v>1</v>
      </c>
      <c r="M74" s="318">
        <f>IF($K$59='WS0 - Input data'!$B$244,1,IF($K$61&lt;VALUE(RIGHT(M71,1)),0,1))</f>
        <v>1</v>
      </c>
      <c r="N74" s="318">
        <f>IF($K$59='WS0 - Input data'!$B$244,1,IF($K$61&lt;VALUE(RIGHT(N71,1)),0,1))</f>
        <v>1</v>
      </c>
      <c r="O74" s="318">
        <f>IF($K$59='WS0 - Input data'!$B$244,1,IF($K$61&lt;VALUE(RIGHT(O71,1)),0,1))</f>
        <v>1</v>
      </c>
      <c r="P74" s="318">
        <f>IF($K$59='WS0 - Input data'!$B$244,1,IF($K$61&lt;VALUE(RIGHT(P71,1)),0,1))</f>
        <v>1</v>
      </c>
      <c r="Q74" s="318">
        <f>IF($K$59='WS0 - Input data'!$B$244,1,IF($K$61&lt;VALUE(RIGHT(Q71,1)),0,1))</f>
        <v>1</v>
      </c>
      <c r="R74" s="568"/>
      <c r="S74" s="3"/>
      <c r="T74" s="3"/>
      <c r="U74" s="3"/>
      <c r="V74" s="3"/>
      <c r="W74" s="3"/>
      <c r="X74" s="3"/>
      <c r="Y74" s="3"/>
      <c r="Z74" s="3"/>
      <c r="AA74" s="3"/>
      <c r="AB74" s="3"/>
      <c r="AC74" s="3"/>
      <c r="AD74" s="3"/>
      <c r="AE74" s="3"/>
      <c r="AF74"/>
      <c r="AG74"/>
      <c r="AH74"/>
      <c r="AI74"/>
      <c r="AJ74"/>
    </row>
    <row r="75" spans="1:36" ht="15" customHeight="1" collapsed="1" x14ac:dyDescent="0.2">
      <c r="A75" s="841"/>
      <c r="B75" s="685" t="s">
        <v>552</v>
      </c>
      <c r="C75" s="3"/>
      <c r="D75" s="3"/>
      <c r="E75" s="3"/>
      <c r="F75" s="3"/>
      <c r="G75" s="3"/>
      <c r="H75" s="3"/>
      <c r="I75" s="3"/>
      <c r="J75" s="39"/>
      <c r="K75" s="39"/>
      <c r="L75" s="39"/>
      <c r="M75" s="39"/>
      <c r="N75" s="39"/>
      <c r="O75" s="39"/>
      <c r="P75" s="39"/>
      <c r="Q75" s="39"/>
      <c r="R75" s="568"/>
      <c r="S75" s="3"/>
      <c r="T75" s="3"/>
      <c r="U75" s="3"/>
      <c r="V75" s="3"/>
      <c r="W75" s="3"/>
      <c r="X75" s="3"/>
      <c r="Y75" s="3"/>
      <c r="Z75" s="3"/>
      <c r="AA75" s="3"/>
      <c r="AB75" s="3"/>
      <c r="AC75" s="3"/>
      <c r="AD75" s="3"/>
      <c r="AE75" s="3"/>
      <c r="AF75"/>
      <c r="AG75"/>
      <c r="AH75"/>
      <c r="AI75"/>
      <c r="AJ75"/>
    </row>
    <row r="76" spans="1:36" ht="15" customHeight="1" x14ac:dyDescent="0.2">
      <c r="A76" s="841"/>
      <c r="B76" s="581" t="str">
        <f>CHOOSE($W$40,"Existing full SV (ie, incl the rate peg) in the years in which it applies","na - leave blank")</f>
        <v>na - leave blank</v>
      </c>
      <c r="C76" s="3"/>
      <c r="D76" s="16" t="s">
        <v>108</v>
      </c>
      <c r="E76" s="3"/>
      <c r="F76" s="3"/>
      <c r="G76" s="3"/>
      <c r="H76" s="3"/>
      <c r="I76" s="3"/>
      <c r="J76" s="3"/>
      <c r="K76" s="1457"/>
      <c r="L76" s="1457"/>
      <c r="M76" s="1457"/>
      <c r="N76" s="1457"/>
      <c r="O76" s="1457"/>
      <c r="P76" s="1457"/>
      <c r="Q76" s="1457"/>
      <c r="R76" s="568"/>
      <c r="S76" s="3"/>
      <c r="T76" s="3"/>
      <c r="U76" s="3"/>
      <c r="V76" s="3"/>
      <c r="W76" s="3"/>
      <c r="X76" s="3"/>
      <c r="Y76" s="3"/>
      <c r="Z76" s="3"/>
      <c r="AA76" s="3"/>
      <c r="AB76" s="3"/>
      <c r="AC76" s="3"/>
      <c r="AD76" s="3"/>
      <c r="AE76" s="3"/>
      <c r="AF76"/>
      <c r="AG76"/>
      <c r="AH76"/>
      <c r="AI76"/>
      <c r="AJ76"/>
    </row>
    <row r="77" spans="1:36" ht="7.15" customHeight="1" x14ac:dyDescent="0.2">
      <c r="A77" s="841"/>
      <c r="B77" s="581"/>
      <c r="C77" s="3"/>
      <c r="D77" s="16"/>
      <c r="E77" s="3"/>
      <c r="F77" s="3"/>
      <c r="G77" s="3"/>
      <c r="H77" s="3"/>
      <c r="I77" s="3"/>
      <c r="J77" s="3"/>
      <c r="K77" s="1456"/>
      <c r="L77" s="1456"/>
      <c r="M77" s="1456"/>
      <c r="N77" s="1456"/>
      <c r="O77" s="1456"/>
      <c r="P77" s="1456"/>
      <c r="Q77" s="1456"/>
      <c r="R77" s="568"/>
      <c r="S77" s="3"/>
      <c r="T77" s="3"/>
      <c r="U77" s="3"/>
      <c r="V77" s="3"/>
      <c r="W77" s="3"/>
      <c r="X77" s="3"/>
      <c r="Y77" s="3"/>
      <c r="Z77" s="3"/>
      <c r="AA77" s="3"/>
      <c r="AB77" s="3"/>
      <c r="AC77" s="3"/>
      <c r="AD77" s="3"/>
      <c r="AE77" s="3"/>
      <c r="AF77"/>
      <c r="AG77"/>
      <c r="AH77"/>
      <c r="AI77"/>
      <c r="AJ77"/>
    </row>
    <row r="78" spans="1:36" ht="13.5" customHeight="1" x14ac:dyDescent="0.2">
      <c r="B78" s="581" t="s">
        <v>553</v>
      </c>
      <c r="C78" s="3"/>
      <c r="D78" s="16"/>
      <c r="E78" s="3"/>
      <c r="F78" s="3"/>
      <c r="G78" s="3"/>
      <c r="H78" s="3"/>
      <c r="I78" s="3"/>
      <c r="J78" s="3"/>
      <c r="K78" s="614"/>
      <c r="L78" s="1458">
        <v>0.03</v>
      </c>
      <c r="M78" s="1458">
        <v>0.03</v>
      </c>
      <c r="N78" s="1458">
        <v>0.03</v>
      </c>
      <c r="O78" s="1458">
        <v>0.03</v>
      </c>
      <c r="P78" s="1458">
        <v>0.03</v>
      </c>
      <c r="Q78" s="1458">
        <v>0.03</v>
      </c>
      <c r="R78" s="568"/>
      <c r="S78" s="3"/>
      <c r="T78" s="3"/>
      <c r="U78" s="3"/>
      <c r="V78" s="3"/>
      <c r="W78" s="3"/>
      <c r="X78" s="3"/>
      <c r="Y78" s="3"/>
      <c r="Z78" s="3"/>
      <c r="AA78" s="3"/>
      <c r="AB78" s="3"/>
      <c r="AC78" s="3"/>
      <c r="AD78" s="3"/>
      <c r="AE78" s="3"/>
      <c r="AF78"/>
      <c r="AG78"/>
      <c r="AH78"/>
      <c r="AI78"/>
      <c r="AJ78"/>
    </row>
    <row r="79" spans="1:36" ht="15" customHeight="1" x14ac:dyDescent="0.2">
      <c r="A79" s="841"/>
      <c r="B79" s="581" t="s">
        <v>554</v>
      </c>
      <c r="C79" s="3"/>
      <c r="D79" s="16" t="s">
        <v>108</v>
      </c>
      <c r="E79" s="3"/>
      <c r="F79" s="3"/>
      <c r="G79" s="3"/>
      <c r="H79" s="3"/>
      <c r="I79" s="3"/>
      <c r="J79" s="39"/>
      <c r="K79" s="707">
        <f>IF(K74=0,0,'WS0 - Input data'!K60)</f>
        <v>0.05</v>
      </c>
      <c r="L79" s="96">
        <f>IF(L74=0,0,IF(ISBLANK(L78),'WS0 - Input data'!$D$48,L78))</f>
        <v>0.03</v>
      </c>
      <c r="M79" s="96">
        <f>IF(M74=0,0,IF(ISBLANK(M78),'WS0 - Input data'!$D$48,M78))</f>
        <v>0.03</v>
      </c>
      <c r="N79" s="96">
        <f>IF(N74=0,0,IF(ISBLANK(N78),'WS0 - Input data'!$D$48,N78))</f>
        <v>0.03</v>
      </c>
      <c r="O79" s="96">
        <f>IF(O74=0,0,IF(ISBLANK(O78),'WS0 - Input data'!$D$48,O78))</f>
        <v>0.03</v>
      </c>
      <c r="P79" s="96">
        <f>IF(P74=0,0,IF(ISBLANK(P78),'WS0 - Input data'!$D$48,P78))</f>
        <v>0.03</v>
      </c>
      <c r="Q79" s="96">
        <f>IF(Q74=0,0,IF(ISBLANK(Q78),'WS0 - Input data'!$D$48,Q78))</f>
        <v>0.03</v>
      </c>
      <c r="R79" s="568"/>
      <c r="S79" s="3"/>
      <c r="T79" s="3"/>
      <c r="U79" s="3"/>
      <c r="V79" s="3"/>
      <c r="W79" s="3"/>
      <c r="X79" s="3"/>
      <c r="Y79" s="3"/>
      <c r="Z79" s="3"/>
      <c r="AA79" s="3"/>
      <c r="AB79" s="3"/>
      <c r="AC79" s="3"/>
      <c r="AD79" s="3"/>
      <c r="AE79" s="3"/>
      <c r="AF79"/>
      <c r="AG79"/>
      <c r="AH79"/>
      <c r="AI79"/>
      <c r="AJ79"/>
    </row>
    <row r="80" spans="1:36" ht="15.75" customHeight="1" x14ac:dyDescent="0.2">
      <c r="A80" s="841"/>
      <c r="B80" s="708" t="str">
        <f>CHOOSE($W$40,"Existing SV above rate peg"," na - No existing SV above rate peg")</f>
        <v xml:space="preserve"> na - No existing SV above rate peg</v>
      </c>
      <c r="C80" s="3"/>
      <c r="D80" s="16" t="s">
        <v>108</v>
      </c>
      <c r="E80" s="3"/>
      <c r="F80" s="3"/>
      <c r="G80" s="3"/>
      <c r="H80" s="3"/>
      <c r="I80" s="3"/>
      <c r="J80" s="39"/>
      <c r="K80" s="393">
        <f t="shared" ref="K80:Q80" si="1">IF(OR($W$40=2,K76=""),0,K76-K79)</f>
        <v>0</v>
      </c>
      <c r="L80" s="96">
        <f t="shared" si="1"/>
        <v>0</v>
      </c>
      <c r="M80" s="96">
        <f t="shared" si="1"/>
        <v>0</v>
      </c>
      <c r="N80" s="96">
        <f t="shared" si="1"/>
        <v>0</v>
      </c>
      <c r="O80" s="96">
        <f>IF(OR($W$40=2,O76=""),0,O76-O79)</f>
        <v>0</v>
      </c>
      <c r="P80" s="96">
        <f t="shared" si="1"/>
        <v>0</v>
      </c>
      <c r="Q80" s="96">
        <f t="shared" si="1"/>
        <v>0</v>
      </c>
      <c r="R80" s="568"/>
      <c r="S80" s="3"/>
      <c r="T80" s="3"/>
      <c r="U80" s="3"/>
      <c r="V80" s="3"/>
      <c r="W80" s="167" t="s">
        <v>46</v>
      </c>
      <c r="X80" s="3"/>
      <c r="Y80" s="3"/>
      <c r="Z80" s="3"/>
      <c r="AA80" s="3"/>
      <c r="AB80" s="3"/>
      <c r="AC80" s="3"/>
      <c r="AD80" s="3"/>
      <c r="AE80" s="3"/>
      <c r="AF80"/>
      <c r="AG80"/>
      <c r="AH80"/>
      <c r="AI80"/>
      <c r="AJ80"/>
    </row>
    <row r="81" spans="1:36" ht="15" customHeight="1" x14ac:dyDescent="0.2">
      <c r="A81" s="841"/>
      <c r="B81" s="708" t="str">
        <f>$W$81&amp;W82</f>
        <v>Percentage above the rate peg</v>
      </c>
      <c r="C81" s="3"/>
      <c r="D81" s="16" t="s">
        <v>108</v>
      </c>
      <c r="E81" s="3"/>
      <c r="F81" s="3"/>
      <c r="G81" s="3"/>
      <c r="H81" s="3"/>
      <c r="I81" s="3"/>
      <c r="J81" s="39"/>
      <c r="K81" s="709">
        <f>CHOOSE($W$65,K64,K63)</f>
        <v>0.1</v>
      </c>
      <c r="L81" s="96">
        <f t="shared" ref="L81:Q81" si="2">IF(L73=0,0,MAX(0,L84-L79-L80-CHOOSE($W$65,L82,0)))</f>
        <v>0</v>
      </c>
      <c r="M81" s="96">
        <f t="shared" si="2"/>
        <v>0</v>
      </c>
      <c r="N81" s="96">
        <f t="shared" si="2"/>
        <v>0</v>
      </c>
      <c r="O81" s="96">
        <f t="shared" si="2"/>
        <v>0</v>
      </c>
      <c r="P81" s="96">
        <f t="shared" si="2"/>
        <v>0</v>
      </c>
      <c r="Q81" s="96">
        <f t="shared" si="2"/>
        <v>0</v>
      </c>
      <c r="R81" s="568"/>
      <c r="S81" s="3"/>
      <c r="T81" s="3"/>
      <c r="U81" s="3"/>
      <c r="V81" s="3"/>
      <c r="W81" s="394" t="str">
        <f>CHOOSE($W$40,"Percentage above the existing full SV (incl rate peg)","Percentage above the rate peg")</f>
        <v>Percentage above the rate peg</v>
      </c>
      <c r="X81" s="3"/>
      <c r="Y81" s="3"/>
      <c r="Z81" s="3"/>
      <c r="AA81" s="3"/>
      <c r="AB81" s="3"/>
      <c r="AC81" s="3"/>
      <c r="AD81" s="3"/>
      <c r="AE81" s="3"/>
      <c r="AF81"/>
      <c r="AG81"/>
      <c r="AH81"/>
      <c r="AI81"/>
      <c r="AJ81"/>
    </row>
    <row r="82" spans="1:36" ht="15" customHeight="1" x14ac:dyDescent="0.2">
      <c r="A82" s="841"/>
      <c r="B82" s="708" t="str">
        <f>CHOOSE($W$65,$W$81&amp;W83,"Na - ignore this row - Not a combined SV")</f>
        <v>Na - ignore this row - Not a combined SV</v>
      </c>
      <c r="C82" s="3"/>
      <c r="D82" s="16" t="s">
        <v>108</v>
      </c>
      <c r="E82" s="3"/>
      <c r="F82" s="3"/>
      <c r="G82" s="3"/>
      <c r="H82" s="3"/>
      <c r="I82" s="3"/>
      <c r="J82" s="39"/>
      <c r="K82" s="96">
        <f>K65</f>
        <v>0</v>
      </c>
      <c r="L82" s="381"/>
      <c r="M82" s="381"/>
      <c r="N82" s="381"/>
      <c r="O82" s="381"/>
      <c r="P82" s="381"/>
      <c r="Q82" s="381"/>
      <c r="R82" s="568"/>
      <c r="S82" s="3"/>
      <c r="T82" s="3"/>
      <c r="U82" s="3"/>
      <c r="V82" s="3"/>
      <c r="W82" s="395" t="str">
        <f>CHOOSE($W$65," that is temporary","")</f>
        <v/>
      </c>
      <c r="X82" s="3"/>
      <c r="Y82" s="3"/>
      <c r="Z82" s="3"/>
      <c r="AA82" s="3"/>
      <c r="AB82" s="3"/>
      <c r="AC82" s="3"/>
      <c r="AD82" s="3"/>
      <c r="AE82" s="3"/>
      <c r="AF82"/>
      <c r="AG82"/>
      <c r="AH82"/>
      <c r="AI82"/>
      <c r="AJ82"/>
    </row>
    <row r="83" spans="1:36" ht="15" customHeight="1" x14ac:dyDescent="0.2">
      <c r="A83" s="841"/>
      <c r="B83" s="708" t="s">
        <v>555</v>
      </c>
      <c r="D83" s="16" t="s">
        <v>108</v>
      </c>
      <c r="E83" s="3"/>
      <c r="F83" s="3"/>
      <c r="G83" s="3"/>
      <c r="H83" s="3"/>
      <c r="I83" s="3"/>
      <c r="J83" s="39"/>
      <c r="K83" s="709">
        <f>L48</f>
        <v>0</v>
      </c>
      <c r="L83" s="294">
        <v>0</v>
      </c>
      <c r="M83" s="294">
        <v>0</v>
      </c>
      <c r="N83" s="294">
        <v>0</v>
      </c>
      <c r="O83" s="294">
        <v>0</v>
      </c>
      <c r="P83" s="294">
        <v>0</v>
      </c>
      <c r="Q83" s="294">
        <v>0</v>
      </c>
      <c r="R83" s="568"/>
      <c r="S83" s="3"/>
      <c r="T83" s="3"/>
      <c r="U83" s="3"/>
      <c r="V83" s="3"/>
      <c r="W83" s="396" t="str">
        <f>CHOOSE($W$65," that is permanent","")</f>
        <v/>
      </c>
      <c r="X83" s="3"/>
      <c r="Y83" s="3"/>
      <c r="Z83" s="3"/>
      <c r="AA83" s="3"/>
      <c r="AB83" s="3"/>
      <c r="AC83" s="3"/>
      <c r="AD83" s="3"/>
      <c r="AE83" s="3"/>
      <c r="AF83"/>
      <c r="AG83"/>
      <c r="AH83"/>
      <c r="AI83"/>
      <c r="AJ83"/>
    </row>
    <row r="84" spans="1:36" ht="15" customHeight="1" x14ac:dyDescent="0.2">
      <c r="A84" s="841"/>
      <c r="B84" s="668" t="str">
        <f>CHOOSE($W$40,"Proposed SV (total proposed and existing SV)","Proposed SV ")</f>
        <v xml:space="preserve">Proposed SV </v>
      </c>
      <c r="C84" s="3"/>
      <c r="D84" s="16" t="s">
        <v>108</v>
      </c>
      <c r="E84" s="3"/>
      <c r="F84" s="3"/>
      <c r="G84" s="3"/>
      <c r="H84" s="3"/>
      <c r="I84" s="3"/>
      <c r="J84" s="144"/>
      <c r="K84" s="145">
        <f>SUM(K79:K83)</f>
        <v>0.15000000000000002</v>
      </c>
      <c r="L84" s="1444"/>
      <c r="M84" s="1444"/>
      <c r="N84" s="1444"/>
      <c r="O84" s="1444"/>
      <c r="P84" s="1444"/>
      <c r="Q84" s="1444"/>
      <c r="R84" s="568"/>
      <c r="S84" s="3"/>
      <c r="T84" s="3"/>
      <c r="U84" s="3"/>
      <c r="V84" s="3"/>
      <c r="W84" s="3"/>
      <c r="X84" s="3"/>
      <c r="Y84" s="3"/>
      <c r="Z84" s="3"/>
      <c r="AA84" s="3"/>
      <c r="AB84" s="3"/>
      <c r="AC84" s="3"/>
      <c r="AD84" s="3"/>
      <c r="AE84" s="3"/>
      <c r="AF84"/>
      <c r="AG84"/>
      <c r="AH84"/>
      <c r="AI84"/>
      <c r="AJ84"/>
    </row>
    <row r="85" spans="1:36" ht="15" customHeight="1" x14ac:dyDescent="0.2">
      <c r="A85" s="841"/>
      <c r="B85" s="685" t="s">
        <v>556</v>
      </c>
      <c r="C85" s="38"/>
      <c r="D85" s="16"/>
      <c r="E85" s="3"/>
      <c r="F85" s="3"/>
      <c r="G85" s="3"/>
      <c r="H85" s="3"/>
      <c r="I85" s="3"/>
      <c r="J85" s="144"/>
      <c r="K85" s="145"/>
      <c r="L85" s="145"/>
      <c r="M85" s="145"/>
      <c r="N85" s="145"/>
      <c r="O85" s="145"/>
      <c r="P85" s="145"/>
      <c r="Q85" s="145"/>
      <c r="R85" s="568"/>
      <c r="S85" s="3"/>
      <c r="T85" s="3"/>
      <c r="U85" s="3"/>
      <c r="V85" s="3"/>
      <c r="W85" s="3"/>
      <c r="X85" s="3"/>
      <c r="Y85" s="3"/>
      <c r="Z85" s="3"/>
      <c r="AA85" s="3"/>
      <c r="AB85" s="3"/>
      <c r="AC85" s="3"/>
      <c r="AD85" s="3"/>
      <c r="AE85" s="3"/>
      <c r="AF85"/>
      <c r="AG85"/>
      <c r="AH85"/>
      <c r="AI85"/>
      <c r="AJ85"/>
    </row>
    <row r="86" spans="1:36" ht="15" customHeight="1" x14ac:dyDescent="0.2">
      <c r="A86" s="841"/>
      <c r="B86" s="299" t="str">
        <f>CHOOSE($W$40,"Exising full SV (including rate peg) followed by rate peg only","Rate peg only")</f>
        <v>Rate peg only</v>
      </c>
      <c r="C86" s="38"/>
      <c r="D86" s="16" t="s">
        <v>108</v>
      </c>
      <c r="E86" s="3"/>
      <c r="F86" s="3"/>
      <c r="G86" s="3"/>
      <c r="H86" s="3"/>
      <c r="I86" s="3"/>
      <c r="J86" s="144"/>
      <c r="K86" s="710">
        <f>SUM(K79:K80)</f>
        <v>0.05</v>
      </c>
      <c r="L86" s="96">
        <f>IF(L74=0,0,(1+K86)*(1+L79+L80)-1)</f>
        <v>8.1500000000000128E-2</v>
      </c>
      <c r="M86" s="96">
        <f t="shared" ref="M86:Q86" si="3">IF(M74=0,0,(1+L86)*(1+M79+M80)-1)</f>
        <v>0.11394500000000019</v>
      </c>
      <c r="N86" s="96">
        <f t="shared" si="3"/>
        <v>0.14736335000000023</v>
      </c>
      <c r="O86" s="96">
        <f t="shared" si="3"/>
        <v>0.18178425050000024</v>
      </c>
      <c r="P86" s="96">
        <f t="shared" si="3"/>
        <v>0.21723777801500033</v>
      </c>
      <c r="Q86" s="96">
        <f t="shared" si="3"/>
        <v>0.25375491135545047</v>
      </c>
      <c r="R86" s="568"/>
      <c r="S86" s="3"/>
      <c r="T86" s="3"/>
      <c r="U86" s="3"/>
      <c r="V86" s="3"/>
      <c r="W86" s="3"/>
      <c r="X86" s="3"/>
      <c r="Y86" s="3"/>
      <c r="Z86" s="3"/>
      <c r="AA86" s="3"/>
      <c r="AB86" s="3"/>
      <c r="AC86" s="3"/>
      <c r="AD86" s="3"/>
      <c r="AE86" s="3"/>
      <c r="AF86"/>
      <c r="AG86"/>
      <c r="AH86"/>
      <c r="AI86"/>
      <c r="AJ86"/>
    </row>
    <row r="87" spans="1:36" ht="15" customHeight="1" x14ac:dyDescent="0.2">
      <c r="A87" s="841"/>
      <c r="B87" s="708" t="s">
        <v>557</v>
      </c>
      <c r="C87" s="3"/>
      <c r="D87" s="16" t="s">
        <v>108</v>
      </c>
      <c r="E87" s="3"/>
      <c r="F87" s="3"/>
      <c r="G87" s="3"/>
      <c r="H87" s="3"/>
      <c r="I87" s="3"/>
      <c r="J87" s="144"/>
      <c r="K87" s="710">
        <f>IF(K81=0,".",K81+CHOOSE($W$65,K82,0))</f>
        <v>0.1</v>
      </c>
      <c r="L87" s="96">
        <f>IF(OR(L73=0,L74=0),0,MAX(0,L88-L86))</f>
        <v>0</v>
      </c>
      <c r="M87" s="96">
        <f t="shared" ref="M87:Q87" si="4">IF(M74=0,0,IF(M73=0,0,MAX(0,M88-M86)))</f>
        <v>0</v>
      </c>
      <c r="N87" s="96">
        <f t="shared" si="4"/>
        <v>0</v>
      </c>
      <c r="O87" s="96">
        <f t="shared" si="4"/>
        <v>0</v>
      </c>
      <c r="P87" s="96">
        <f t="shared" si="4"/>
        <v>0</v>
      </c>
      <c r="Q87" s="96">
        <f t="shared" si="4"/>
        <v>0</v>
      </c>
      <c r="R87" s="568"/>
      <c r="S87" s="3"/>
      <c r="T87" s="3"/>
      <c r="U87" s="3"/>
      <c r="V87" s="3"/>
      <c r="W87" s="3"/>
      <c r="X87" s="3"/>
      <c r="Y87" s="3"/>
      <c r="Z87" s="3"/>
      <c r="AA87" s="3"/>
      <c r="AB87" s="3"/>
      <c r="AC87" s="3"/>
      <c r="AD87" s="3"/>
      <c r="AE87" s="3"/>
      <c r="AF87"/>
      <c r="AG87"/>
      <c r="AH87"/>
      <c r="AI87"/>
      <c r="AJ87"/>
    </row>
    <row r="88" spans="1:36" ht="15" customHeight="1" x14ac:dyDescent="0.2">
      <c r="A88" s="841"/>
      <c r="B88" s="685" t="str">
        <f>B84</f>
        <v xml:space="preserve">Proposed SV </v>
      </c>
      <c r="C88" s="38"/>
      <c r="D88" s="16" t="s">
        <v>108</v>
      </c>
      <c r="E88" s="3"/>
      <c r="F88" s="3"/>
      <c r="G88" s="3"/>
      <c r="H88" s="3"/>
      <c r="I88" s="3"/>
      <c r="J88" s="144"/>
      <c r="K88" s="711">
        <f>IF(K84=0,".",K84)</f>
        <v>0.15000000000000002</v>
      </c>
      <c r="L88" s="96">
        <f>IF(L74=0,0,IF(L73=0,(1+K88)*(1+L79+L80)-1,(1+K88)*(1+L84)-1))</f>
        <v>0.18449999999999989</v>
      </c>
      <c r="M88" s="96">
        <f>IF(M74=0,0,IF(M73=0,(1+L88)*(1+M79+M80)-1,(1+L88)*(1+M84)-1))</f>
        <v>0.22003499999999998</v>
      </c>
      <c r="N88" s="96">
        <f t="shared" ref="N88:Q88" si="5">IF(N74=0,0,IF(N73=0,(1+M88)*(1+N79+N80)-1,(1+M88)*(1+N84)-1))</f>
        <v>0.25663605</v>
      </c>
      <c r="O88" s="96">
        <f t="shared" si="5"/>
        <v>0.29433513150000001</v>
      </c>
      <c r="P88" s="96">
        <f t="shared" si="5"/>
        <v>0.33316518544499996</v>
      </c>
      <c r="Q88" s="96">
        <f t="shared" si="5"/>
        <v>0.37316014100835004</v>
      </c>
      <c r="R88" s="568"/>
      <c r="S88" s="3"/>
      <c r="T88" s="3"/>
      <c r="U88" s="3"/>
      <c r="V88" s="3"/>
      <c r="W88" s="3"/>
      <c r="X88" s="3"/>
      <c r="Y88" s="3"/>
      <c r="Z88" s="3"/>
      <c r="AA88" s="3"/>
      <c r="AB88" s="3"/>
      <c r="AC88" s="3"/>
      <c r="AD88" s="3"/>
      <c r="AE88" s="3"/>
      <c r="AF88"/>
      <c r="AG88"/>
      <c r="AH88"/>
      <c r="AI88"/>
      <c r="AJ88"/>
    </row>
    <row r="89" spans="1:36" ht="5.25" customHeight="1" x14ac:dyDescent="0.2">
      <c r="A89" s="841"/>
      <c r="B89" s="685"/>
      <c r="C89" s="3"/>
      <c r="D89" s="3"/>
      <c r="E89" s="3"/>
      <c r="F89" s="3"/>
      <c r="G89" s="3"/>
      <c r="H89" s="3"/>
      <c r="I89" s="3"/>
      <c r="J89" s="3"/>
      <c r="K89" s="16"/>
      <c r="L89" s="16"/>
      <c r="M89" s="16"/>
      <c r="N89" s="16"/>
      <c r="O89" s="16"/>
      <c r="P89" s="16"/>
      <c r="Q89" s="16"/>
      <c r="R89" s="568"/>
      <c r="S89" s="3"/>
      <c r="T89" s="3"/>
      <c r="U89" s="3"/>
      <c r="V89" s="3"/>
      <c r="W89" s="3"/>
      <c r="X89" s="3"/>
      <c r="Y89" s="3"/>
      <c r="Z89" s="3"/>
      <c r="AA89" s="3"/>
      <c r="AB89" s="3"/>
      <c r="AC89" s="3"/>
      <c r="AD89" s="3"/>
      <c r="AE89" s="3"/>
      <c r="AF89"/>
      <c r="AG89"/>
      <c r="AH89"/>
      <c r="AI89"/>
      <c r="AJ89"/>
    </row>
    <row r="90" spans="1:36" ht="14.65" customHeight="1" x14ac:dyDescent="0.2">
      <c r="A90" s="841"/>
      <c r="B90" s="668" t="s">
        <v>558</v>
      </c>
      <c r="C90" s="3"/>
      <c r="D90" s="3"/>
      <c r="E90" s="3"/>
      <c r="F90" s="3"/>
      <c r="G90" s="3"/>
      <c r="H90" s="3"/>
      <c r="I90" s="3"/>
      <c r="J90" s="146"/>
      <c r="K90" s="146"/>
      <c r="L90" s="146"/>
      <c r="M90" s="146"/>
      <c r="N90" s="146"/>
      <c r="O90" s="146"/>
      <c r="P90" s="146"/>
      <c r="Q90" s="146"/>
      <c r="R90" s="568"/>
      <c r="S90" s="3"/>
      <c r="T90" s="3"/>
      <c r="U90" s="3"/>
      <c r="V90" s="3"/>
      <c r="W90" s="3"/>
      <c r="X90" s="3"/>
      <c r="Y90" s="3"/>
      <c r="Z90" s="3"/>
      <c r="AA90" s="3"/>
      <c r="AB90" s="3"/>
      <c r="AC90" s="3"/>
      <c r="AD90" s="3"/>
      <c r="AE90" s="3"/>
      <c r="AF90"/>
      <c r="AG90"/>
      <c r="AH90"/>
      <c r="AI90"/>
      <c r="AJ90"/>
    </row>
    <row r="91" spans="1:36" ht="15" customHeight="1" x14ac:dyDescent="0.2">
      <c r="A91" s="841"/>
      <c r="B91" s="299" t="s">
        <v>559</v>
      </c>
      <c r="C91" s="3"/>
      <c r="D91" s="16" t="s">
        <v>560</v>
      </c>
      <c r="E91" s="3"/>
      <c r="F91" s="3"/>
      <c r="G91" s="3"/>
      <c r="H91" s="3"/>
      <c r="I91" s="3"/>
      <c r="J91" s="73"/>
      <c r="K91" s="73"/>
      <c r="L91" s="92"/>
      <c r="M91" s="92"/>
      <c r="N91" s="92"/>
      <c r="O91" s="92"/>
      <c r="P91" s="92"/>
      <c r="Q91" s="73"/>
      <c r="R91" s="568"/>
      <c r="S91" s="3"/>
      <c r="T91" s="3"/>
      <c r="U91" s="3"/>
      <c r="V91" s="3"/>
      <c r="W91" s="3"/>
      <c r="X91" s="3"/>
      <c r="Y91" s="3"/>
      <c r="Z91" s="3"/>
      <c r="AA91" s="3"/>
      <c r="AB91" s="3"/>
      <c r="AC91" s="3"/>
      <c r="AD91" s="3"/>
      <c r="AE91" s="3"/>
      <c r="AF91"/>
      <c r="AG91"/>
      <c r="AH91"/>
      <c r="AI91"/>
      <c r="AJ91"/>
    </row>
    <row r="92" spans="1:36" ht="15" customHeight="1" x14ac:dyDescent="0.2">
      <c r="A92" s="841"/>
      <c r="B92" s="299" t="s">
        <v>561</v>
      </c>
      <c r="C92" s="3"/>
      <c r="D92" s="16" t="s">
        <v>108</v>
      </c>
      <c r="E92" s="3"/>
      <c r="F92" s="3"/>
      <c r="G92" s="3"/>
      <c r="H92" s="3"/>
      <c r="I92" s="3"/>
      <c r="J92" s="448">
        <f>IF('WS6 - PGI summary'!J98=0,".",J91/'WS6 - PGI summary'!J98)</f>
        <v>0</v>
      </c>
      <c r="K92" s="448">
        <f>IFERROR(IF('WS6 - PGI summary'!K98=0,".",K91/'WS6 - PGI summary'!K98),".")</f>
        <v>0</v>
      </c>
      <c r="L92" s="448">
        <f>IFERROR(IF('WS6 - PGI summary'!L98=0,".",L91/'WS6 - PGI summary'!L98),".")</f>
        <v>0</v>
      </c>
      <c r="M92" s="448">
        <f>IFERROR(IF('WS6 - PGI summary'!M98=0,".",M91/'WS6 - PGI summary'!M98),".")</f>
        <v>0</v>
      </c>
      <c r="N92" s="448">
        <f>IFERROR(IF('WS6 - PGI summary'!N98=0,".",N91/'WS6 - PGI summary'!N98),".")</f>
        <v>0</v>
      </c>
      <c r="O92" s="448">
        <f>IFERROR(IF('WS6 - PGI summary'!O98=0,".",O91/'WS6 - PGI summary'!O98),".")</f>
        <v>0</v>
      </c>
      <c r="P92" s="448">
        <f>IFERROR(IF('WS6 - PGI summary'!P98=0,".",P91/'WS6 - PGI summary'!P98),".")</f>
        <v>0</v>
      </c>
      <c r="Q92" s="448">
        <f>IFERROR(IF('WS6 - PGI summary'!Q98=0,".",Q91/'WS6 - PGI summary'!Q98),".")</f>
        <v>0</v>
      </c>
      <c r="R92" s="568"/>
      <c r="S92" s="3"/>
      <c r="T92" s="3"/>
      <c r="U92" s="3"/>
      <c r="V92" s="3"/>
      <c r="W92" s="3"/>
      <c r="X92" s="3"/>
      <c r="Y92" s="3"/>
      <c r="Z92" s="3"/>
      <c r="AA92" s="3"/>
      <c r="AB92" s="3"/>
      <c r="AC92" s="3"/>
      <c r="AD92" s="3"/>
      <c r="AE92" s="3"/>
      <c r="AF92"/>
      <c r="AG92"/>
      <c r="AH92"/>
      <c r="AI92"/>
      <c r="AJ92"/>
    </row>
    <row r="93" spans="1:36" ht="18" customHeight="1" x14ac:dyDescent="0.2">
      <c r="A93" s="841"/>
      <c r="B93" s="299"/>
      <c r="C93" s="3"/>
      <c r="D93" s="3"/>
      <c r="E93" s="3"/>
      <c r="F93" s="3"/>
      <c r="G93" s="3"/>
      <c r="H93" s="3"/>
      <c r="I93" s="3"/>
      <c r="J93" s="3"/>
      <c r="K93" s="3"/>
      <c r="L93" s="3"/>
      <c r="M93" s="3"/>
      <c r="N93" s="3"/>
      <c r="O93" s="3"/>
      <c r="P93" s="3"/>
      <c r="Q93" s="3"/>
      <c r="R93" s="568"/>
      <c r="S93" s="3"/>
      <c r="T93" s="3"/>
      <c r="U93" s="3"/>
      <c r="V93" s="3"/>
      <c r="W93" s="3"/>
      <c r="X93" s="3"/>
      <c r="Y93" s="3"/>
      <c r="Z93" s="3"/>
      <c r="AA93" s="3"/>
      <c r="AB93" s="3"/>
      <c r="AC93" s="3"/>
      <c r="AD93" s="3"/>
      <c r="AE93" s="3"/>
      <c r="AF93" s="423"/>
      <c r="AG93" s="423"/>
      <c r="AH93" s="423"/>
      <c r="AI93" s="423"/>
      <c r="AJ93" s="423"/>
    </row>
    <row r="94" spans="1:36" x14ac:dyDescent="0.2">
      <c r="A94" s="841"/>
      <c r="B94" s="712" t="s">
        <v>562</v>
      </c>
      <c r="C94" s="140"/>
      <c r="D94" s="140"/>
      <c r="E94" s="140"/>
      <c r="F94" s="140"/>
      <c r="G94" s="140"/>
      <c r="H94" s="140"/>
      <c r="I94" s="140"/>
      <c r="J94" s="140"/>
      <c r="K94" s="713" t="str">
        <f>IF(AND(K$73=1,K$84&lt;&gt;0),"ok",IF(AND(K$73=0,K$84=0),"ok","check row "&amp;ROW(K84)))</f>
        <v>ok</v>
      </c>
      <c r="L94" s="713" t="str">
        <f>IF(AND(L$73=1,L$84&lt;&gt;0),"ok",IF(AND(L$73=0,L$84=0),"ok","check row "&amp;ROW(L84)))</f>
        <v>ok</v>
      </c>
      <c r="M94" s="713" t="str">
        <f>IF(AND(M$73=1,M$84&lt;&gt;0),"ok",IF(AND(M$73=0,M$84=0),"ok","check row "&amp;ROW(M84)))</f>
        <v>ok</v>
      </c>
      <c r="N94" s="713" t="str">
        <f t="shared" ref="N94:Q94" si="6">IF(AND(N$73=1,N$84&lt;&gt;0),"ok",IF(AND(N$73=0,N$84=0),"ok","check row "&amp;ROW(N84)))</f>
        <v>ok</v>
      </c>
      <c r="O94" s="713" t="str">
        <f t="shared" si="6"/>
        <v>ok</v>
      </c>
      <c r="P94" s="713" t="str">
        <f t="shared" si="6"/>
        <v>ok</v>
      </c>
      <c r="Q94" s="713" t="str">
        <f t="shared" si="6"/>
        <v>ok</v>
      </c>
      <c r="R94" s="714"/>
      <c r="S94" s="3"/>
      <c r="T94" s="3"/>
      <c r="U94" s="3"/>
      <c r="V94" s="3"/>
      <c r="W94" s="3"/>
      <c r="X94" s="3"/>
      <c r="Y94" s="3"/>
      <c r="Z94" s="3"/>
      <c r="AA94" s="3"/>
      <c r="AB94" s="3"/>
      <c r="AC94" s="3"/>
      <c r="AD94" s="3"/>
      <c r="AE94" s="3"/>
      <c r="AF94"/>
      <c r="AG94"/>
      <c r="AH94"/>
      <c r="AI94"/>
      <c r="AJ94"/>
    </row>
    <row r="95" spans="1:36" x14ac:dyDescent="0.2">
      <c r="A95" s="841"/>
      <c r="B95" s="3"/>
      <c r="C95" s="3"/>
      <c r="D95" s="3"/>
      <c r="E95" s="3"/>
      <c r="F95" s="3"/>
      <c r="G95" s="3"/>
      <c r="H95" s="3"/>
      <c r="I95" s="3"/>
      <c r="J95" s="3"/>
      <c r="K95" s="3"/>
      <c r="L95" s="488"/>
      <c r="M95" s="125"/>
      <c r="N95" s="488"/>
      <c r="O95" s="3"/>
      <c r="P95" s="3"/>
      <c r="Q95" s="3"/>
      <c r="R95" s="3"/>
      <c r="S95" s="3"/>
      <c r="T95" s="3"/>
      <c r="U95" s="3"/>
      <c r="V95" s="3"/>
      <c r="W95" s="3"/>
      <c r="X95" s="3"/>
      <c r="Y95" s="3"/>
      <c r="Z95" s="3"/>
      <c r="AA95" s="3"/>
      <c r="AB95" s="3"/>
      <c r="AC95" s="3"/>
      <c r="AD95" s="3"/>
      <c r="AE95" s="3"/>
      <c r="AF95"/>
      <c r="AG95"/>
      <c r="AH95"/>
      <c r="AI95"/>
      <c r="AJ95"/>
    </row>
    <row r="96" spans="1:36" x14ac:dyDescent="0.2">
      <c r="A96" s="841"/>
      <c r="B96" s="3"/>
      <c r="C96" s="3"/>
      <c r="D96" s="3"/>
      <c r="E96" s="3"/>
      <c r="F96" s="3"/>
      <c r="G96" s="3"/>
      <c r="H96" s="3"/>
      <c r="I96" s="3"/>
      <c r="J96" s="3"/>
      <c r="K96" s="125"/>
      <c r="L96" s="303"/>
      <c r="M96" s="303"/>
      <c r="N96" s="489"/>
      <c r="O96" s="303"/>
      <c r="P96" s="303"/>
      <c r="Q96" s="303"/>
      <c r="R96" s="3"/>
      <c r="S96" s="3"/>
      <c r="T96" s="3"/>
      <c r="U96" s="3"/>
      <c r="V96" s="3"/>
      <c r="W96" s="3"/>
      <c r="X96" s="3"/>
      <c r="Y96" s="3"/>
      <c r="Z96" s="3"/>
      <c r="AA96" s="3"/>
      <c r="AB96" s="3"/>
      <c r="AC96" s="3"/>
      <c r="AD96" s="3"/>
      <c r="AE96" s="3"/>
      <c r="AF96" s="423"/>
      <c r="AG96" s="423"/>
      <c r="AH96" s="423"/>
      <c r="AI96" s="423"/>
      <c r="AJ96" s="423"/>
    </row>
    <row r="97" spans="1:36" x14ac:dyDescent="0.2">
      <c r="A97" s="841"/>
      <c r="C97" s="3"/>
      <c r="D97" s="3"/>
      <c r="E97" s="3"/>
      <c r="F97" s="3"/>
      <c r="G97" s="3"/>
      <c r="H97" s="3"/>
      <c r="I97" s="3"/>
      <c r="J97" s="3"/>
      <c r="K97" s="3"/>
      <c r="L97" s="3"/>
      <c r="M97" s="3"/>
      <c r="N97" s="125"/>
      <c r="O97" s="3"/>
      <c r="P97" s="3"/>
      <c r="Q97" s="3"/>
      <c r="R97" s="3"/>
      <c r="S97" s="3"/>
      <c r="T97" s="3"/>
      <c r="U97" s="3"/>
      <c r="V97" s="3"/>
      <c r="W97" s="3"/>
      <c r="X97" s="3"/>
      <c r="Y97" s="3"/>
      <c r="Z97" s="3"/>
      <c r="AA97" s="3"/>
      <c r="AB97" s="3"/>
      <c r="AC97" s="3"/>
      <c r="AD97" s="3"/>
      <c r="AE97" s="3"/>
      <c r="AF97" s="423"/>
      <c r="AG97" s="423"/>
      <c r="AH97" s="423"/>
      <c r="AI97" s="423"/>
      <c r="AJ97" s="423"/>
    </row>
    <row r="98" spans="1:36" s="3" customFormat="1" x14ac:dyDescent="0.2">
      <c r="A98" s="841"/>
      <c r="AF98" s="1510"/>
      <c r="AG98" s="1510"/>
      <c r="AH98" s="1510"/>
      <c r="AI98" s="1510"/>
      <c r="AJ98" s="1510"/>
    </row>
    <row r="99" spans="1:36" s="3" customFormat="1" x14ac:dyDescent="0.2">
      <c r="A99" s="841"/>
      <c r="AF99" s="1510"/>
      <c r="AG99" s="1510"/>
      <c r="AH99" s="1510"/>
      <c r="AI99" s="1510"/>
      <c r="AJ99" s="1510"/>
    </row>
    <row r="100" spans="1:36" s="3" customFormat="1" x14ac:dyDescent="0.2">
      <c r="A100" s="841"/>
      <c r="AF100" s="1510"/>
      <c r="AG100" s="1510"/>
      <c r="AH100" s="1510"/>
      <c r="AI100" s="1510"/>
      <c r="AJ100" s="1510"/>
    </row>
    <row r="101" spans="1:36" s="3" customFormat="1" x14ac:dyDescent="0.2">
      <c r="A101" s="841"/>
      <c r="AF101" s="1510"/>
      <c r="AG101" s="1510"/>
      <c r="AH101" s="1510"/>
      <c r="AI101" s="1510"/>
      <c r="AJ101" s="1510"/>
    </row>
    <row r="102" spans="1:36" s="3" customFormat="1" x14ac:dyDescent="0.2">
      <c r="A102" s="841"/>
      <c r="AF102" s="1510"/>
      <c r="AG102" s="1510"/>
      <c r="AH102" s="1510"/>
      <c r="AI102" s="1510"/>
      <c r="AJ102" s="1510"/>
    </row>
    <row r="103" spans="1:36" s="3" customFormat="1" x14ac:dyDescent="0.2">
      <c r="A103" s="841"/>
      <c r="AF103" s="1510"/>
      <c r="AG103" s="1510"/>
      <c r="AH103" s="1510"/>
      <c r="AI103" s="1510"/>
      <c r="AJ103" s="1510"/>
    </row>
    <row r="104" spans="1:36" s="3" customFormat="1" x14ac:dyDescent="0.2">
      <c r="A104" s="841"/>
      <c r="AF104" s="1510"/>
      <c r="AG104" s="1510"/>
      <c r="AH104" s="1510"/>
      <c r="AI104" s="1510"/>
      <c r="AJ104" s="1510"/>
    </row>
    <row r="105" spans="1:36" s="3" customFormat="1" x14ac:dyDescent="0.2">
      <c r="A105" s="841"/>
      <c r="AF105" s="1510"/>
      <c r="AG105" s="1510"/>
      <c r="AH105" s="1510"/>
      <c r="AI105" s="1510"/>
      <c r="AJ105" s="1510"/>
    </row>
    <row r="106" spans="1:36" s="3" customFormat="1" x14ac:dyDescent="0.2">
      <c r="A106" s="841"/>
      <c r="AF106" s="1510"/>
      <c r="AG106" s="1510"/>
      <c r="AH106" s="1510"/>
      <c r="AI106" s="1510"/>
      <c r="AJ106" s="1510"/>
    </row>
    <row r="107" spans="1:36" s="3" customFormat="1" x14ac:dyDescent="0.2">
      <c r="A107" s="841"/>
      <c r="AF107" s="1510"/>
      <c r="AG107" s="1510"/>
      <c r="AH107" s="1510"/>
      <c r="AI107" s="1510"/>
      <c r="AJ107" s="1510"/>
    </row>
    <row r="108" spans="1:36" s="3" customFormat="1" x14ac:dyDescent="0.2">
      <c r="A108" s="841"/>
      <c r="AF108" s="1510"/>
      <c r="AG108" s="1510"/>
      <c r="AH108" s="1510"/>
      <c r="AI108" s="1510"/>
      <c r="AJ108" s="1510"/>
    </row>
    <row r="109" spans="1:36" s="3" customFormat="1" x14ac:dyDescent="0.2">
      <c r="A109" s="841"/>
      <c r="AF109" s="1510"/>
      <c r="AG109" s="1510"/>
      <c r="AH109" s="1510"/>
      <c r="AI109" s="1510"/>
      <c r="AJ109" s="1510"/>
    </row>
    <row r="110" spans="1:36" s="3" customFormat="1" x14ac:dyDescent="0.2">
      <c r="A110" s="841"/>
      <c r="AF110" s="1510"/>
      <c r="AG110" s="1510"/>
      <c r="AH110" s="1510"/>
      <c r="AI110" s="1510"/>
      <c r="AJ110" s="1510"/>
    </row>
    <row r="111" spans="1:36" s="3" customFormat="1" x14ac:dyDescent="0.2">
      <c r="A111" s="841"/>
      <c r="AF111" s="1510"/>
      <c r="AG111" s="1510"/>
      <c r="AH111" s="1510"/>
      <c r="AI111" s="1510"/>
      <c r="AJ111" s="1510"/>
    </row>
    <row r="112" spans="1:36" s="3" customFormat="1" x14ac:dyDescent="0.2">
      <c r="A112" s="841"/>
      <c r="AF112" s="1510"/>
      <c r="AG112" s="1510"/>
      <c r="AH112" s="1510"/>
      <c r="AI112" s="1510"/>
      <c r="AJ112" s="1510"/>
    </row>
    <row r="113" spans="1:36" s="3" customFormat="1" x14ac:dyDescent="0.2">
      <c r="A113" s="841"/>
      <c r="AF113" s="1510"/>
      <c r="AG113" s="1510"/>
      <c r="AH113" s="1510"/>
      <c r="AI113" s="1510"/>
      <c r="AJ113" s="1510"/>
    </row>
    <row r="114" spans="1:36" s="3" customFormat="1" x14ac:dyDescent="0.2">
      <c r="A114" s="841"/>
      <c r="AF114" s="1510"/>
      <c r="AG114" s="1510"/>
      <c r="AH114" s="1510"/>
      <c r="AI114" s="1510"/>
      <c r="AJ114" s="1510"/>
    </row>
    <row r="115" spans="1:36" s="3" customFormat="1" x14ac:dyDescent="0.2">
      <c r="A115" s="841"/>
      <c r="AF115" s="1510"/>
      <c r="AG115" s="1510"/>
      <c r="AH115" s="1510"/>
      <c r="AI115" s="1510"/>
      <c r="AJ115" s="1510"/>
    </row>
    <row r="116" spans="1:36" s="3" customFormat="1" x14ac:dyDescent="0.2">
      <c r="A116" s="841"/>
      <c r="AF116" s="1510"/>
      <c r="AG116" s="1510"/>
      <c r="AH116" s="1510"/>
      <c r="AI116" s="1510"/>
      <c r="AJ116" s="1510"/>
    </row>
    <row r="117" spans="1:36" s="3" customFormat="1" x14ac:dyDescent="0.2">
      <c r="A117" s="841"/>
      <c r="AF117" s="1510"/>
      <c r="AG117" s="1510"/>
      <c r="AH117" s="1510"/>
      <c r="AI117" s="1510"/>
      <c r="AJ117" s="1510"/>
    </row>
    <row r="118" spans="1:36" s="3" customFormat="1" x14ac:dyDescent="0.2">
      <c r="A118" s="841"/>
      <c r="AF118" s="1510"/>
      <c r="AG118" s="1510"/>
      <c r="AH118" s="1510"/>
      <c r="AI118" s="1510"/>
      <c r="AJ118" s="1510"/>
    </row>
    <row r="119" spans="1:36" s="3" customFormat="1" x14ac:dyDescent="0.2">
      <c r="A119" s="841"/>
      <c r="AF119" s="1510"/>
      <c r="AG119" s="1510"/>
      <c r="AH119" s="1510"/>
      <c r="AI119" s="1510"/>
      <c r="AJ119" s="1510"/>
    </row>
    <row r="120" spans="1:36" s="3" customFormat="1" x14ac:dyDescent="0.2">
      <c r="A120" s="841"/>
      <c r="AF120" s="1510"/>
      <c r="AG120" s="1510"/>
      <c r="AH120" s="1510"/>
      <c r="AI120" s="1510"/>
      <c r="AJ120" s="1510"/>
    </row>
    <row r="121" spans="1:36" s="3" customFormat="1" x14ac:dyDescent="0.2">
      <c r="A121" s="841"/>
      <c r="AF121" s="1510"/>
      <c r="AG121" s="1510"/>
      <c r="AH121" s="1510"/>
      <c r="AI121" s="1510"/>
      <c r="AJ121" s="1510"/>
    </row>
    <row r="122" spans="1:36" s="3" customFormat="1" x14ac:dyDescent="0.2">
      <c r="A122" s="841"/>
      <c r="AF122" s="1510"/>
      <c r="AG122" s="1510"/>
      <c r="AH122" s="1510"/>
      <c r="AI122" s="1510"/>
      <c r="AJ122" s="1510"/>
    </row>
    <row r="123" spans="1:36" s="3" customFormat="1" x14ac:dyDescent="0.2">
      <c r="A123" s="841"/>
      <c r="AF123" s="1510"/>
      <c r="AG123" s="1510"/>
      <c r="AH123" s="1510"/>
      <c r="AI123" s="1510"/>
      <c r="AJ123" s="1510"/>
    </row>
    <row r="124" spans="1:36" s="3" customFormat="1" x14ac:dyDescent="0.2">
      <c r="A124" s="841"/>
      <c r="AF124" s="1510"/>
      <c r="AG124" s="1510"/>
      <c r="AH124" s="1510"/>
      <c r="AI124" s="1510"/>
      <c r="AJ124" s="1510"/>
    </row>
    <row r="125" spans="1:36" s="3" customFormat="1" x14ac:dyDescent="0.2">
      <c r="A125" s="841"/>
      <c r="AF125" s="1510"/>
      <c r="AG125" s="1510"/>
      <c r="AH125" s="1510"/>
      <c r="AI125" s="1510"/>
      <c r="AJ125" s="1510"/>
    </row>
    <row r="126" spans="1:36" s="3" customFormat="1" x14ac:dyDescent="0.2">
      <c r="A126" s="841"/>
      <c r="AF126" s="1510"/>
      <c r="AG126" s="1510"/>
      <c r="AH126" s="1510"/>
      <c r="AI126" s="1510"/>
      <c r="AJ126" s="1510"/>
    </row>
    <row r="127" spans="1:36" s="3" customFormat="1" x14ac:dyDescent="0.2">
      <c r="A127" s="841"/>
      <c r="AF127" s="1510"/>
      <c r="AG127" s="1510"/>
      <c r="AH127" s="1510"/>
      <c r="AI127" s="1510"/>
      <c r="AJ127" s="1510"/>
    </row>
    <row r="128" spans="1:36" s="3" customFormat="1" x14ac:dyDescent="0.2">
      <c r="A128" s="841"/>
      <c r="AF128" s="1510"/>
      <c r="AG128" s="1510"/>
      <c r="AH128" s="1510"/>
      <c r="AI128" s="1510"/>
      <c r="AJ128" s="1510"/>
    </row>
    <row r="129" spans="1:36" s="3" customFormat="1" x14ac:dyDescent="0.2">
      <c r="A129" s="841"/>
      <c r="AF129" s="1510"/>
      <c r="AG129" s="1510"/>
      <c r="AH129" s="1510"/>
      <c r="AI129" s="1510"/>
      <c r="AJ129" s="1510"/>
    </row>
    <row r="130" spans="1:36" s="3" customFormat="1" x14ac:dyDescent="0.2">
      <c r="A130" s="841"/>
      <c r="AF130" s="1510"/>
      <c r="AG130" s="1510"/>
      <c r="AH130" s="1510"/>
      <c r="AI130" s="1510"/>
      <c r="AJ130" s="1510"/>
    </row>
    <row r="131" spans="1:36" s="3" customFormat="1" x14ac:dyDescent="0.2">
      <c r="A131" s="841"/>
      <c r="AF131" s="1510"/>
      <c r="AG131" s="1510"/>
      <c r="AH131" s="1510"/>
      <c r="AI131" s="1510"/>
      <c r="AJ131" s="1510"/>
    </row>
    <row r="132" spans="1:36" s="3" customFormat="1" x14ac:dyDescent="0.2">
      <c r="A132" s="841"/>
      <c r="AF132" s="1510"/>
      <c r="AG132" s="1510"/>
      <c r="AH132" s="1510"/>
      <c r="AI132" s="1510"/>
      <c r="AJ132" s="1510"/>
    </row>
    <row r="133" spans="1:36" s="3" customFormat="1" x14ac:dyDescent="0.2">
      <c r="A133" s="841"/>
      <c r="AF133" s="1510"/>
      <c r="AG133" s="1510"/>
      <c r="AH133" s="1510"/>
      <c r="AI133" s="1510"/>
      <c r="AJ133" s="1510"/>
    </row>
    <row r="134" spans="1:36" s="3" customFormat="1" x14ac:dyDescent="0.2">
      <c r="A134" s="841"/>
      <c r="AF134" s="1510"/>
      <c r="AG134" s="1510"/>
      <c r="AH134" s="1510"/>
      <c r="AI134" s="1510"/>
      <c r="AJ134" s="1510"/>
    </row>
    <row r="135" spans="1:36" s="3" customFormat="1" x14ac:dyDescent="0.2">
      <c r="A135" s="841"/>
      <c r="AF135" s="1510"/>
      <c r="AG135" s="1510"/>
      <c r="AH135" s="1510"/>
      <c r="AI135" s="1510"/>
      <c r="AJ135" s="1510"/>
    </row>
    <row r="136" spans="1:36" s="3" customFormat="1" x14ac:dyDescent="0.2">
      <c r="A136" s="841"/>
      <c r="AF136" s="1510"/>
      <c r="AG136" s="1510"/>
      <c r="AH136" s="1510"/>
      <c r="AI136" s="1510"/>
      <c r="AJ136" s="1510"/>
    </row>
    <row r="137" spans="1:36" s="3" customFormat="1" x14ac:dyDescent="0.2">
      <c r="A137" s="841"/>
      <c r="AF137" s="1510"/>
      <c r="AG137" s="1510"/>
      <c r="AH137" s="1510"/>
      <c r="AI137" s="1510"/>
      <c r="AJ137" s="1510"/>
    </row>
    <row r="138" spans="1:36" s="3" customFormat="1" x14ac:dyDescent="0.2">
      <c r="A138" s="841"/>
      <c r="AF138" s="1510"/>
      <c r="AG138" s="1510"/>
      <c r="AH138" s="1510"/>
      <c r="AI138" s="1510"/>
      <c r="AJ138" s="1510"/>
    </row>
    <row r="139" spans="1:36" s="3" customFormat="1" x14ac:dyDescent="0.2">
      <c r="A139" s="841"/>
      <c r="AF139" s="1510"/>
      <c r="AG139" s="1510"/>
      <c r="AH139" s="1510"/>
      <c r="AI139" s="1510"/>
      <c r="AJ139" s="1510"/>
    </row>
    <row r="140" spans="1:36" s="3" customFormat="1" x14ac:dyDescent="0.2">
      <c r="A140" s="841"/>
      <c r="AF140" s="1510"/>
      <c r="AG140" s="1510"/>
      <c r="AH140" s="1510"/>
      <c r="AI140" s="1510"/>
      <c r="AJ140" s="1510"/>
    </row>
    <row r="141" spans="1:36" s="3" customFormat="1" x14ac:dyDescent="0.2">
      <c r="A141" s="841"/>
      <c r="AF141" s="1510"/>
      <c r="AG141" s="1510"/>
      <c r="AH141" s="1510"/>
      <c r="AI141" s="1510"/>
      <c r="AJ141" s="1510"/>
    </row>
    <row r="142" spans="1:36" s="3" customFormat="1" x14ac:dyDescent="0.2">
      <c r="A142" s="841"/>
      <c r="AF142" s="1510"/>
      <c r="AG142" s="1510"/>
      <c r="AH142" s="1510"/>
      <c r="AI142" s="1510"/>
      <c r="AJ142" s="1510"/>
    </row>
    <row r="143" spans="1:36" s="3" customFormat="1" x14ac:dyDescent="0.2">
      <c r="A143" s="841"/>
      <c r="AF143" s="1510"/>
      <c r="AG143" s="1510"/>
      <c r="AH143" s="1510"/>
      <c r="AI143" s="1510"/>
      <c r="AJ143" s="1510"/>
    </row>
    <row r="144" spans="1:36" s="3" customFormat="1" x14ac:dyDescent="0.2">
      <c r="A144" s="841"/>
      <c r="AF144" s="1510"/>
      <c r="AG144" s="1510"/>
      <c r="AH144" s="1510"/>
      <c r="AI144" s="1510"/>
      <c r="AJ144" s="1510"/>
    </row>
    <row r="145" spans="1:36" s="3" customFormat="1" x14ac:dyDescent="0.2">
      <c r="A145" s="841"/>
      <c r="AF145" s="1510"/>
      <c r="AG145" s="1510"/>
      <c r="AH145" s="1510"/>
      <c r="AI145" s="1510"/>
      <c r="AJ145" s="1510"/>
    </row>
    <row r="146" spans="1:36" s="3" customFormat="1" x14ac:dyDescent="0.2">
      <c r="A146" s="841"/>
      <c r="AF146" s="1510"/>
      <c r="AG146" s="1510"/>
      <c r="AH146" s="1510"/>
      <c r="AI146" s="1510"/>
      <c r="AJ146" s="1510"/>
    </row>
    <row r="147" spans="1:36" s="3" customFormat="1" x14ac:dyDescent="0.2">
      <c r="A147" s="841"/>
      <c r="AF147" s="1510"/>
      <c r="AG147" s="1510"/>
      <c r="AH147" s="1510"/>
      <c r="AI147" s="1510"/>
      <c r="AJ147" s="1510"/>
    </row>
    <row r="148" spans="1:36" s="3" customFormat="1" x14ac:dyDescent="0.2">
      <c r="A148" s="841"/>
      <c r="AF148" s="1510"/>
      <c r="AG148" s="1510"/>
      <c r="AH148" s="1510"/>
      <c r="AI148" s="1510"/>
      <c r="AJ148" s="1510"/>
    </row>
    <row r="149" spans="1:36" s="3" customFormat="1" x14ac:dyDescent="0.2">
      <c r="A149" s="841"/>
      <c r="AF149" s="1510"/>
      <c r="AG149" s="1510"/>
      <c r="AH149" s="1510"/>
      <c r="AI149" s="1510"/>
      <c r="AJ149" s="1510"/>
    </row>
    <row r="150" spans="1:36" s="3" customFormat="1" x14ac:dyDescent="0.2">
      <c r="A150" s="841"/>
      <c r="AF150" s="1510"/>
      <c r="AG150" s="1510"/>
      <c r="AH150" s="1510"/>
      <c r="AI150" s="1510"/>
      <c r="AJ150" s="1510"/>
    </row>
    <row r="151" spans="1:36" s="3" customFormat="1" x14ac:dyDescent="0.2">
      <c r="A151" s="841"/>
      <c r="AF151" s="1510"/>
      <c r="AG151" s="1510"/>
      <c r="AH151" s="1510"/>
      <c r="AI151" s="1510"/>
      <c r="AJ151" s="1510"/>
    </row>
    <row r="152" spans="1:36" s="3" customFormat="1" x14ac:dyDescent="0.2">
      <c r="A152" s="841"/>
      <c r="AF152" s="1510"/>
      <c r="AG152" s="1510"/>
      <c r="AH152" s="1510"/>
      <c r="AI152" s="1510"/>
      <c r="AJ152" s="1510"/>
    </row>
    <row r="153" spans="1:36" s="3" customFormat="1" x14ac:dyDescent="0.2">
      <c r="A153" s="841"/>
      <c r="AF153" s="1510"/>
      <c r="AG153" s="1510"/>
      <c r="AH153" s="1510"/>
      <c r="AI153" s="1510"/>
      <c r="AJ153" s="1510"/>
    </row>
    <row r="154" spans="1:36" s="3" customFormat="1" x14ac:dyDescent="0.2">
      <c r="A154" s="841"/>
      <c r="AF154" s="1510"/>
      <c r="AG154" s="1510"/>
      <c r="AH154" s="1510"/>
      <c r="AI154" s="1510"/>
      <c r="AJ154" s="1510"/>
    </row>
    <row r="155" spans="1:36" s="3" customFormat="1" x14ac:dyDescent="0.2">
      <c r="A155" s="841"/>
      <c r="AF155" s="1510"/>
      <c r="AG155" s="1510"/>
      <c r="AH155" s="1510"/>
      <c r="AI155" s="1510"/>
      <c r="AJ155" s="1510"/>
    </row>
    <row r="156" spans="1:36" s="3" customFormat="1" x14ac:dyDescent="0.2">
      <c r="A156" s="841"/>
      <c r="AF156" s="1510"/>
      <c r="AG156" s="1510"/>
      <c r="AH156" s="1510"/>
      <c r="AI156" s="1510"/>
      <c r="AJ156" s="1510"/>
    </row>
    <row r="157" spans="1:36" s="3" customFormat="1" x14ac:dyDescent="0.2">
      <c r="A157" s="841"/>
      <c r="AF157" s="1510"/>
      <c r="AG157" s="1510"/>
      <c r="AH157" s="1510"/>
      <c r="AI157" s="1510"/>
      <c r="AJ157" s="1510"/>
    </row>
    <row r="158" spans="1:36" s="3" customFormat="1" x14ac:dyDescent="0.2">
      <c r="A158" s="841"/>
      <c r="AF158" s="1510"/>
      <c r="AG158" s="1510"/>
      <c r="AH158" s="1510"/>
      <c r="AI158" s="1510"/>
      <c r="AJ158" s="1510"/>
    </row>
    <row r="159" spans="1:36" s="3" customFormat="1" x14ac:dyDescent="0.2">
      <c r="A159" s="841"/>
      <c r="AF159" s="1510"/>
      <c r="AG159" s="1510"/>
      <c r="AH159" s="1510"/>
      <c r="AI159" s="1510"/>
      <c r="AJ159" s="1510"/>
    </row>
    <row r="160" spans="1:36" s="3" customFormat="1" x14ac:dyDescent="0.2">
      <c r="A160" s="841"/>
      <c r="AF160" s="1510"/>
      <c r="AG160" s="1510"/>
      <c r="AH160" s="1510"/>
      <c r="AI160" s="1510"/>
      <c r="AJ160" s="1510"/>
    </row>
    <row r="161" spans="1:36" s="3" customFormat="1" x14ac:dyDescent="0.2">
      <c r="A161" s="841"/>
      <c r="AF161" s="1510"/>
      <c r="AG161" s="1510"/>
      <c r="AH161" s="1510"/>
      <c r="AI161" s="1510"/>
      <c r="AJ161" s="1510"/>
    </row>
    <row r="162" spans="1:36" s="3" customFormat="1" x14ac:dyDescent="0.2">
      <c r="A162" s="841"/>
      <c r="AF162" s="1510"/>
      <c r="AG162" s="1510"/>
      <c r="AH162" s="1510"/>
      <c r="AI162" s="1510"/>
      <c r="AJ162" s="1510"/>
    </row>
    <row r="163" spans="1:36" s="3" customFormat="1" x14ac:dyDescent="0.2">
      <c r="A163" s="841"/>
      <c r="AF163" s="1510"/>
      <c r="AG163" s="1510"/>
      <c r="AH163" s="1510"/>
      <c r="AI163" s="1510"/>
      <c r="AJ163" s="1510"/>
    </row>
    <row r="164" spans="1:36" s="3" customFormat="1" x14ac:dyDescent="0.2">
      <c r="A164" s="841"/>
      <c r="AF164" s="1510"/>
      <c r="AG164" s="1510"/>
      <c r="AH164" s="1510"/>
      <c r="AI164" s="1510"/>
      <c r="AJ164" s="1510"/>
    </row>
    <row r="165" spans="1:36" s="3" customFormat="1" x14ac:dyDescent="0.2">
      <c r="A165" s="841"/>
      <c r="AF165" s="1510"/>
      <c r="AG165" s="1510"/>
      <c r="AH165" s="1510"/>
      <c r="AI165" s="1510"/>
      <c r="AJ165" s="1510"/>
    </row>
    <row r="166" spans="1:36" s="3" customFormat="1" x14ac:dyDescent="0.2">
      <c r="A166" s="841"/>
      <c r="AF166" s="1510"/>
      <c r="AG166" s="1510"/>
      <c r="AH166" s="1510"/>
      <c r="AI166" s="1510"/>
      <c r="AJ166" s="1510"/>
    </row>
    <row r="167" spans="1:36" s="3" customFormat="1" x14ac:dyDescent="0.2">
      <c r="A167" s="841"/>
      <c r="AF167" s="1510"/>
      <c r="AG167" s="1510"/>
      <c r="AH167" s="1510"/>
      <c r="AI167" s="1510"/>
      <c r="AJ167" s="1510"/>
    </row>
    <row r="168" spans="1:36" s="3" customFormat="1" x14ac:dyDescent="0.2">
      <c r="A168" s="841"/>
      <c r="AF168" s="1510"/>
      <c r="AG168" s="1510"/>
      <c r="AH168" s="1510"/>
      <c r="AI168" s="1510"/>
      <c r="AJ168" s="1510"/>
    </row>
    <row r="169" spans="1:36" s="3" customFormat="1" x14ac:dyDescent="0.2">
      <c r="A169" s="841"/>
      <c r="AF169" s="1510"/>
      <c r="AG169" s="1510"/>
      <c r="AH169" s="1510"/>
      <c r="AI169" s="1510"/>
      <c r="AJ169" s="1510"/>
    </row>
    <row r="170" spans="1:36" s="3" customFormat="1" x14ac:dyDescent="0.2">
      <c r="A170" s="841"/>
      <c r="AF170" s="1510"/>
      <c r="AG170" s="1510"/>
      <c r="AH170" s="1510"/>
      <c r="AI170" s="1510"/>
      <c r="AJ170" s="1510"/>
    </row>
    <row r="171" spans="1:36" s="3" customFormat="1" x14ac:dyDescent="0.2">
      <c r="A171" s="841"/>
      <c r="AF171" s="1510"/>
      <c r="AG171" s="1510"/>
      <c r="AH171" s="1510"/>
      <c r="AI171" s="1510"/>
      <c r="AJ171" s="1510"/>
    </row>
    <row r="172" spans="1:36" s="3" customFormat="1" x14ac:dyDescent="0.2">
      <c r="A172" s="841"/>
      <c r="AF172" s="1510"/>
      <c r="AG172" s="1510"/>
      <c r="AH172" s="1510"/>
      <c r="AI172" s="1510"/>
      <c r="AJ172" s="1510"/>
    </row>
    <row r="173" spans="1:36" s="3" customFormat="1" x14ac:dyDescent="0.2">
      <c r="A173" s="841"/>
      <c r="AF173" s="1510"/>
      <c r="AG173" s="1510"/>
      <c r="AH173" s="1510"/>
      <c r="AI173" s="1510"/>
      <c r="AJ173" s="1510"/>
    </row>
    <row r="174" spans="1:36" s="3" customFormat="1" x14ac:dyDescent="0.2">
      <c r="A174" s="841"/>
      <c r="AF174" s="1510"/>
      <c r="AG174" s="1510"/>
      <c r="AH174" s="1510"/>
      <c r="AI174" s="1510"/>
      <c r="AJ174" s="1510"/>
    </row>
    <row r="175" spans="1:36" s="3" customFormat="1" x14ac:dyDescent="0.2">
      <c r="A175" s="841"/>
      <c r="AF175" s="1510"/>
      <c r="AG175" s="1510"/>
      <c r="AH175" s="1510"/>
      <c r="AI175" s="1510"/>
      <c r="AJ175" s="1510"/>
    </row>
    <row r="176" spans="1:36" s="3" customFormat="1" x14ac:dyDescent="0.2">
      <c r="A176" s="841"/>
      <c r="AF176" s="1510"/>
      <c r="AG176" s="1510"/>
      <c r="AH176" s="1510"/>
      <c r="AI176" s="1510"/>
      <c r="AJ176" s="1510"/>
    </row>
    <row r="177" spans="1:36" s="3" customFormat="1" x14ac:dyDescent="0.2">
      <c r="A177" s="841"/>
      <c r="AF177" s="1510"/>
      <c r="AG177" s="1510"/>
      <c r="AH177" s="1510"/>
      <c r="AI177" s="1510"/>
      <c r="AJ177" s="1510"/>
    </row>
    <row r="178" spans="1:36" s="3" customFormat="1" x14ac:dyDescent="0.2">
      <c r="A178" s="841"/>
      <c r="AF178" s="1510"/>
      <c r="AG178" s="1510"/>
      <c r="AH178" s="1510"/>
      <c r="AI178" s="1510"/>
      <c r="AJ178" s="1510"/>
    </row>
    <row r="179" spans="1:36" s="3" customFormat="1" x14ac:dyDescent="0.2">
      <c r="A179" s="841"/>
      <c r="AF179" s="1510"/>
      <c r="AG179" s="1510"/>
      <c r="AH179" s="1510"/>
      <c r="AI179" s="1510"/>
      <c r="AJ179" s="1510"/>
    </row>
    <row r="180" spans="1:36" s="3" customFormat="1" x14ac:dyDescent="0.2">
      <c r="A180" s="841"/>
      <c r="AF180" s="1510"/>
      <c r="AG180" s="1510"/>
      <c r="AH180" s="1510"/>
      <c r="AI180" s="1510"/>
      <c r="AJ180" s="1510"/>
    </row>
    <row r="181" spans="1:36" s="3" customFormat="1" x14ac:dyDescent="0.2">
      <c r="A181" s="841"/>
      <c r="AF181" s="1510"/>
      <c r="AG181" s="1510"/>
      <c r="AH181" s="1510"/>
      <c r="AI181" s="1510"/>
      <c r="AJ181" s="1510"/>
    </row>
    <row r="182" spans="1:36" s="3" customFormat="1" x14ac:dyDescent="0.2">
      <c r="A182" s="841"/>
      <c r="AF182" s="1510"/>
      <c r="AG182" s="1510"/>
      <c r="AH182" s="1510"/>
      <c r="AI182" s="1510"/>
      <c r="AJ182" s="1510"/>
    </row>
    <row r="183" spans="1:36" s="3" customFormat="1" x14ac:dyDescent="0.2">
      <c r="A183" s="841"/>
      <c r="AF183" s="1510"/>
      <c r="AG183" s="1510"/>
      <c r="AH183" s="1510"/>
      <c r="AI183" s="1510"/>
      <c r="AJ183" s="1510"/>
    </row>
    <row r="184" spans="1:36" s="3" customFormat="1" x14ac:dyDescent="0.2">
      <c r="A184" s="841"/>
      <c r="AF184" s="1510"/>
      <c r="AG184" s="1510"/>
      <c r="AH184" s="1510"/>
      <c r="AI184" s="1510"/>
      <c r="AJ184" s="1510"/>
    </row>
    <row r="185" spans="1:36" s="3" customFormat="1" x14ac:dyDescent="0.2">
      <c r="A185" s="841"/>
      <c r="AF185" s="1510"/>
      <c r="AG185" s="1510"/>
      <c r="AH185" s="1510"/>
      <c r="AI185" s="1510"/>
      <c r="AJ185" s="1510"/>
    </row>
    <row r="186" spans="1:36" s="3" customFormat="1" x14ac:dyDescent="0.2">
      <c r="A186" s="841"/>
      <c r="AF186" s="1510"/>
      <c r="AG186" s="1510"/>
      <c r="AH186" s="1510"/>
      <c r="AI186" s="1510"/>
      <c r="AJ186" s="1510"/>
    </row>
    <row r="187" spans="1:36" s="3" customFormat="1" x14ac:dyDescent="0.2">
      <c r="A187" s="841"/>
      <c r="AF187" s="1510"/>
      <c r="AG187" s="1510"/>
      <c r="AH187" s="1510"/>
      <c r="AI187" s="1510"/>
      <c r="AJ187" s="1510"/>
    </row>
    <row r="188" spans="1:36" s="3" customFormat="1" x14ac:dyDescent="0.2">
      <c r="A188" s="841"/>
      <c r="AF188" s="1510"/>
      <c r="AG188" s="1510"/>
      <c r="AH188" s="1510"/>
      <c r="AI188" s="1510"/>
      <c r="AJ188" s="1510"/>
    </row>
    <row r="189" spans="1:36" s="3" customFormat="1" x14ac:dyDescent="0.2">
      <c r="A189" s="841"/>
      <c r="AF189" s="1510"/>
      <c r="AG189" s="1510"/>
      <c r="AH189" s="1510"/>
      <c r="AI189" s="1510"/>
      <c r="AJ189" s="1510"/>
    </row>
    <row r="190" spans="1:36" s="3" customFormat="1" x14ac:dyDescent="0.2">
      <c r="A190" s="841"/>
      <c r="AF190" s="1510"/>
      <c r="AG190" s="1510"/>
      <c r="AH190" s="1510"/>
      <c r="AI190" s="1510"/>
      <c r="AJ190" s="1510"/>
    </row>
    <row r="191" spans="1:36" s="3" customFormat="1" x14ac:dyDescent="0.2">
      <c r="A191" s="841"/>
      <c r="AF191" s="1510"/>
      <c r="AG191" s="1510"/>
      <c r="AH191" s="1510"/>
      <c r="AI191" s="1510"/>
      <c r="AJ191" s="1510"/>
    </row>
    <row r="192" spans="1:36" s="3" customFormat="1" x14ac:dyDescent="0.2">
      <c r="A192" s="841"/>
      <c r="AF192" s="1510"/>
      <c r="AG192" s="1510"/>
      <c r="AH192" s="1510"/>
      <c r="AI192" s="1510"/>
      <c r="AJ192" s="1510"/>
    </row>
    <row r="193" spans="1:36" s="3" customFormat="1" x14ac:dyDescent="0.2">
      <c r="A193" s="841"/>
      <c r="AF193" s="1510"/>
      <c r="AG193" s="1510"/>
      <c r="AH193" s="1510"/>
      <c r="AI193" s="1510"/>
      <c r="AJ193" s="1510"/>
    </row>
    <row r="194" spans="1:36" s="3" customFormat="1" x14ac:dyDescent="0.2">
      <c r="A194" s="841"/>
      <c r="AF194" s="1510"/>
      <c r="AG194" s="1510"/>
      <c r="AH194" s="1510"/>
      <c r="AI194" s="1510"/>
      <c r="AJ194" s="1510"/>
    </row>
    <row r="195" spans="1:36" s="3" customFormat="1" x14ac:dyDescent="0.2">
      <c r="A195" s="841"/>
      <c r="AF195" s="1510"/>
      <c r="AG195" s="1510"/>
      <c r="AH195" s="1510"/>
      <c r="AI195" s="1510"/>
      <c r="AJ195" s="1510"/>
    </row>
    <row r="196" spans="1:36" s="3" customFormat="1" x14ac:dyDescent="0.2">
      <c r="A196" s="841"/>
      <c r="AF196" s="1510"/>
      <c r="AG196" s="1510"/>
      <c r="AH196" s="1510"/>
      <c r="AI196" s="1510"/>
      <c r="AJ196" s="1510"/>
    </row>
    <row r="197" spans="1:36" s="3" customFormat="1" x14ac:dyDescent="0.2">
      <c r="A197" s="841"/>
      <c r="AF197" s="1510"/>
      <c r="AG197" s="1510"/>
      <c r="AH197" s="1510"/>
      <c r="AI197" s="1510"/>
      <c r="AJ197" s="1510"/>
    </row>
    <row r="198" spans="1:36" s="3" customFormat="1" x14ac:dyDescent="0.2">
      <c r="A198" s="841"/>
      <c r="AF198" s="1510"/>
      <c r="AG198" s="1510"/>
      <c r="AH198" s="1510"/>
      <c r="AI198" s="1510"/>
      <c r="AJ198" s="1510"/>
    </row>
    <row r="199" spans="1:36" s="3" customFormat="1" x14ac:dyDescent="0.2">
      <c r="A199" s="841"/>
      <c r="AF199" s="1510"/>
      <c r="AG199" s="1510"/>
      <c r="AH199" s="1510"/>
      <c r="AI199" s="1510"/>
      <c r="AJ199" s="1510"/>
    </row>
    <row r="200" spans="1:36" s="3" customFormat="1" x14ac:dyDescent="0.2">
      <c r="A200" s="841"/>
      <c r="AF200" s="1510"/>
      <c r="AG200" s="1510"/>
      <c r="AH200" s="1510"/>
      <c r="AI200" s="1510"/>
      <c r="AJ200" s="1510"/>
    </row>
    <row r="201" spans="1:36" s="3" customFormat="1" x14ac:dyDescent="0.2">
      <c r="A201" s="841"/>
      <c r="AF201" s="1510"/>
      <c r="AG201" s="1510"/>
      <c r="AH201" s="1510"/>
      <c r="AI201" s="1510"/>
      <c r="AJ201" s="1510"/>
    </row>
    <row r="202" spans="1:36" s="3" customFormat="1" x14ac:dyDescent="0.2">
      <c r="A202" s="841"/>
      <c r="AF202" s="1510"/>
      <c r="AG202" s="1510"/>
      <c r="AH202" s="1510"/>
      <c r="AI202" s="1510"/>
      <c r="AJ202" s="1510"/>
    </row>
    <row r="203" spans="1:36" s="3" customFormat="1" x14ac:dyDescent="0.2">
      <c r="A203" s="841"/>
      <c r="AF203" s="1510"/>
      <c r="AG203" s="1510"/>
      <c r="AH203" s="1510"/>
      <c r="AI203" s="1510"/>
      <c r="AJ203" s="1510"/>
    </row>
    <row r="204" spans="1:36" s="3" customFormat="1" x14ac:dyDescent="0.2">
      <c r="A204" s="841"/>
      <c r="AF204" s="1510"/>
      <c r="AG204" s="1510"/>
      <c r="AH204" s="1510"/>
      <c r="AI204" s="1510"/>
      <c r="AJ204" s="1510"/>
    </row>
    <row r="205" spans="1:36" s="3" customFormat="1" x14ac:dyDescent="0.2">
      <c r="A205" s="841"/>
      <c r="AF205" s="1510"/>
      <c r="AG205" s="1510"/>
      <c r="AH205" s="1510"/>
      <c r="AI205" s="1510"/>
      <c r="AJ205" s="1510"/>
    </row>
    <row r="206" spans="1:36" s="3" customFormat="1" x14ac:dyDescent="0.2">
      <c r="A206" s="841"/>
      <c r="AF206" s="1510"/>
      <c r="AG206" s="1510"/>
      <c r="AH206" s="1510"/>
      <c r="AI206" s="1510"/>
      <c r="AJ206" s="1510"/>
    </row>
    <row r="207" spans="1:36" s="3" customFormat="1" x14ac:dyDescent="0.2">
      <c r="A207" s="841"/>
      <c r="AF207" s="1510"/>
      <c r="AG207" s="1510"/>
      <c r="AH207" s="1510"/>
      <c r="AI207" s="1510"/>
      <c r="AJ207" s="1510"/>
    </row>
    <row r="208" spans="1:36" s="3" customFormat="1" x14ac:dyDescent="0.2">
      <c r="A208" s="841"/>
      <c r="AF208" s="1510"/>
      <c r="AG208" s="1510"/>
      <c r="AH208" s="1510"/>
      <c r="AI208" s="1510"/>
      <c r="AJ208" s="1510"/>
    </row>
    <row r="209" spans="1:36" s="3" customFormat="1" x14ac:dyDescent="0.2">
      <c r="A209" s="841"/>
      <c r="AF209" s="1510"/>
      <c r="AG209" s="1510"/>
      <c r="AH209" s="1510"/>
      <c r="AI209" s="1510"/>
      <c r="AJ209" s="1510"/>
    </row>
    <row r="210" spans="1:36" s="3" customFormat="1" x14ac:dyDescent="0.2">
      <c r="A210" s="841"/>
      <c r="AF210" s="1510"/>
      <c r="AG210" s="1510"/>
      <c r="AH210" s="1510"/>
      <c r="AI210" s="1510"/>
      <c r="AJ210" s="1510"/>
    </row>
    <row r="211" spans="1:36" s="3" customFormat="1" x14ac:dyDescent="0.2">
      <c r="A211" s="841"/>
      <c r="AF211" s="1510"/>
      <c r="AG211" s="1510"/>
      <c r="AH211" s="1510"/>
      <c r="AI211" s="1510"/>
      <c r="AJ211" s="1510"/>
    </row>
    <row r="212" spans="1:36" s="3" customFormat="1" x14ac:dyDescent="0.2">
      <c r="A212" s="841"/>
      <c r="AF212" s="1510"/>
      <c r="AG212" s="1510"/>
      <c r="AH212" s="1510"/>
      <c r="AI212" s="1510"/>
      <c r="AJ212" s="1510"/>
    </row>
    <row r="213" spans="1:36" s="3" customFormat="1" x14ac:dyDescent="0.2">
      <c r="A213" s="841"/>
      <c r="AF213" s="1510"/>
      <c r="AG213" s="1510"/>
      <c r="AH213" s="1510"/>
      <c r="AI213" s="1510"/>
      <c r="AJ213" s="1510"/>
    </row>
  </sheetData>
  <sheetProtection algorithmName="SHA-512" hashValue="JiDho+7q+0UVf365k8a9FH83lp2xVs2WIyWERAZzUVAMdLqtZyELWOynQfZZ5nDhNjDW+qVo2mLIyzyL2avwJg==" saltValue="xnXj7Xvzv2XVfsan6cv4PA==" spinCount="100000" sheet="1" formatColumns="0" formatRows="0"/>
  <protectedRanges>
    <protectedRange sqref="K43:K44 O38 K57:K64" name="Range4"/>
    <protectedRange sqref="J91:Q91" name="Range3"/>
    <protectedRange sqref="K57" name="Range1"/>
    <protectedRange sqref="K58" name="Range2"/>
  </protectedRanges>
  <phoneticPr fontId="3" type="noConversion"/>
  <conditionalFormatting sqref="M86:Q86 L87:Q87">
    <cfRule type="expression" dxfId="33" priority="32">
      <formula>L$73+L$76=0</formula>
    </cfRule>
  </conditionalFormatting>
  <conditionalFormatting sqref="O58">
    <cfRule type="cellIs" dxfId="32" priority="30" operator="equal">
      <formula>"ok"</formula>
    </cfRule>
  </conditionalFormatting>
  <conditionalFormatting sqref="K79">
    <cfRule type="expression" dxfId="31" priority="29">
      <formula>K$74=0</formula>
    </cfRule>
  </conditionalFormatting>
  <conditionalFormatting sqref="L86">
    <cfRule type="expression" dxfId="30" priority="26">
      <formula>L$73+L$76=0</formula>
    </cfRule>
  </conditionalFormatting>
  <conditionalFormatting sqref="M88:Q88">
    <cfRule type="expression" dxfId="29" priority="24">
      <formula>M$73+M$76=0</formula>
    </cfRule>
  </conditionalFormatting>
  <conditionalFormatting sqref="L88">
    <cfRule type="expression" dxfId="28" priority="23">
      <formula>L$73+L$76=0</formula>
    </cfRule>
  </conditionalFormatting>
  <conditionalFormatting sqref="L92:Q92">
    <cfRule type="expression" dxfId="27" priority="22">
      <formula>L$73+L$76=0</formula>
    </cfRule>
  </conditionalFormatting>
  <conditionalFormatting sqref="K64 L82:Q82">
    <cfRule type="expression" dxfId="26" priority="21">
      <formula>$W$65=2</formula>
    </cfRule>
  </conditionalFormatting>
  <conditionalFormatting sqref="K65 K82">
    <cfRule type="expression" dxfId="25" priority="18">
      <formula>$W$65=2</formula>
    </cfRule>
  </conditionalFormatting>
  <conditionalFormatting sqref="B64:B65">
    <cfRule type="expression" dxfId="24" priority="17">
      <formula>$W$65=2</formula>
    </cfRule>
  </conditionalFormatting>
  <conditionalFormatting sqref="M79:Q81">
    <cfRule type="expression" dxfId="23" priority="11">
      <formula>M$73+M$76=0</formula>
    </cfRule>
  </conditionalFormatting>
  <conditionalFormatting sqref="L79:L81">
    <cfRule type="expression" dxfId="22" priority="10">
      <formula>L$73+L$76=0</formula>
    </cfRule>
  </conditionalFormatting>
  <conditionalFormatting sqref="L78:Q78">
    <cfRule type="expression" dxfId="21" priority="5">
      <formula>L$74=0</formula>
    </cfRule>
  </conditionalFormatting>
  <conditionalFormatting sqref="O61">
    <cfRule type="cellIs" dxfId="20" priority="1" operator="equal">
      <formula>"ok"</formula>
    </cfRule>
  </conditionalFormatting>
  <conditionalFormatting sqref="L84:Q84">
    <cfRule type="expression" dxfId="19" priority="110">
      <formula>OR(L$73=0,$W$57=1)</formula>
    </cfRule>
  </conditionalFormatting>
  <dataValidations xWindow="987" yWindow="511" count="11">
    <dataValidation errorStyle="warning" allowBlank="1" showInputMessage="1" showErrorMessage="1" errorTitle="Expiring variation amount" error="The expiring variation amount must be entered as a whole negative number." sqref="B90 B75:B78 K86:Q88 K79:Q82 E92:I92"/>
    <dataValidation errorStyle="warning" allowBlank="1" showErrorMessage="1" errorTitle="Expiring variation amount" error="The expiring variation amount must be entered as a whole negative number." promptTitle="Percentage value of expiring SV" prompt="This cell calculates the percentage value of the expiring variation relative to the current year's general income" sqref="J92:Q92"/>
    <dataValidation allowBlank="1" showInputMessage="1" showErrorMessage="1" promptTitle="Prior year catch up/excess" sqref="K49"/>
    <dataValidation allowBlank="1" showInputMessage="1" showErrorMessage="1" promptTitle="Crown land adjustment" sqref="K48"/>
    <dataValidation errorStyle="warning" operator="greaterThanOrEqual" allowBlank="1" showInputMessage="1" showErrorMessage="1" errorTitle="Expiring variation amount" error="The expiring variation amount must be entered as a whole negative number." promptTitle="Expiring SV" sqref="J91:Q91"/>
    <dataValidation errorStyle="warning" allowBlank="1" showInputMessage="1" showErrorMessage="1" errorTitle="Expiring variation amount" error="The expiring variation amount must be entered as a whole negative number." promptTitle="Number of years before expiry" sqref="K61:K62"/>
    <dataValidation allowBlank="1" showErrorMessage="1" promptTitle="Valuation Objections" sqref="K50"/>
    <dataValidation allowBlank="1" showErrorMessage="1" sqref="K84:K85 M84:Q85 L85"/>
    <dataValidation errorStyle="warning" allowBlank="1" showInputMessage="1" showErrorMessage="1" errorTitle="Expiring variation amount" error="The expiring variation amount must be entered as a whole negative number." promptTitle="Forward yr SV % increase" sqref="K63:K64 O38"/>
    <dataValidation allowBlank="1" showInputMessage="1" showErrorMessage="1" promptTitle="Decimal places" prompt="Please input proposed SV increases (including rate peg) to 2 decimal places._x000a_" sqref="L84"/>
    <dataValidation allowBlank="1" showInputMessage="1" showErrorMessage="1" promptTitle="Assumed rate peg" prompt="Enter either the &quot;OLG rate peg&quot; of 2.50% or the rate peg assumed by council (if different to 2.50%)_x000a_" sqref="L78"/>
  </dataValidations>
  <printOptions horizontalCentered="1"/>
  <pageMargins left="0.23622047244094491" right="0.23622047244094491" top="0.74803149606299213" bottom="0.74803149606299213" header="0.31496062992125984" footer="0.31496062992125984"/>
  <pageSetup paperSize="9" scale="81" fitToHeight="2" orientation="landscape" r:id="rId1"/>
  <headerFooter alignWithMargins="0">
    <oddHeader>&amp;C&amp;"Calibri"&amp;10&amp;KFF0000 UNOFFICIAL&amp;1#_x000D_</oddHeader>
    <oddFooter>&amp;C_x000D_&amp;1#&amp;"Calibri"&amp;10&amp;KFF0000 UNOFFICIAL</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3" id="{E815E005-026F-43D7-AA5C-0D8387500329}">
            <xm:f>$K$40='WS0 - Input data'!$B$250</xm:f>
            <x14:dxf>
              <font>
                <strike val="0"/>
                <color theme="0" tint="-0.499984740745262"/>
              </font>
              <fill>
                <patternFill>
                  <bgColor theme="1"/>
                </patternFill>
              </fill>
            </x14:dxf>
          </x14:cfRule>
          <xm:sqref>K76:Q77</xm:sqref>
        </x14:conditionalFormatting>
        <x14:conditionalFormatting xmlns:xm="http://schemas.microsoft.com/office/excel/2006/main">
          <x14:cfRule type="expression" priority="3" id="{B0311D92-A69F-49D0-B179-22113B9DCDEF}">
            <xm:f>'WS1-Application'!$D$33="minimum rate increase"</xm:f>
            <x14:dxf>
              <font>
                <b val="0"/>
                <i val="0"/>
                <color rgb="FF974706"/>
              </font>
            </x14:dxf>
          </x14:cfRule>
          <xm:sqref>B54 D54 L57:L61 L63</xm:sqref>
        </x14:conditionalFormatting>
      </x14:conditionalFormattings>
    </ext>
    <ext xmlns:x14="http://schemas.microsoft.com/office/spreadsheetml/2009/9/main" uri="{CCE6A557-97BC-4b89-ADB6-D9C93CAAB3DF}">
      <x14:dataValidations xmlns:xm="http://schemas.microsoft.com/office/excel/2006/main" xWindow="987" yWindow="511" count="6">
        <x14:dataValidation type="list" allowBlank="1" showInputMessage="1" showErrorMessage="1">
          <x14:formula1>
            <xm:f>'WS0 - Input data'!$B$228:$B$230</xm:f>
          </x14:formula1>
          <xm:sqref>K57</xm:sqref>
        </x14:dataValidation>
        <x14:dataValidation type="list" allowBlank="1" showInputMessage="1" showErrorMessage="1">
          <x14:formula1>
            <xm:f>'WS0 - Input data'!$E$235:$E$241</xm:f>
          </x14:formula1>
          <xm:sqref>K58</xm:sqref>
        </x14:dataValidation>
        <x14:dataValidation type="list" allowBlank="1" showInputMessage="1" showErrorMessage="1">
          <x14:formula1>
            <xm:f>'WS0 - Input data'!$E$258:$E$266</xm:f>
          </x14:formula1>
          <xm:sqref>K43</xm:sqref>
        </x14:dataValidation>
        <x14:dataValidation type="list" allowBlank="1" showInputMessage="1" showErrorMessage="1">
          <x14:formula1>
            <xm:f>'WS0 - Input data'!$H$258:$H$266</xm:f>
          </x14:formula1>
          <xm:sqref>K44</xm:sqref>
        </x14:dataValidation>
        <x14:dataValidation type="list" allowBlank="1" showInputMessage="1" showErrorMessage="1">
          <x14:formula1>
            <xm:f>'WS0 - Input data'!$B$244:$B$246</xm:f>
          </x14:formula1>
          <xm:sqref>K59:K60</xm:sqref>
        </x14:dataValidation>
        <x14:dataValidation type="list" allowBlank="1" showInputMessage="1" showErrorMessage="1">
          <x14:formula1>
            <xm:f>'WS0 - Input data'!$B$249:$B$250</xm:f>
          </x14:formula1>
          <xm:sqref>K40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K353"/>
  <sheetViews>
    <sheetView showGridLines="0" topLeftCell="A40" workbookViewId="0">
      <selection activeCell="G18" sqref="G18"/>
    </sheetView>
  </sheetViews>
  <sheetFormatPr defaultColWidth="9.140625" defaultRowHeight="12.75" x14ac:dyDescent="0.2"/>
  <cols>
    <col min="1" max="1" width="2.7109375" style="840" customWidth="1"/>
    <col min="2" max="2" width="13.42578125" style="3" customWidth="1"/>
    <col min="3" max="3" width="37.42578125" bestFit="1" customWidth="1"/>
    <col min="4" max="4" width="16.28515625" customWidth="1"/>
    <col min="5" max="5" width="10.42578125" customWidth="1"/>
    <col min="6" max="7" width="9.42578125" customWidth="1"/>
    <col min="8" max="9" width="10.42578125" customWidth="1"/>
    <col min="10" max="10" width="21.42578125" customWidth="1"/>
    <col min="11" max="11" width="20.85546875" style="35" customWidth="1"/>
    <col min="12" max="12" width="23.7109375" style="34" customWidth="1"/>
    <col min="13" max="13" width="2.7109375" style="3" customWidth="1"/>
    <col min="14" max="14" width="10.7109375" customWidth="1"/>
    <col min="15" max="16" width="9.140625" customWidth="1"/>
    <col min="17" max="17" width="11.7109375" customWidth="1"/>
    <col min="18" max="18" width="5.28515625" customWidth="1"/>
    <col min="19" max="19" width="7.85546875" customWidth="1"/>
    <col min="20" max="20" width="8.85546875" customWidth="1"/>
    <col min="21" max="21" width="7.7109375" customWidth="1"/>
    <col min="22" max="22" width="8.140625" customWidth="1"/>
  </cols>
  <sheetData>
    <row r="1" spans="1:37" ht="13.5" thickBot="1" x14ac:dyDescent="0.25">
      <c r="A1" s="841">
        <v>3</v>
      </c>
      <c r="C1" s="3"/>
      <c r="D1" s="3"/>
      <c r="E1" s="3"/>
      <c r="F1" s="3"/>
      <c r="G1" s="3"/>
      <c r="H1" s="3"/>
      <c r="I1" s="3"/>
      <c r="J1" s="3"/>
      <c r="K1" s="34"/>
      <c r="N1" s="3"/>
      <c r="O1" s="3"/>
      <c r="P1" s="3"/>
      <c r="Q1" s="3"/>
      <c r="R1" s="3"/>
      <c r="S1" s="3"/>
      <c r="T1" s="3"/>
      <c r="U1" s="3"/>
      <c r="V1" s="3"/>
      <c r="W1" s="3"/>
      <c r="X1" s="3"/>
      <c r="Y1" s="3"/>
      <c r="Z1" s="3"/>
      <c r="AA1" s="3"/>
      <c r="AB1" s="3"/>
      <c r="AC1" s="3"/>
      <c r="AD1" s="3"/>
      <c r="AE1" s="3"/>
      <c r="AF1" s="3"/>
      <c r="AG1" s="3"/>
      <c r="AH1" s="3"/>
      <c r="AI1" s="3"/>
      <c r="AJ1" s="3"/>
      <c r="AK1" s="3"/>
    </row>
    <row r="2" spans="1:37" ht="15.75" x14ac:dyDescent="0.25">
      <c r="A2" s="841"/>
      <c r="B2" s="1549" t="str">
        <f>'WS1-Application'!B2</f>
        <v>APPLICATION FOR SPECIAL VARIATION - WILLOUGHBY CITY COUNCIL</v>
      </c>
      <c r="C2" s="1550"/>
      <c r="D2" s="1550"/>
      <c r="E2" s="1550"/>
      <c r="F2" s="1550"/>
      <c r="G2" s="1550"/>
      <c r="H2" s="1550"/>
      <c r="I2" s="1550"/>
      <c r="J2" s="1550"/>
      <c r="K2" s="1550"/>
      <c r="L2" s="1551"/>
      <c r="M2" s="85"/>
      <c r="N2" s="3"/>
      <c r="O2" s="3"/>
      <c r="P2" s="3"/>
      <c r="Q2" s="3"/>
      <c r="R2" s="3"/>
      <c r="S2" s="3"/>
      <c r="T2" s="3"/>
      <c r="U2" s="3"/>
      <c r="V2" s="3"/>
      <c r="W2" s="3"/>
      <c r="X2" s="3"/>
      <c r="Y2" s="3"/>
      <c r="Z2" s="3"/>
      <c r="AA2" s="3"/>
      <c r="AB2" s="3"/>
      <c r="AC2" s="3"/>
      <c r="AD2" s="3"/>
      <c r="AE2" s="3"/>
      <c r="AF2" s="3"/>
      <c r="AG2" s="3"/>
      <c r="AH2" s="3"/>
      <c r="AI2" s="3"/>
      <c r="AJ2" s="3"/>
      <c r="AK2" s="3"/>
    </row>
    <row r="3" spans="1:37" ht="12" customHeight="1" x14ac:dyDescent="0.25">
      <c r="A3" s="841"/>
      <c r="B3" s="1557"/>
      <c r="C3" s="1542"/>
      <c r="D3" s="1558"/>
      <c r="E3" s="1542"/>
      <c r="F3" s="1559"/>
      <c r="G3" s="1542"/>
      <c r="H3" s="1542"/>
      <c r="I3" s="1542"/>
      <c r="J3" s="1542"/>
      <c r="K3" s="1542"/>
      <c r="L3" s="1528"/>
      <c r="N3" s="3"/>
      <c r="O3" s="3"/>
      <c r="P3" s="3"/>
      <c r="Q3" s="3"/>
      <c r="R3" s="3"/>
      <c r="S3" s="3"/>
      <c r="T3" s="3"/>
      <c r="U3" s="3"/>
      <c r="V3" s="3"/>
      <c r="W3" s="3"/>
      <c r="X3" s="3"/>
      <c r="Y3" s="3"/>
      <c r="Z3" s="3"/>
      <c r="AA3" s="3"/>
      <c r="AB3" s="3"/>
      <c r="AC3" s="3"/>
      <c r="AD3" s="3"/>
      <c r="AE3" s="3"/>
      <c r="AF3" s="3"/>
      <c r="AG3" s="3"/>
      <c r="AH3" s="3"/>
      <c r="AI3" s="3"/>
      <c r="AJ3" s="3"/>
      <c r="AK3" s="3"/>
    </row>
    <row r="4" spans="1:37" ht="16.5" thickBot="1" x14ac:dyDescent="0.3">
      <c r="A4" s="841"/>
      <c r="B4" s="1553" t="str">
        <f>"WORKSHEET "&amp;A1&amp;" - "&amp;"CALCULATION OF NOTIONAL GENERAL INCOME FOR "&amp;'WS0 - Input data'!$J$58&amp;" (THE CURRENT YEAR OR "&amp;UPPER('WS0 - Input data'!J55)&amp;")"</f>
        <v>WORKSHEET 3 - CALCULATION OF NOTIONAL GENERAL INCOME FOR 2023-24 (THE CURRENT YEAR OR YEAR 0)</v>
      </c>
      <c r="C4" s="1554"/>
      <c r="D4" s="1554"/>
      <c r="E4" s="1554"/>
      <c r="F4" s="1554"/>
      <c r="G4" s="1554"/>
      <c r="H4" s="1554"/>
      <c r="I4" s="1554"/>
      <c r="J4" s="1554"/>
      <c r="K4" s="1554"/>
      <c r="L4" s="1560"/>
      <c r="N4" s="3"/>
      <c r="O4" s="3"/>
      <c r="P4" s="3"/>
      <c r="Q4" s="3"/>
      <c r="R4" s="3"/>
      <c r="S4" s="3"/>
      <c r="T4" s="3"/>
      <c r="U4" s="3"/>
      <c r="V4" s="3"/>
      <c r="W4" s="3"/>
      <c r="X4" s="3"/>
      <c r="Y4" s="3"/>
      <c r="Z4" s="3"/>
      <c r="AA4" s="3"/>
      <c r="AB4" s="3"/>
      <c r="AC4" s="3"/>
      <c r="AD4" s="3"/>
      <c r="AE4" s="3"/>
      <c r="AF4" s="3"/>
      <c r="AG4" s="3"/>
      <c r="AH4" s="3"/>
      <c r="AI4" s="3"/>
      <c r="AJ4" s="3"/>
      <c r="AK4" s="3"/>
    </row>
    <row r="5" spans="1:37" ht="12" customHeight="1" x14ac:dyDescent="0.25">
      <c r="A5" s="841"/>
      <c r="B5" s="181"/>
      <c r="C5" s="3"/>
      <c r="D5" s="3"/>
      <c r="E5" s="3"/>
      <c r="F5" s="26"/>
      <c r="G5" s="3"/>
      <c r="H5" s="3"/>
      <c r="I5" s="3"/>
      <c r="J5" s="3"/>
      <c r="K5" s="41"/>
      <c r="L5" s="87"/>
      <c r="N5" s="3"/>
      <c r="O5" s="3"/>
      <c r="P5" s="3"/>
      <c r="Q5" s="3"/>
      <c r="R5" s="3"/>
      <c r="S5" s="3"/>
      <c r="T5" s="3"/>
      <c r="U5" s="3"/>
      <c r="V5" s="3"/>
      <c r="W5" s="3"/>
      <c r="X5" s="3"/>
      <c r="Y5" s="3"/>
      <c r="Z5" s="3"/>
      <c r="AA5" s="3"/>
      <c r="AB5" s="3"/>
      <c r="AC5" s="3"/>
      <c r="AD5" s="3"/>
      <c r="AE5" s="3"/>
      <c r="AF5" s="3"/>
      <c r="AG5" s="3"/>
      <c r="AH5" s="3"/>
      <c r="AI5" s="3"/>
      <c r="AJ5" s="3"/>
      <c r="AK5" s="3"/>
    </row>
    <row r="6" spans="1:37" ht="12" customHeight="1" x14ac:dyDescent="0.25">
      <c r="A6" s="841"/>
      <c r="B6" s="181"/>
      <c r="C6" s="3"/>
      <c r="D6" s="3"/>
      <c r="E6" s="3"/>
      <c r="F6" s="26"/>
      <c r="G6" s="3"/>
      <c r="H6" s="3"/>
      <c r="I6" s="3"/>
      <c r="J6" s="3"/>
      <c r="K6" s="41"/>
      <c r="L6" s="87"/>
      <c r="N6" s="3"/>
      <c r="O6" s="3"/>
      <c r="P6" s="3"/>
      <c r="Q6" s="3"/>
      <c r="R6" s="3"/>
      <c r="S6" s="3"/>
      <c r="T6" s="3"/>
      <c r="U6" s="3"/>
      <c r="V6" s="3"/>
      <c r="W6" s="3"/>
      <c r="X6" s="3"/>
      <c r="Y6" s="3"/>
      <c r="Z6" s="3"/>
      <c r="AA6" s="3"/>
      <c r="AB6" s="3"/>
      <c r="AC6" s="3"/>
      <c r="AD6" s="3"/>
      <c r="AE6" s="3"/>
      <c r="AF6" s="3"/>
      <c r="AG6" s="3"/>
      <c r="AH6" s="3"/>
      <c r="AI6" s="3"/>
      <c r="AJ6" s="3"/>
      <c r="AK6" s="3"/>
    </row>
    <row r="7" spans="1:37" s="9" customFormat="1" x14ac:dyDescent="0.2">
      <c r="A7" s="842"/>
      <c r="B7" s="461" t="s">
        <v>496</v>
      </c>
      <c r="C7" s="459"/>
      <c r="D7" s="459"/>
      <c r="E7" s="459"/>
      <c r="F7" s="459"/>
      <c r="H7" s="459"/>
      <c r="I7" s="459"/>
      <c r="J7" s="459"/>
      <c r="K7" s="459"/>
      <c r="L7" s="459"/>
      <c r="M7" s="460"/>
      <c r="N7" s="20"/>
      <c r="O7" s="20"/>
      <c r="P7" s="20"/>
      <c r="Q7" s="20"/>
      <c r="R7" s="20"/>
      <c r="S7" s="20"/>
      <c r="T7" s="20"/>
      <c r="U7" s="20"/>
      <c r="V7" s="20"/>
      <c r="W7" s="20"/>
      <c r="X7" s="20"/>
      <c r="Y7" s="20"/>
      <c r="Z7" s="20"/>
      <c r="AA7" s="20"/>
      <c r="AB7" s="20"/>
      <c r="AC7" s="20"/>
      <c r="AD7" s="20"/>
      <c r="AE7" s="20"/>
      <c r="AF7" s="20"/>
      <c r="AG7" s="20"/>
      <c r="AH7" s="20"/>
      <c r="AI7" s="20"/>
      <c r="AJ7" s="20"/>
      <c r="AK7" s="20"/>
    </row>
    <row r="8" spans="1:37" s="9" customFormat="1" x14ac:dyDescent="0.2">
      <c r="A8" s="842"/>
      <c r="B8" s="715" t="s">
        <v>957</v>
      </c>
      <c r="C8" s="716"/>
      <c r="D8" s="716"/>
      <c r="E8" s="717"/>
      <c r="F8" s="716"/>
      <c r="G8" s="718"/>
      <c r="H8" s="716"/>
      <c r="I8" s="716"/>
      <c r="J8" s="716"/>
      <c r="K8" s="716"/>
      <c r="L8" s="719"/>
      <c r="M8" s="181"/>
      <c r="N8" s="20"/>
      <c r="O8" s="20"/>
      <c r="P8" s="20"/>
      <c r="Q8" s="20"/>
      <c r="R8" s="20"/>
      <c r="S8" s="20"/>
      <c r="T8" s="20"/>
      <c r="U8" s="20"/>
      <c r="V8" s="20"/>
      <c r="W8" s="20"/>
      <c r="X8" s="20"/>
      <c r="Y8" s="20"/>
      <c r="Z8" s="20"/>
      <c r="AA8" s="20"/>
      <c r="AB8" s="20"/>
      <c r="AC8" s="20"/>
      <c r="AD8" s="20"/>
      <c r="AE8" s="20"/>
      <c r="AF8" s="20"/>
      <c r="AG8" s="20"/>
      <c r="AH8" s="20"/>
      <c r="AI8" s="20"/>
      <c r="AJ8" s="20"/>
      <c r="AK8" s="20"/>
    </row>
    <row r="9" spans="1:37" ht="12" customHeight="1" x14ac:dyDescent="0.25">
      <c r="A9" s="841"/>
      <c r="B9" s="673" t="s">
        <v>563</v>
      </c>
      <c r="C9" s="63"/>
      <c r="D9" s="63"/>
      <c r="E9" s="63"/>
      <c r="F9" s="53"/>
      <c r="G9" s="53"/>
      <c r="H9" s="53"/>
      <c r="I9" s="63"/>
      <c r="J9" s="63"/>
      <c r="K9" s="63"/>
      <c r="L9" s="720"/>
      <c r="M9" s="181"/>
      <c r="N9" s="3"/>
      <c r="O9" s="3"/>
      <c r="P9" s="3"/>
      <c r="Q9" s="3"/>
      <c r="R9" s="3"/>
      <c r="S9" s="3"/>
      <c r="T9" s="3"/>
      <c r="U9" s="3"/>
      <c r="V9" s="3"/>
      <c r="W9" s="3"/>
      <c r="X9" s="3"/>
      <c r="Y9" s="3"/>
      <c r="Z9" s="3"/>
      <c r="AA9" s="3"/>
      <c r="AB9" s="3"/>
      <c r="AC9" s="3"/>
      <c r="AD9" s="3"/>
      <c r="AE9" s="3"/>
      <c r="AF9" s="3"/>
      <c r="AG9" s="3"/>
      <c r="AH9" s="3"/>
      <c r="AI9" s="3"/>
      <c r="AJ9" s="3"/>
      <c r="AK9" s="3"/>
    </row>
    <row r="10" spans="1:37" ht="15.75" x14ac:dyDescent="0.25">
      <c r="A10" s="841"/>
      <c r="B10" s="685" t="s">
        <v>499</v>
      </c>
      <c r="C10" s="63"/>
      <c r="D10" s="63"/>
      <c r="E10" s="63"/>
      <c r="F10" s="53"/>
      <c r="G10" s="53"/>
      <c r="H10" s="53"/>
      <c r="I10" s="63"/>
      <c r="J10" s="63"/>
      <c r="K10" s="63"/>
      <c r="L10" s="720"/>
      <c r="M10" s="181"/>
      <c r="N10" s="3"/>
      <c r="O10" s="3"/>
      <c r="P10" s="3"/>
      <c r="Q10" s="3"/>
      <c r="R10" s="3"/>
      <c r="S10" s="3"/>
      <c r="T10" s="3"/>
      <c r="U10" s="3"/>
      <c r="V10" s="3"/>
      <c r="W10" s="3"/>
      <c r="X10" s="3"/>
      <c r="Y10" s="3"/>
      <c r="Z10" s="3"/>
      <c r="AA10" s="3"/>
      <c r="AB10" s="3"/>
      <c r="AC10" s="3"/>
      <c r="AD10" s="3"/>
      <c r="AE10" s="3"/>
      <c r="AF10" s="3"/>
      <c r="AG10" s="3"/>
      <c r="AH10" s="3"/>
      <c r="AI10" s="3"/>
      <c r="AJ10" s="3"/>
      <c r="AK10" s="3"/>
    </row>
    <row r="11" spans="1:37" ht="15.75" x14ac:dyDescent="0.25">
      <c r="A11" s="841"/>
      <c r="B11" s="299" t="s">
        <v>564</v>
      </c>
      <c r="C11" s="63"/>
      <c r="D11" s="63"/>
      <c r="E11" s="63"/>
      <c r="F11" s="53"/>
      <c r="G11" s="53"/>
      <c r="H11" s="53"/>
      <c r="I11" s="63"/>
      <c r="J11" s="63"/>
      <c r="K11" s="63"/>
      <c r="L11" s="720"/>
      <c r="M11" s="181"/>
      <c r="N11" s="3"/>
      <c r="AB11" s="3"/>
      <c r="AC11" s="3"/>
      <c r="AD11" s="3"/>
      <c r="AE11" s="3"/>
      <c r="AF11" s="3"/>
      <c r="AG11" s="3"/>
      <c r="AH11" s="3"/>
      <c r="AI11" s="3"/>
      <c r="AJ11" s="3"/>
      <c r="AK11" s="3"/>
    </row>
    <row r="12" spans="1:37" ht="15.75" x14ac:dyDescent="0.25">
      <c r="A12" s="841"/>
      <c r="B12" s="721" t="str">
        <f>"(2) Valuations used here are to be taken from Council's valuation list on 1 July "&amp;'WS0 - Input data'!$J$57&amp;" and are to include:"</f>
        <v>(2) Valuations used here are to be taken from Council's valuation list on 1 July 2023 and are to include:</v>
      </c>
      <c r="C12" s="3"/>
      <c r="E12" s="43"/>
      <c r="F12" s="22"/>
      <c r="G12" s="86"/>
      <c r="H12" s="22"/>
      <c r="I12" s="43"/>
      <c r="J12" s="43"/>
      <c r="K12" s="43"/>
      <c r="L12" s="722"/>
      <c r="N12" s="3"/>
      <c r="AB12" s="3"/>
      <c r="AC12" s="3"/>
      <c r="AD12" s="3"/>
      <c r="AE12" s="3"/>
      <c r="AF12" s="3"/>
      <c r="AG12" s="3"/>
      <c r="AH12" s="3"/>
      <c r="AI12" s="3"/>
      <c r="AJ12" s="3"/>
      <c r="AK12" s="3"/>
    </row>
    <row r="13" spans="1:37" ht="12" customHeight="1" x14ac:dyDescent="0.25">
      <c r="A13" s="841"/>
      <c r="B13" s="607" t="s">
        <v>565</v>
      </c>
      <c r="C13" s="3"/>
      <c r="E13" s="43"/>
      <c r="F13" s="22"/>
      <c r="G13" s="86"/>
      <c r="H13" s="22"/>
      <c r="I13" s="43"/>
      <c r="J13" s="1"/>
      <c r="K13" s="43"/>
      <c r="L13" s="722"/>
      <c r="N13" s="3"/>
      <c r="AB13" s="3"/>
      <c r="AC13" s="3"/>
      <c r="AD13" s="3"/>
      <c r="AE13" s="3"/>
      <c r="AF13" s="3"/>
      <c r="AG13" s="3"/>
      <c r="AH13" s="3"/>
      <c r="AI13" s="3"/>
      <c r="AJ13" s="3"/>
      <c r="AK13" s="3"/>
    </row>
    <row r="14" spans="1:37" ht="12" customHeight="1" x14ac:dyDescent="0.2">
      <c r="A14" s="841"/>
      <c r="B14" s="607" t="s">
        <v>566</v>
      </c>
      <c r="C14" s="3"/>
      <c r="E14" s="19"/>
      <c r="F14" s="19"/>
      <c r="G14" s="3"/>
      <c r="H14" s="19"/>
      <c r="I14" s="19"/>
      <c r="J14" s="1"/>
      <c r="K14" s="63"/>
      <c r="L14" s="720"/>
      <c r="N14" s="3"/>
      <c r="AB14" s="3"/>
      <c r="AC14" s="3"/>
      <c r="AD14" s="3"/>
      <c r="AE14" s="3"/>
      <c r="AF14" s="3"/>
      <c r="AG14" s="3"/>
      <c r="AH14" s="3"/>
      <c r="AI14" s="3"/>
      <c r="AJ14" s="3"/>
      <c r="AK14" s="3"/>
    </row>
    <row r="15" spans="1:37" ht="15" customHeight="1" x14ac:dyDescent="0.3">
      <c r="A15" s="841"/>
      <c r="B15" s="581" t="s">
        <v>567</v>
      </c>
      <c r="C15" s="1"/>
      <c r="D15" s="1"/>
      <c r="E15" s="1"/>
      <c r="F15" s="55"/>
      <c r="H15" s="55"/>
      <c r="I15" s="1"/>
      <c r="J15" s="1"/>
      <c r="K15" s="1"/>
      <c r="L15" s="723"/>
      <c r="M15" s="181"/>
      <c r="N15" s="21"/>
      <c r="AB15" s="3"/>
      <c r="AC15" s="3"/>
      <c r="AD15" s="3"/>
      <c r="AE15" s="3"/>
      <c r="AF15" s="3"/>
      <c r="AG15" s="3"/>
      <c r="AH15" s="3"/>
      <c r="AI15" s="3"/>
      <c r="AJ15" s="3"/>
      <c r="AK15" s="3"/>
    </row>
    <row r="16" spans="1:37" ht="15.75" x14ac:dyDescent="0.25">
      <c r="A16" s="841"/>
      <c r="B16" s="344"/>
      <c r="C16" s="724"/>
      <c r="D16" s="140"/>
      <c r="E16" s="725"/>
      <c r="F16" s="726"/>
      <c r="G16" s="571"/>
      <c r="H16" s="726"/>
      <c r="I16" s="724"/>
      <c r="J16" s="724"/>
      <c r="K16" s="724"/>
      <c r="L16" s="727"/>
      <c r="M16" s="181"/>
      <c r="N16" s="3"/>
      <c r="AB16" s="3"/>
      <c r="AC16" s="3"/>
      <c r="AD16" s="3"/>
      <c r="AE16" s="3"/>
      <c r="AF16" s="3"/>
      <c r="AG16" s="3"/>
      <c r="AH16" s="3"/>
      <c r="AI16" s="3"/>
      <c r="AJ16" s="3"/>
      <c r="AK16" s="3"/>
    </row>
    <row r="17" spans="1:37" ht="12" customHeight="1" x14ac:dyDescent="0.2">
      <c r="A17" s="841"/>
      <c r="B17" s="19"/>
      <c r="C17" s="3"/>
      <c r="D17" s="19"/>
      <c r="E17" s="19"/>
      <c r="F17" s="19"/>
      <c r="G17" s="19"/>
      <c r="H17" s="19"/>
      <c r="I17" s="19"/>
      <c r="J17" s="19"/>
      <c r="K17" s="63"/>
      <c r="L17" s="63"/>
      <c r="N17" s="3"/>
      <c r="O17" s="3"/>
      <c r="P17" s="3"/>
      <c r="Q17" s="3"/>
      <c r="R17" s="3"/>
      <c r="S17" s="3"/>
      <c r="T17" s="3"/>
      <c r="U17" s="3"/>
      <c r="V17" s="3"/>
      <c r="W17" s="3"/>
      <c r="X17" s="3"/>
      <c r="Y17" s="3"/>
      <c r="Z17" s="3"/>
      <c r="AA17" s="3"/>
      <c r="AB17" s="3"/>
      <c r="AC17" s="3"/>
      <c r="AD17" s="3"/>
      <c r="AE17" s="3"/>
      <c r="AF17" s="3"/>
      <c r="AG17" s="3"/>
      <c r="AH17" s="3"/>
      <c r="AI17" s="3"/>
      <c r="AJ17" s="3"/>
      <c r="AK17" s="3"/>
    </row>
    <row r="18" spans="1:37" ht="12" customHeight="1" x14ac:dyDescent="0.2">
      <c r="A18" s="841"/>
      <c r="B18" s="19"/>
      <c r="C18" s="3"/>
      <c r="D18" s="19"/>
      <c r="E18" s="19"/>
      <c r="F18" s="19"/>
      <c r="G18" s="19"/>
      <c r="H18" s="19"/>
      <c r="I18" s="19"/>
      <c r="J18" s="19"/>
      <c r="K18" s="63"/>
      <c r="L18" s="63"/>
      <c r="N18" s="3"/>
      <c r="O18" s="3"/>
      <c r="P18" s="3"/>
      <c r="Q18" s="3"/>
      <c r="R18" s="3"/>
      <c r="S18" s="3"/>
      <c r="T18" s="3"/>
      <c r="U18" s="3"/>
      <c r="V18" s="3"/>
      <c r="W18" s="3"/>
      <c r="X18" s="3"/>
      <c r="Y18" s="3"/>
      <c r="Z18" s="3"/>
      <c r="AA18" s="3"/>
      <c r="AB18" s="3"/>
      <c r="AC18" s="3"/>
      <c r="AD18" s="3"/>
      <c r="AE18" s="3"/>
      <c r="AF18" s="3"/>
      <c r="AG18" s="3"/>
      <c r="AH18" s="3"/>
      <c r="AI18" s="3"/>
      <c r="AJ18" s="3"/>
      <c r="AK18" s="3"/>
    </row>
    <row r="19" spans="1:37" s="9" customFormat="1" x14ac:dyDescent="0.2">
      <c r="A19" s="842">
        <v>1</v>
      </c>
      <c r="B19" s="461" t="str">
        <f>"Table "&amp;A1&amp;"."&amp;A19&amp;": Calculation of Notional General Income - Ordinary Rates ($nominal)"</f>
        <v>Table 3.1: Calculation of Notional General Income - Ordinary Rates ($nominal)</v>
      </c>
      <c r="D19" s="460"/>
      <c r="E19" s="459"/>
      <c r="F19" s="459"/>
      <c r="H19" s="459"/>
      <c r="I19" s="459"/>
      <c r="J19" s="459"/>
      <c r="K19" s="459"/>
      <c r="L19" s="46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row>
    <row r="20" spans="1:37" s="28" customFormat="1" ht="36" x14ac:dyDescent="0.2">
      <c r="A20" s="841"/>
      <c r="B20" s="734" t="s">
        <v>568</v>
      </c>
      <c r="C20" s="734" t="s">
        <v>569</v>
      </c>
      <c r="D20" s="734" t="s">
        <v>570</v>
      </c>
      <c r="E20" s="734" t="s">
        <v>571</v>
      </c>
      <c r="F20" s="734" t="s">
        <v>572</v>
      </c>
      <c r="G20" s="734" t="s">
        <v>573</v>
      </c>
      <c r="H20" s="734" t="s">
        <v>574</v>
      </c>
      <c r="I20" s="734" t="s">
        <v>575</v>
      </c>
      <c r="J20" s="734" t="s">
        <v>576</v>
      </c>
      <c r="K20" s="735" t="s">
        <v>577</v>
      </c>
      <c r="L20" s="734" t="s">
        <v>578</v>
      </c>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row>
    <row r="21" spans="1:37" ht="12" x14ac:dyDescent="0.2">
      <c r="A21" s="841"/>
      <c r="B21" s="731" t="s">
        <v>579</v>
      </c>
      <c r="C21" s="748" t="s">
        <v>579</v>
      </c>
      <c r="D21" s="1635">
        <v>29428</v>
      </c>
      <c r="E21" s="1636">
        <v>5.1561000000000003E-2</v>
      </c>
      <c r="F21" s="748"/>
      <c r="G21" s="751" t="str">
        <f>IF(F21="",".",D21*F21/L21)</f>
        <v>.</v>
      </c>
      <c r="H21" s="1637">
        <v>881.2</v>
      </c>
      <c r="I21" s="1637">
        <v>16449</v>
      </c>
      <c r="J21" s="1637">
        <v>41955718018</v>
      </c>
      <c r="K21" s="1637">
        <v>7978632695</v>
      </c>
      <c r="L21" s="747">
        <f t="shared" ref="L21:L40" si="0">IF(D21="",".",IF(F21&lt;&gt;"",F21*D21+J21*(E21/100),(J21-K21)*(E21/100)+H21*I21))</f>
        <v>32013783.763392031</v>
      </c>
      <c r="N21" s="27"/>
      <c r="O21" s="3"/>
      <c r="P21" s="3"/>
      <c r="Q21" s="85"/>
      <c r="R21" s="3"/>
      <c r="S21" s="3"/>
      <c r="T21" s="3"/>
      <c r="U21" s="3"/>
      <c r="V21" s="3"/>
      <c r="W21" s="3"/>
      <c r="X21" s="3"/>
      <c r="Y21" s="3"/>
      <c r="Z21" s="3"/>
      <c r="AA21" s="3"/>
      <c r="AB21" s="3"/>
      <c r="AC21" s="3"/>
      <c r="AD21" s="3"/>
      <c r="AE21" s="3"/>
      <c r="AF21" s="3"/>
      <c r="AG21" s="3"/>
      <c r="AH21" s="3"/>
      <c r="AI21" s="3"/>
      <c r="AJ21" s="3"/>
      <c r="AK21" s="3"/>
    </row>
    <row r="22" spans="1:37" ht="12" x14ac:dyDescent="0.2">
      <c r="A22" s="841"/>
      <c r="B22" s="731" t="s">
        <v>579</v>
      </c>
      <c r="C22" s="752"/>
      <c r="D22" s="753"/>
      <c r="E22" s="754"/>
      <c r="F22" s="752"/>
      <c r="G22" s="755" t="str">
        <f t="shared" ref="G22:G85" si="1">IF(F22="",".",D22*F22/L22)</f>
        <v>.</v>
      </c>
      <c r="H22" s="752"/>
      <c r="I22" s="753"/>
      <c r="J22" s="753"/>
      <c r="K22" s="753"/>
      <c r="L22" s="747" t="str">
        <f t="shared" si="0"/>
        <v>.</v>
      </c>
      <c r="N22" s="27"/>
      <c r="O22" s="3"/>
      <c r="P22" s="3"/>
      <c r="Q22" s="3"/>
      <c r="R22" s="3"/>
      <c r="S22" s="3"/>
      <c r="T22" s="3"/>
      <c r="U22" s="3"/>
      <c r="V22" s="3"/>
      <c r="W22" s="3"/>
      <c r="X22" s="3"/>
      <c r="Y22" s="3"/>
      <c r="Z22" s="3"/>
      <c r="AA22" s="3"/>
      <c r="AB22" s="3"/>
      <c r="AC22" s="3"/>
      <c r="AD22" s="3"/>
      <c r="AE22" s="3"/>
      <c r="AF22" s="3"/>
      <c r="AG22" s="3"/>
      <c r="AH22" s="3"/>
      <c r="AI22" s="3"/>
      <c r="AJ22" s="3"/>
      <c r="AK22" s="3"/>
    </row>
    <row r="23" spans="1:37" ht="12" x14ac:dyDescent="0.2">
      <c r="A23" s="841"/>
      <c r="B23" s="731" t="s">
        <v>579</v>
      </c>
      <c r="C23" s="752"/>
      <c r="D23" s="753"/>
      <c r="E23" s="754"/>
      <c r="F23" s="752"/>
      <c r="G23" s="755" t="str">
        <f t="shared" si="1"/>
        <v>.</v>
      </c>
      <c r="H23" s="752"/>
      <c r="I23" s="753"/>
      <c r="J23" s="753"/>
      <c r="K23" s="753"/>
      <c r="L23" s="747" t="str">
        <f t="shared" si="0"/>
        <v>.</v>
      </c>
      <c r="N23" s="27"/>
      <c r="O23" s="3"/>
      <c r="P23" s="3"/>
      <c r="Q23" s="3"/>
      <c r="R23" s="3"/>
      <c r="S23" s="3"/>
      <c r="T23" s="3"/>
      <c r="U23" s="3"/>
      <c r="V23" s="3"/>
      <c r="W23" s="3"/>
      <c r="X23" s="3"/>
      <c r="Y23" s="3"/>
      <c r="Z23" s="3"/>
      <c r="AA23" s="3"/>
      <c r="AB23" s="3"/>
      <c r="AC23" s="3"/>
      <c r="AD23" s="3"/>
      <c r="AE23" s="3"/>
      <c r="AF23" s="3"/>
      <c r="AG23" s="3"/>
      <c r="AH23" s="3"/>
      <c r="AI23" s="3"/>
      <c r="AJ23" s="3"/>
      <c r="AK23" s="3"/>
    </row>
    <row r="24" spans="1:37" ht="12" x14ac:dyDescent="0.2">
      <c r="A24" s="841"/>
      <c r="B24" s="731" t="s">
        <v>579</v>
      </c>
      <c r="C24" s="752"/>
      <c r="D24" s="753"/>
      <c r="E24" s="754"/>
      <c r="F24" s="752"/>
      <c r="G24" s="755" t="str">
        <f t="shared" si="1"/>
        <v>.</v>
      </c>
      <c r="H24" s="752"/>
      <c r="I24" s="753"/>
      <c r="J24" s="753"/>
      <c r="K24" s="753"/>
      <c r="L24" s="747" t="str">
        <f t="shared" si="0"/>
        <v>.</v>
      </c>
      <c r="N24" s="3"/>
      <c r="O24" s="3"/>
      <c r="P24" s="3"/>
      <c r="Q24" s="3"/>
      <c r="R24" s="3"/>
      <c r="S24" s="3"/>
      <c r="T24" s="3"/>
      <c r="U24" s="3"/>
      <c r="V24" s="3"/>
      <c r="W24" s="3"/>
      <c r="X24" s="3"/>
      <c r="Y24" s="3"/>
      <c r="Z24" s="3"/>
      <c r="AA24" s="3"/>
      <c r="AB24" s="3"/>
      <c r="AC24" s="3"/>
      <c r="AD24" s="3"/>
      <c r="AE24" s="3"/>
      <c r="AF24" s="3"/>
      <c r="AG24" s="3"/>
      <c r="AH24" s="3"/>
      <c r="AI24" s="3"/>
      <c r="AJ24" s="3"/>
      <c r="AK24" s="3"/>
    </row>
    <row r="25" spans="1:37" ht="12" x14ac:dyDescent="0.2">
      <c r="A25" s="841"/>
      <c r="B25" s="731" t="s">
        <v>579</v>
      </c>
      <c r="C25" s="752"/>
      <c r="D25" s="753"/>
      <c r="E25" s="754"/>
      <c r="F25" s="752"/>
      <c r="G25" s="755" t="str">
        <f t="shared" si="1"/>
        <v>.</v>
      </c>
      <c r="H25" s="752"/>
      <c r="I25" s="753"/>
      <c r="J25" s="753"/>
      <c r="K25" s="753"/>
      <c r="L25" s="747" t="str">
        <f>IF(D25="",".",IF(F25&lt;&gt;"",F25*D25+J25*(E25/100),(J25-K25)*(E25/100)+H25*I25))</f>
        <v>.</v>
      </c>
      <c r="N25" s="3"/>
      <c r="O25" s="3"/>
      <c r="P25" s="3"/>
      <c r="Q25" s="3"/>
      <c r="R25" s="3"/>
      <c r="S25" s="3"/>
      <c r="T25" s="3"/>
      <c r="U25" s="3"/>
      <c r="V25" s="3"/>
      <c r="W25" s="3"/>
      <c r="X25" s="3"/>
      <c r="Y25" s="3"/>
      <c r="Z25" s="3"/>
      <c r="AA25" s="3"/>
      <c r="AB25" s="3"/>
      <c r="AC25" s="3"/>
      <c r="AD25" s="3"/>
      <c r="AE25" s="3"/>
      <c r="AF25" s="3"/>
      <c r="AG25" s="3"/>
      <c r="AH25" s="3"/>
      <c r="AI25" s="3"/>
      <c r="AJ25" s="3"/>
      <c r="AK25" s="3"/>
    </row>
    <row r="26" spans="1:37" ht="12" x14ac:dyDescent="0.2">
      <c r="A26" s="841"/>
      <c r="B26" s="731" t="s">
        <v>579</v>
      </c>
      <c r="C26" s="752"/>
      <c r="D26" s="753"/>
      <c r="E26" s="756"/>
      <c r="F26" s="756"/>
      <c r="G26" s="755" t="str">
        <f t="shared" si="1"/>
        <v>.</v>
      </c>
      <c r="H26" s="752"/>
      <c r="I26" s="753"/>
      <c r="J26" s="753"/>
      <c r="K26" s="753"/>
      <c r="L26" s="747" t="str">
        <f t="shared" si="0"/>
        <v>.</v>
      </c>
      <c r="N26" s="3"/>
      <c r="O26" s="3"/>
      <c r="P26" s="3"/>
      <c r="Q26" s="3"/>
      <c r="R26" s="3"/>
      <c r="S26" s="3"/>
      <c r="T26" s="3"/>
      <c r="U26" s="3"/>
      <c r="V26" s="3"/>
      <c r="W26" s="3"/>
      <c r="X26" s="3"/>
      <c r="Y26" s="3"/>
      <c r="Z26" s="3"/>
      <c r="AA26" s="3"/>
      <c r="AB26" s="3"/>
      <c r="AC26" s="3"/>
      <c r="AD26" s="3"/>
      <c r="AE26" s="3"/>
      <c r="AF26" s="3"/>
      <c r="AG26" s="3"/>
      <c r="AH26" s="3"/>
      <c r="AI26" s="3"/>
      <c r="AJ26" s="3"/>
      <c r="AK26" s="3"/>
    </row>
    <row r="27" spans="1:37" ht="12" x14ac:dyDescent="0.2">
      <c r="A27" s="841"/>
      <c r="B27" s="731" t="s">
        <v>579</v>
      </c>
      <c r="C27" s="752"/>
      <c r="D27" s="753"/>
      <c r="E27" s="756"/>
      <c r="F27" s="756"/>
      <c r="G27" s="755" t="str">
        <f t="shared" si="1"/>
        <v>.</v>
      </c>
      <c r="H27" s="752"/>
      <c r="I27" s="753"/>
      <c r="J27" s="753"/>
      <c r="K27" s="753"/>
      <c r="L27" s="747" t="str">
        <f t="shared" si="0"/>
        <v>.</v>
      </c>
      <c r="N27" s="3"/>
      <c r="O27" s="3"/>
      <c r="P27" s="3"/>
      <c r="Q27" s="3"/>
      <c r="R27" s="3"/>
      <c r="S27" s="3"/>
      <c r="T27" s="3"/>
      <c r="U27" s="3"/>
      <c r="V27" s="3"/>
      <c r="W27" s="3"/>
      <c r="X27" s="3"/>
      <c r="Y27" s="3"/>
      <c r="Z27" s="3"/>
      <c r="AA27" s="3"/>
      <c r="AB27" s="3"/>
      <c r="AC27" s="3"/>
      <c r="AD27" s="3"/>
      <c r="AE27" s="3"/>
      <c r="AF27" s="3"/>
      <c r="AG27" s="3"/>
      <c r="AH27" s="3"/>
      <c r="AI27" s="3"/>
      <c r="AJ27" s="3"/>
      <c r="AK27" s="3"/>
    </row>
    <row r="28" spans="1:37" ht="12" x14ac:dyDescent="0.2">
      <c r="A28" s="841"/>
      <c r="B28" s="731" t="s">
        <v>579</v>
      </c>
      <c r="C28" s="752"/>
      <c r="D28" s="753"/>
      <c r="E28" s="754"/>
      <c r="F28" s="752"/>
      <c r="G28" s="755" t="str">
        <f t="shared" si="1"/>
        <v>.</v>
      </c>
      <c r="H28" s="752"/>
      <c r="I28" s="753"/>
      <c r="J28" s="753"/>
      <c r="K28" s="753"/>
      <c r="L28" s="747" t="str">
        <f t="shared" si="0"/>
        <v>.</v>
      </c>
      <c r="N28" s="3"/>
      <c r="O28" s="3"/>
      <c r="P28" s="3"/>
      <c r="Q28" s="3"/>
      <c r="R28" s="3"/>
      <c r="S28" s="3"/>
      <c r="T28" s="3"/>
      <c r="U28" s="3"/>
      <c r="V28" s="3"/>
      <c r="W28" s="3"/>
      <c r="X28" s="3"/>
      <c r="Y28" s="3"/>
      <c r="Z28" s="3"/>
      <c r="AA28" s="3"/>
      <c r="AB28" s="3"/>
      <c r="AC28" s="3"/>
      <c r="AD28" s="3"/>
      <c r="AE28" s="3"/>
      <c r="AF28" s="3"/>
      <c r="AG28" s="3"/>
      <c r="AH28" s="3"/>
      <c r="AI28" s="3"/>
      <c r="AJ28" s="3"/>
      <c r="AK28" s="3"/>
    </row>
    <row r="29" spans="1:37" ht="12" x14ac:dyDescent="0.2">
      <c r="A29" s="841"/>
      <c r="B29" s="731" t="s">
        <v>579</v>
      </c>
      <c r="C29" s="752"/>
      <c r="D29" s="753"/>
      <c r="E29" s="754"/>
      <c r="F29" s="752"/>
      <c r="G29" s="755" t="str">
        <f t="shared" si="1"/>
        <v>.</v>
      </c>
      <c r="H29" s="752"/>
      <c r="I29" s="753"/>
      <c r="J29" s="753"/>
      <c r="K29" s="753"/>
      <c r="L29" s="747" t="str">
        <f t="shared" si="0"/>
        <v>.</v>
      </c>
      <c r="N29" s="3"/>
      <c r="O29" s="3"/>
      <c r="P29" s="3"/>
      <c r="Q29" s="3"/>
      <c r="R29" s="3"/>
      <c r="S29" s="3"/>
      <c r="T29" s="3"/>
      <c r="U29" s="3"/>
      <c r="V29" s="3"/>
      <c r="W29" s="3"/>
      <c r="X29" s="3"/>
      <c r="Y29" s="3"/>
      <c r="Z29" s="3"/>
      <c r="AA29" s="3"/>
      <c r="AB29" s="3"/>
      <c r="AC29" s="3"/>
      <c r="AD29" s="3"/>
      <c r="AE29" s="3"/>
      <c r="AF29" s="3"/>
      <c r="AG29" s="3"/>
      <c r="AH29" s="3"/>
      <c r="AI29" s="3"/>
      <c r="AJ29" s="3"/>
      <c r="AK29" s="3"/>
    </row>
    <row r="30" spans="1:37" ht="12" x14ac:dyDescent="0.2">
      <c r="A30" s="841"/>
      <c r="B30" s="731" t="s">
        <v>579</v>
      </c>
      <c r="C30" s="752"/>
      <c r="D30" s="753"/>
      <c r="E30" s="754"/>
      <c r="F30" s="752"/>
      <c r="G30" s="755" t="str">
        <f t="shared" si="1"/>
        <v>.</v>
      </c>
      <c r="H30" s="752"/>
      <c r="I30" s="753"/>
      <c r="J30" s="753"/>
      <c r="K30" s="753"/>
      <c r="L30" s="747" t="str">
        <f t="shared" si="0"/>
        <v>.</v>
      </c>
      <c r="N30" s="3"/>
      <c r="O30" s="3"/>
      <c r="P30" s="3"/>
      <c r="Q30" s="3"/>
      <c r="R30" s="3"/>
      <c r="S30" s="3"/>
      <c r="T30" s="3"/>
      <c r="U30" s="3"/>
      <c r="V30" s="3"/>
      <c r="W30" s="3"/>
      <c r="X30" s="3"/>
      <c r="Y30" s="3"/>
      <c r="Z30" s="3"/>
      <c r="AA30" s="3"/>
      <c r="AB30" s="3"/>
      <c r="AC30" s="3"/>
      <c r="AD30" s="3"/>
      <c r="AE30" s="3"/>
      <c r="AF30" s="3"/>
      <c r="AG30" s="3"/>
      <c r="AH30" s="3"/>
      <c r="AI30" s="3"/>
      <c r="AJ30" s="3"/>
      <c r="AK30" s="3"/>
    </row>
    <row r="31" spans="1:37" ht="12" x14ac:dyDescent="0.2">
      <c r="A31" s="841"/>
      <c r="B31" s="731" t="s">
        <v>579</v>
      </c>
      <c r="C31" s="752"/>
      <c r="D31" s="753"/>
      <c r="E31" s="754"/>
      <c r="F31" s="752"/>
      <c r="G31" s="755" t="str">
        <f t="shared" si="1"/>
        <v>.</v>
      </c>
      <c r="H31" s="752"/>
      <c r="I31" s="753"/>
      <c r="J31" s="753"/>
      <c r="K31" s="753"/>
      <c r="L31" s="747" t="str">
        <f t="shared" si="0"/>
        <v>.</v>
      </c>
      <c r="N31" s="3"/>
      <c r="O31" s="3"/>
      <c r="P31" s="3"/>
      <c r="Q31" s="3"/>
      <c r="R31" s="3"/>
      <c r="S31" s="3"/>
      <c r="T31" s="3"/>
      <c r="U31" s="3"/>
      <c r="V31" s="3"/>
      <c r="W31" s="3"/>
      <c r="X31" s="3"/>
      <c r="Y31" s="3"/>
      <c r="Z31" s="3"/>
      <c r="AA31" s="3"/>
      <c r="AB31" s="3"/>
      <c r="AC31" s="3"/>
      <c r="AD31" s="3"/>
      <c r="AE31" s="3"/>
      <c r="AF31" s="3"/>
      <c r="AG31" s="3"/>
      <c r="AH31" s="3"/>
      <c r="AI31" s="3"/>
      <c r="AJ31" s="3"/>
      <c r="AK31" s="3"/>
    </row>
    <row r="32" spans="1:37" ht="12" x14ac:dyDescent="0.2">
      <c r="A32" s="841"/>
      <c r="B32" s="731" t="s">
        <v>579</v>
      </c>
      <c r="C32" s="752"/>
      <c r="D32" s="753"/>
      <c r="E32" s="754"/>
      <c r="F32" s="752"/>
      <c r="G32" s="755" t="str">
        <f t="shared" si="1"/>
        <v>.</v>
      </c>
      <c r="H32" s="752"/>
      <c r="I32" s="753"/>
      <c r="J32" s="753"/>
      <c r="K32" s="753"/>
      <c r="L32" s="747" t="str">
        <f t="shared" si="0"/>
        <v>.</v>
      </c>
      <c r="N32" s="3"/>
      <c r="O32" s="3"/>
      <c r="P32" s="3"/>
      <c r="Q32" s="3"/>
      <c r="R32" s="3"/>
      <c r="S32" s="3"/>
      <c r="T32" s="3"/>
      <c r="U32" s="3"/>
      <c r="V32" s="3"/>
      <c r="W32" s="3"/>
      <c r="X32" s="3"/>
      <c r="Y32" s="3"/>
      <c r="Z32" s="3"/>
      <c r="AA32" s="3"/>
      <c r="AB32" s="3"/>
      <c r="AC32" s="3"/>
      <c r="AD32" s="3"/>
      <c r="AE32" s="3"/>
      <c r="AF32" s="3"/>
      <c r="AG32" s="3"/>
      <c r="AH32" s="3"/>
      <c r="AI32" s="3"/>
      <c r="AJ32" s="3"/>
      <c r="AK32" s="3"/>
    </row>
    <row r="33" spans="1:37" ht="12" x14ac:dyDescent="0.2">
      <c r="A33" s="841"/>
      <c r="B33" s="731" t="s">
        <v>579</v>
      </c>
      <c r="C33" s="752"/>
      <c r="D33" s="753"/>
      <c r="E33" s="754"/>
      <c r="F33" s="752"/>
      <c r="G33" s="755" t="str">
        <f t="shared" si="1"/>
        <v>.</v>
      </c>
      <c r="H33" s="752"/>
      <c r="I33" s="753"/>
      <c r="J33" s="753"/>
      <c r="K33" s="753"/>
      <c r="L33" s="747" t="str">
        <f t="shared" si="0"/>
        <v>.</v>
      </c>
      <c r="N33" s="3"/>
      <c r="O33" s="3"/>
      <c r="P33" s="3"/>
      <c r="Q33" s="3"/>
      <c r="R33" s="3"/>
      <c r="S33" s="3"/>
      <c r="T33" s="3"/>
      <c r="U33" s="3"/>
      <c r="V33" s="3"/>
      <c r="W33" s="3"/>
      <c r="X33" s="3"/>
      <c r="Y33" s="3"/>
      <c r="Z33" s="3"/>
      <c r="AA33" s="3"/>
      <c r="AB33" s="3"/>
      <c r="AC33" s="3"/>
      <c r="AD33" s="3"/>
      <c r="AE33" s="3"/>
      <c r="AF33" s="3"/>
      <c r="AG33" s="3"/>
      <c r="AH33" s="3"/>
      <c r="AI33" s="3"/>
      <c r="AJ33" s="3"/>
      <c r="AK33" s="3"/>
    </row>
    <row r="34" spans="1:37" ht="12" x14ac:dyDescent="0.2">
      <c r="A34" s="841"/>
      <c r="B34" s="731" t="s">
        <v>579</v>
      </c>
      <c r="C34" s="752"/>
      <c r="D34" s="753"/>
      <c r="E34" s="754"/>
      <c r="F34" s="752"/>
      <c r="G34" s="755" t="str">
        <f t="shared" si="1"/>
        <v>.</v>
      </c>
      <c r="H34" s="752"/>
      <c r="I34" s="753"/>
      <c r="J34" s="753"/>
      <c r="K34" s="753"/>
      <c r="L34" s="747" t="str">
        <f t="shared" si="0"/>
        <v>.</v>
      </c>
      <c r="N34" s="3"/>
      <c r="O34" s="3"/>
      <c r="P34" s="3"/>
      <c r="Q34" s="3"/>
      <c r="R34" s="3"/>
      <c r="S34" s="3"/>
      <c r="T34" s="3"/>
      <c r="U34" s="3"/>
      <c r="V34" s="3"/>
      <c r="W34" s="3"/>
      <c r="X34" s="3"/>
      <c r="Y34" s="3"/>
      <c r="Z34" s="3"/>
      <c r="AA34" s="3"/>
      <c r="AB34" s="3"/>
      <c r="AC34" s="3"/>
      <c r="AD34" s="3"/>
      <c r="AE34" s="3"/>
      <c r="AF34" s="3"/>
      <c r="AG34" s="3"/>
      <c r="AH34" s="3"/>
      <c r="AI34" s="3"/>
      <c r="AJ34" s="3"/>
      <c r="AK34" s="3"/>
    </row>
    <row r="35" spans="1:37" ht="12" x14ac:dyDescent="0.2">
      <c r="A35" s="841"/>
      <c r="B35" s="731" t="s">
        <v>579</v>
      </c>
      <c r="C35" s="752"/>
      <c r="D35" s="753"/>
      <c r="E35" s="754"/>
      <c r="F35" s="752"/>
      <c r="G35" s="755" t="str">
        <f t="shared" si="1"/>
        <v>.</v>
      </c>
      <c r="H35" s="752"/>
      <c r="I35" s="753"/>
      <c r="J35" s="753"/>
      <c r="K35" s="753"/>
      <c r="L35" s="747" t="str">
        <f t="shared" si="0"/>
        <v>.</v>
      </c>
      <c r="N35" s="3"/>
      <c r="O35" s="3"/>
      <c r="P35" s="3"/>
      <c r="Q35" s="3"/>
      <c r="R35" s="3"/>
      <c r="S35" s="3"/>
      <c r="T35" s="3"/>
      <c r="U35" s="3"/>
      <c r="V35" s="3"/>
      <c r="W35" s="3"/>
      <c r="X35" s="3"/>
      <c r="Y35" s="3"/>
      <c r="Z35" s="3"/>
      <c r="AA35" s="3"/>
      <c r="AB35" s="3"/>
      <c r="AC35" s="3"/>
      <c r="AD35" s="3"/>
      <c r="AE35" s="3"/>
      <c r="AF35" s="3"/>
      <c r="AG35" s="3"/>
      <c r="AH35" s="3"/>
      <c r="AI35" s="3"/>
      <c r="AJ35" s="3"/>
      <c r="AK35" s="3"/>
    </row>
    <row r="36" spans="1:37" ht="12" x14ac:dyDescent="0.2">
      <c r="A36" s="841"/>
      <c r="B36" s="731" t="s">
        <v>579</v>
      </c>
      <c r="C36" s="752"/>
      <c r="D36" s="753"/>
      <c r="E36" s="754"/>
      <c r="F36" s="752"/>
      <c r="G36" s="755" t="str">
        <f t="shared" si="1"/>
        <v>.</v>
      </c>
      <c r="H36" s="752"/>
      <c r="I36" s="753"/>
      <c r="J36" s="753"/>
      <c r="K36" s="753"/>
      <c r="L36" s="747" t="str">
        <f t="shared" si="0"/>
        <v>.</v>
      </c>
      <c r="N36" s="3"/>
      <c r="O36" s="3"/>
      <c r="P36" s="3"/>
      <c r="Q36" s="3"/>
      <c r="R36" s="3"/>
      <c r="S36" s="3"/>
      <c r="T36" s="3"/>
      <c r="U36" s="3"/>
      <c r="V36" s="3"/>
      <c r="W36" s="3"/>
      <c r="X36" s="3"/>
      <c r="Y36" s="3"/>
      <c r="Z36" s="3"/>
      <c r="AA36" s="3"/>
      <c r="AB36" s="3"/>
      <c r="AC36" s="3"/>
      <c r="AD36" s="3"/>
      <c r="AE36" s="3"/>
      <c r="AF36" s="3"/>
      <c r="AG36" s="3"/>
      <c r="AH36" s="3"/>
      <c r="AI36" s="3"/>
      <c r="AJ36" s="3"/>
      <c r="AK36" s="3"/>
    </row>
    <row r="37" spans="1:37" ht="12" x14ac:dyDescent="0.2">
      <c r="A37" s="841"/>
      <c r="B37" s="731" t="s">
        <v>579</v>
      </c>
      <c r="C37" s="752"/>
      <c r="D37" s="753"/>
      <c r="E37" s="754"/>
      <c r="F37" s="752"/>
      <c r="G37" s="755" t="str">
        <f t="shared" si="1"/>
        <v>.</v>
      </c>
      <c r="H37" s="752"/>
      <c r="I37" s="753"/>
      <c r="J37" s="753"/>
      <c r="K37" s="753"/>
      <c r="L37" s="747" t="str">
        <f t="shared" si="0"/>
        <v>.</v>
      </c>
      <c r="N37" s="3"/>
      <c r="O37" s="3"/>
      <c r="P37" s="3"/>
      <c r="Q37" s="3"/>
      <c r="R37" s="3"/>
      <c r="S37" s="3"/>
      <c r="T37" s="3"/>
      <c r="U37" s="3"/>
      <c r="V37" s="3"/>
      <c r="W37" s="3"/>
      <c r="X37" s="3"/>
      <c r="Y37" s="3"/>
      <c r="Z37" s="3"/>
      <c r="AA37" s="3"/>
      <c r="AB37" s="3"/>
      <c r="AC37" s="3"/>
      <c r="AD37" s="3"/>
      <c r="AE37" s="3"/>
      <c r="AF37" s="3"/>
      <c r="AG37" s="3"/>
      <c r="AH37" s="3"/>
      <c r="AI37" s="3"/>
      <c r="AJ37" s="3"/>
      <c r="AK37" s="3"/>
    </row>
    <row r="38" spans="1:37" ht="12" x14ac:dyDescent="0.2">
      <c r="A38" s="841"/>
      <c r="B38" s="731" t="s">
        <v>579</v>
      </c>
      <c r="C38" s="752"/>
      <c r="D38" s="753"/>
      <c r="E38" s="754"/>
      <c r="F38" s="752"/>
      <c r="G38" s="755" t="str">
        <f t="shared" si="1"/>
        <v>.</v>
      </c>
      <c r="H38" s="752"/>
      <c r="I38" s="753"/>
      <c r="J38" s="753"/>
      <c r="K38" s="753"/>
      <c r="L38" s="747" t="str">
        <f t="shared" si="0"/>
        <v>.</v>
      </c>
      <c r="N38" s="3"/>
      <c r="O38" s="3"/>
      <c r="P38" s="3"/>
      <c r="Q38" s="3"/>
      <c r="R38" s="3"/>
      <c r="S38" s="3"/>
      <c r="T38" s="3"/>
      <c r="U38" s="3"/>
      <c r="V38" s="3"/>
      <c r="W38" s="3"/>
      <c r="X38" s="3"/>
      <c r="Y38" s="3"/>
      <c r="Z38" s="3"/>
      <c r="AA38" s="3"/>
      <c r="AB38" s="3"/>
      <c r="AC38" s="3"/>
      <c r="AD38" s="3"/>
      <c r="AE38" s="3"/>
      <c r="AF38" s="3"/>
      <c r="AG38" s="3"/>
      <c r="AH38" s="3"/>
      <c r="AI38" s="3"/>
      <c r="AJ38" s="3"/>
      <c r="AK38" s="3"/>
    </row>
    <row r="39" spans="1:37" ht="12" x14ac:dyDescent="0.2">
      <c r="A39" s="841"/>
      <c r="B39" s="731" t="s">
        <v>579</v>
      </c>
      <c r="C39" s="752"/>
      <c r="D39" s="753"/>
      <c r="E39" s="754"/>
      <c r="F39" s="752"/>
      <c r="G39" s="755" t="str">
        <f t="shared" si="1"/>
        <v>.</v>
      </c>
      <c r="H39" s="752"/>
      <c r="I39" s="753"/>
      <c r="J39" s="753"/>
      <c r="K39" s="753"/>
      <c r="L39" s="747" t="str">
        <f t="shared" si="0"/>
        <v>.</v>
      </c>
      <c r="N39" s="3"/>
      <c r="O39" s="3"/>
      <c r="P39" s="3"/>
      <c r="Q39" s="3"/>
      <c r="R39" s="3"/>
      <c r="S39" s="3"/>
      <c r="T39" s="3"/>
      <c r="U39" s="3"/>
      <c r="V39" s="3"/>
      <c r="W39" s="3"/>
      <c r="X39" s="3"/>
      <c r="Y39" s="3"/>
      <c r="Z39" s="3"/>
      <c r="AA39" s="3"/>
      <c r="AB39" s="3"/>
      <c r="AC39" s="3"/>
      <c r="AD39" s="3"/>
      <c r="AE39" s="3"/>
      <c r="AF39" s="3"/>
      <c r="AG39" s="3"/>
      <c r="AH39" s="3"/>
      <c r="AI39" s="3"/>
      <c r="AJ39" s="3"/>
      <c r="AK39" s="3"/>
    </row>
    <row r="40" spans="1:37" ht="12" x14ac:dyDescent="0.2">
      <c r="A40" s="841"/>
      <c r="B40" s="731" t="s">
        <v>579</v>
      </c>
      <c r="C40" s="752"/>
      <c r="D40" s="753"/>
      <c r="E40" s="754"/>
      <c r="F40" s="752"/>
      <c r="G40" s="755" t="str">
        <f t="shared" si="1"/>
        <v>.</v>
      </c>
      <c r="H40" s="752"/>
      <c r="I40" s="753"/>
      <c r="J40" s="753"/>
      <c r="K40" s="753"/>
      <c r="L40" s="747" t="str">
        <f t="shared" si="0"/>
        <v>.</v>
      </c>
      <c r="N40" s="3"/>
      <c r="O40" s="3"/>
      <c r="P40" s="3"/>
      <c r="Q40" s="3"/>
      <c r="R40" s="3"/>
      <c r="S40" s="3"/>
      <c r="T40" s="3"/>
      <c r="U40" s="3"/>
      <c r="V40" s="3"/>
      <c r="W40" s="3"/>
      <c r="X40" s="3"/>
      <c r="Y40" s="3"/>
      <c r="Z40" s="3"/>
      <c r="AA40" s="3"/>
      <c r="AB40" s="3"/>
      <c r="AC40" s="3"/>
      <c r="AD40" s="3"/>
      <c r="AE40" s="3"/>
      <c r="AF40" s="3"/>
      <c r="AG40" s="3"/>
      <c r="AH40" s="3"/>
      <c r="AI40" s="3"/>
      <c r="AJ40" s="3"/>
      <c r="AK40" s="3"/>
    </row>
    <row r="41" spans="1:37" s="6" customFormat="1" ht="12" x14ac:dyDescent="0.2">
      <c r="A41" s="841"/>
      <c r="B41" s="732"/>
      <c r="C41" s="757" t="s">
        <v>580</v>
      </c>
      <c r="D41" s="758">
        <f>SUM(D21:D40)</f>
        <v>29428</v>
      </c>
      <c r="E41" s="759"/>
      <c r="F41" s="760"/>
      <c r="G41" s="761"/>
      <c r="H41" s="760"/>
      <c r="I41" s="758">
        <f>SUM(I21:I40)</f>
        <v>16449</v>
      </c>
      <c r="J41" s="758">
        <f>SUM(J21:J40)</f>
        <v>41955718018</v>
      </c>
      <c r="K41" s="758">
        <f>SUM(K21:K40)</f>
        <v>7978632695</v>
      </c>
      <c r="L41" s="741">
        <f>SUM(L21:L40)</f>
        <v>32013783.763392031</v>
      </c>
      <c r="M41" s="2"/>
      <c r="N41" s="2"/>
      <c r="O41" s="3"/>
      <c r="P41" s="2"/>
      <c r="Q41" s="2"/>
      <c r="R41" s="2"/>
      <c r="S41" s="2"/>
      <c r="T41" s="2"/>
      <c r="U41" s="2"/>
      <c r="V41" s="2"/>
      <c r="W41" s="3"/>
      <c r="X41" s="2"/>
      <c r="Y41" s="2"/>
      <c r="Z41" s="2"/>
      <c r="AA41" s="2"/>
      <c r="AB41" s="2"/>
      <c r="AC41" s="2"/>
      <c r="AD41" s="2"/>
      <c r="AE41" s="2"/>
      <c r="AF41" s="2"/>
      <c r="AG41" s="2"/>
      <c r="AH41" s="2"/>
      <c r="AI41" s="2"/>
      <c r="AJ41" s="2"/>
      <c r="AK41" s="2"/>
    </row>
    <row r="42" spans="1:37" ht="12" x14ac:dyDescent="0.2">
      <c r="A42" s="841"/>
      <c r="B42" s="731" t="s">
        <v>581</v>
      </c>
      <c r="C42" s="752" t="s">
        <v>581</v>
      </c>
      <c r="D42" s="1635">
        <v>1951</v>
      </c>
      <c r="E42" s="1635">
        <v>0.35293999999999998</v>
      </c>
      <c r="F42" s="752"/>
      <c r="G42" s="755" t="str">
        <f t="shared" si="1"/>
        <v>.</v>
      </c>
      <c r="H42" s="1635">
        <v>1253.5</v>
      </c>
      <c r="I42" s="1635">
        <v>522</v>
      </c>
      <c r="J42" s="1635">
        <v>3487093822</v>
      </c>
      <c r="K42" s="1635">
        <v>87403345</v>
      </c>
      <c r="L42" s="747">
        <f t="shared" ref="L42:L66" si="2">IF(D42="",".",IF(F42&lt;&gt;"",F42*D42+J42*(E42/100),(J42-K42)*(E42/100)+H42*I42))</f>
        <v>12653194.5695238</v>
      </c>
      <c r="N42" s="3"/>
      <c r="O42" s="3"/>
      <c r="P42" s="3"/>
      <c r="Q42" s="3"/>
      <c r="R42" s="3"/>
      <c r="S42" s="3"/>
      <c r="T42" s="3"/>
      <c r="U42" s="3"/>
      <c r="V42" s="3"/>
      <c r="W42" s="3"/>
      <c r="X42" s="3"/>
      <c r="Y42" s="3"/>
      <c r="Z42" s="3"/>
      <c r="AA42" s="3"/>
      <c r="AB42" s="3"/>
      <c r="AC42" s="3"/>
      <c r="AD42" s="3"/>
      <c r="AE42" s="3"/>
      <c r="AF42" s="3"/>
      <c r="AG42" s="3"/>
      <c r="AH42" s="3"/>
      <c r="AI42" s="3"/>
      <c r="AJ42" s="3"/>
      <c r="AK42" s="3"/>
    </row>
    <row r="43" spans="1:37" ht="12" x14ac:dyDescent="0.2">
      <c r="A43" s="841"/>
      <c r="B43" s="731" t="s">
        <v>581</v>
      </c>
      <c r="C43" s="1637" t="s">
        <v>979</v>
      </c>
      <c r="D43" s="1637">
        <v>954</v>
      </c>
      <c r="E43" s="1637">
        <v>0.64629999999999999</v>
      </c>
      <c r="F43" s="752"/>
      <c r="G43" s="755" t="str">
        <f t="shared" si="1"/>
        <v>.</v>
      </c>
      <c r="H43" s="1635">
        <v>1338.5</v>
      </c>
      <c r="I43" s="1635">
        <v>537</v>
      </c>
      <c r="J43" s="1635">
        <v>1106659971</v>
      </c>
      <c r="K43" s="1635">
        <v>66106560</v>
      </c>
      <c r="L43" s="747">
        <f t="shared" si="2"/>
        <v>7443871.195293</v>
      </c>
      <c r="N43" s="3"/>
      <c r="O43" s="3"/>
      <c r="P43" s="3"/>
      <c r="Q43" s="3"/>
      <c r="R43" s="3"/>
      <c r="S43" s="3"/>
      <c r="T43" s="3"/>
      <c r="U43" s="3"/>
      <c r="V43" s="3"/>
      <c r="W43" s="3"/>
      <c r="X43" s="3"/>
      <c r="Y43" s="3"/>
      <c r="Z43" s="3"/>
      <c r="AA43" s="3"/>
      <c r="AB43" s="3"/>
      <c r="AC43" s="3"/>
      <c r="AD43" s="3"/>
      <c r="AE43" s="3"/>
      <c r="AF43" s="3"/>
      <c r="AG43" s="3"/>
      <c r="AH43" s="3"/>
      <c r="AI43" s="3"/>
      <c r="AJ43" s="3"/>
      <c r="AK43" s="3"/>
    </row>
    <row r="44" spans="1:37" ht="12" x14ac:dyDescent="0.2">
      <c r="A44" s="841"/>
      <c r="B44" s="731" t="s">
        <v>581</v>
      </c>
      <c r="C44" s="1637" t="s">
        <v>980</v>
      </c>
      <c r="D44" s="1637">
        <v>1</v>
      </c>
      <c r="E44" s="1637">
        <v>1.9725299999999999</v>
      </c>
      <c r="F44" s="752"/>
      <c r="G44" s="755" t="str">
        <f t="shared" si="1"/>
        <v>.</v>
      </c>
      <c r="H44" s="1635">
        <v>1121.75</v>
      </c>
      <c r="I44" s="1635">
        <v>0</v>
      </c>
      <c r="J44" s="1635">
        <v>47700000</v>
      </c>
      <c r="K44" s="1635"/>
      <c r="L44" s="747">
        <f t="shared" si="2"/>
        <v>940896.80999999994</v>
      </c>
      <c r="N44" s="3"/>
      <c r="O44" s="3"/>
      <c r="P44" s="3"/>
      <c r="Q44" s="3"/>
      <c r="R44" s="3"/>
      <c r="S44" s="3"/>
      <c r="T44" s="3"/>
      <c r="U44" s="3"/>
      <c r="V44" s="3"/>
      <c r="W44" s="3"/>
      <c r="X44" s="3"/>
      <c r="Y44" s="3"/>
      <c r="Z44" s="3"/>
      <c r="AA44" s="3"/>
      <c r="AB44" s="3"/>
      <c r="AC44" s="3"/>
      <c r="AD44" s="3"/>
      <c r="AE44" s="3"/>
      <c r="AF44" s="3"/>
      <c r="AG44" s="3"/>
      <c r="AH44" s="3"/>
      <c r="AI44" s="3"/>
      <c r="AJ44" s="3"/>
      <c r="AK44" s="3"/>
    </row>
    <row r="45" spans="1:37" ht="12" x14ac:dyDescent="0.2">
      <c r="A45" s="841"/>
      <c r="B45" s="731" t="s">
        <v>581</v>
      </c>
      <c r="C45" s="1637" t="s">
        <v>981</v>
      </c>
      <c r="D45" s="1637">
        <v>10</v>
      </c>
      <c r="E45" s="1637">
        <v>1.8278000000000001</v>
      </c>
      <c r="F45" s="752"/>
      <c r="G45" s="755" t="str">
        <f t="shared" si="1"/>
        <v>.</v>
      </c>
      <c r="H45" s="1635">
        <v>1121.75</v>
      </c>
      <c r="I45" s="1635">
        <v>0</v>
      </c>
      <c r="J45" s="1635">
        <v>65752000</v>
      </c>
      <c r="K45" s="1635"/>
      <c r="L45" s="747">
        <f t="shared" si="2"/>
        <v>1201815.0560000001</v>
      </c>
      <c r="N45" s="3"/>
      <c r="O45" s="3"/>
      <c r="P45" s="3"/>
      <c r="Q45" s="3"/>
      <c r="R45" s="3"/>
      <c r="S45" s="3"/>
      <c r="T45" s="3"/>
      <c r="U45" s="3"/>
      <c r="V45" s="3"/>
      <c r="W45" s="3"/>
      <c r="X45" s="3"/>
      <c r="Y45" s="3"/>
      <c r="Z45" s="3"/>
      <c r="AA45" s="3"/>
      <c r="AB45" s="3"/>
      <c r="AC45" s="3"/>
      <c r="AD45" s="3"/>
      <c r="AE45" s="3"/>
      <c r="AF45" s="3"/>
      <c r="AG45" s="3"/>
      <c r="AH45" s="3"/>
      <c r="AI45" s="3"/>
      <c r="AJ45" s="3"/>
      <c r="AK45" s="3"/>
    </row>
    <row r="46" spans="1:37" ht="12" x14ac:dyDescent="0.2">
      <c r="A46" s="841"/>
      <c r="B46" s="731" t="s">
        <v>581</v>
      </c>
      <c r="C46" s="1637" t="s">
        <v>982</v>
      </c>
      <c r="D46" s="1637">
        <v>113</v>
      </c>
      <c r="E46" s="1637">
        <v>0.59499999999999997</v>
      </c>
      <c r="F46" s="752"/>
      <c r="G46" s="755" t="str">
        <f t="shared" si="1"/>
        <v>.</v>
      </c>
      <c r="H46" s="1635">
        <v>850.85</v>
      </c>
      <c r="I46" s="1635">
        <v>102</v>
      </c>
      <c r="J46" s="1635">
        <v>7670000</v>
      </c>
      <c r="K46" s="1635">
        <v>5711082</v>
      </c>
      <c r="L46" s="747">
        <f t="shared" si="2"/>
        <v>98442.262099999993</v>
      </c>
      <c r="N46" s="3"/>
      <c r="O46" s="3"/>
      <c r="P46" s="3"/>
      <c r="Q46" s="3"/>
      <c r="R46" s="3"/>
      <c r="S46" s="3"/>
      <c r="T46" s="3"/>
      <c r="U46" s="3"/>
      <c r="V46" s="3"/>
      <c r="W46" s="3"/>
      <c r="X46" s="3"/>
      <c r="Y46" s="3"/>
      <c r="Z46" s="3"/>
      <c r="AA46" s="3"/>
      <c r="AB46" s="3"/>
      <c r="AC46" s="3"/>
      <c r="AD46" s="3"/>
      <c r="AE46" s="3"/>
      <c r="AF46" s="3"/>
      <c r="AG46" s="3"/>
      <c r="AH46" s="3"/>
      <c r="AI46" s="3"/>
      <c r="AJ46" s="3"/>
      <c r="AK46" s="3"/>
    </row>
    <row r="47" spans="1:37" ht="12" x14ac:dyDescent="0.2">
      <c r="A47" s="841"/>
      <c r="B47" s="731" t="s">
        <v>581</v>
      </c>
      <c r="C47" s="752"/>
      <c r="D47" s="753"/>
      <c r="E47" s="754"/>
      <c r="F47" s="752"/>
      <c r="G47" s="755" t="str">
        <f t="shared" si="1"/>
        <v>.</v>
      </c>
      <c r="H47" s="752"/>
      <c r="I47" s="753"/>
      <c r="J47" s="753"/>
      <c r="K47" s="753"/>
      <c r="L47" s="747" t="str">
        <f t="shared" si="2"/>
        <v>.</v>
      </c>
      <c r="N47" s="3"/>
      <c r="O47" s="3"/>
      <c r="P47" s="3"/>
      <c r="Q47" s="3"/>
      <c r="R47" s="3"/>
      <c r="S47" s="3"/>
      <c r="T47" s="3"/>
      <c r="U47" s="3"/>
      <c r="V47" s="3"/>
      <c r="W47" s="3"/>
      <c r="X47" s="3"/>
      <c r="Y47" s="3"/>
      <c r="Z47" s="3"/>
      <c r="AA47" s="3"/>
      <c r="AB47" s="3"/>
      <c r="AC47" s="3"/>
      <c r="AD47" s="3"/>
      <c r="AE47" s="3"/>
      <c r="AF47" s="3"/>
      <c r="AG47" s="3"/>
      <c r="AH47" s="3"/>
      <c r="AI47" s="3"/>
      <c r="AJ47" s="3"/>
      <c r="AK47" s="3"/>
    </row>
    <row r="48" spans="1:37" ht="12" x14ac:dyDescent="0.2">
      <c r="A48" s="841"/>
      <c r="B48" s="731" t="s">
        <v>581</v>
      </c>
      <c r="C48" s="752"/>
      <c r="D48" s="753"/>
      <c r="E48" s="754"/>
      <c r="F48" s="752"/>
      <c r="G48" s="755" t="str">
        <f t="shared" si="1"/>
        <v>.</v>
      </c>
      <c r="H48" s="752"/>
      <c r="I48" s="753"/>
      <c r="J48" s="753"/>
      <c r="K48" s="753"/>
      <c r="L48" s="747" t="str">
        <f t="shared" si="2"/>
        <v>.</v>
      </c>
      <c r="N48" s="3"/>
      <c r="O48" s="3"/>
      <c r="P48" s="3"/>
      <c r="Q48" s="3"/>
      <c r="R48" s="3"/>
      <c r="S48" s="3"/>
      <c r="T48" s="3"/>
      <c r="U48" s="3"/>
      <c r="V48" s="3"/>
      <c r="W48" s="3"/>
      <c r="X48" s="3"/>
      <c r="Y48" s="3"/>
      <c r="Z48" s="3"/>
      <c r="AA48" s="3"/>
      <c r="AB48" s="3"/>
      <c r="AC48" s="3"/>
      <c r="AD48" s="3"/>
      <c r="AE48" s="3"/>
      <c r="AF48" s="3"/>
      <c r="AG48" s="3"/>
      <c r="AH48" s="3"/>
      <c r="AI48" s="3"/>
      <c r="AJ48" s="3"/>
      <c r="AK48" s="3"/>
    </row>
    <row r="49" spans="1:37" ht="12" x14ac:dyDescent="0.2">
      <c r="A49" s="841"/>
      <c r="B49" s="731" t="s">
        <v>581</v>
      </c>
      <c r="C49" s="752"/>
      <c r="D49" s="753"/>
      <c r="E49" s="754"/>
      <c r="F49" s="752"/>
      <c r="G49" s="755" t="str">
        <f t="shared" si="1"/>
        <v>.</v>
      </c>
      <c r="H49" s="752"/>
      <c r="I49" s="753"/>
      <c r="J49" s="753"/>
      <c r="K49" s="753"/>
      <c r="L49" s="747" t="str">
        <f t="shared" si="2"/>
        <v>.</v>
      </c>
      <c r="N49" s="3"/>
      <c r="O49" s="3"/>
      <c r="P49" s="3"/>
      <c r="Q49" s="3"/>
      <c r="R49" s="3"/>
      <c r="S49" s="3"/>
      <c r="T49" s="3"/>
      <c r="U49" s="3"/>
      <c r="V49" s="3"/>
      <c r="W49" s="3"/>
      <c r="X49" s="3"/>
      <c r="Y49" s="3"/>
      <c r="Z49" s="3"/>
      <c r="AA49" s="3"/>
      <c r="AB49" s="3"/>
      <c r="AC49" s="3"/>
      <c r="AD49" s="3"/>
      <c r="AE49" s="3"/>
      <c r="AF49" s="3"/>
      <c r="AG49" s="3"/>
      <c r="AH49" s="3"/>
      <c r="AI49" s="3"/>
      <c r="AJ49" s="3"/>
      <c r="AK49" s="3"/>
    </row>
    <row r="50" spans="1:37" ht="12" x14ac:dyDescent="0.2">
      <c r="A50" s="841"/>
      <c r="B50" s="731" t="s">
        <v>581</v>
      </c>
      <c r="C50" s="752"/>
      <c r="D50" s="753"/>
      <c r="E50" s="754"/>
      <c r="F50" s="752"/>
      <c r="G50" s="755" t="str">
        <f t="shared" si="1"/>
        <v>.</v>
      </c>
      <c r="H50" s="752"/>
      <c r="I50" s="753"/>
      <c r="J50" s="753"/>
      <c r="K50" s="753"/>
      <c r="L50" s="747" t="str">
        <f t="shared" si="2"/>
        <v>.</v>
      </c>
      <c r="N50" s="3"/>
      <c r="O50" s="3"/>
      <c r="P50" s="3"/>
      <c r="Q50" s="3"/>
      <c r="R50" s="3"/>
      <c r="S50" s="3"/>
      <c r="T50" s="3"/>
      <c r="U50" s="3"/>
      <c r="V50" s="3"/>
      <c r="W50" s="3"/>
      <c r="X50" s="3"/>
      <c r="Y50" s="3"/>
      <c r="Z50" s="3"/>
      <c r="AA50" s="3"/>
      <c r="AB50" s="3"/>
      <c r="AC50" s="3"/>
      <c r="AD50" s="3"/>
      <c r="AE50" s="3"/>
      <c r="AF50" s="3"/>
      <c r="AG50" s="3"/>
      <c r="AH50" s="3"/>
      <c r="AI50" s="3"/>
      <c r="AJ50" s="3"/>
      <c r="AK50" s="3"/>
    </row>
    <row r="51" spans="1:37" ht="12" x14ac:dyDescent="0.2">
      <c r="A51" s="841"/>
      <c r="B51" s="731" t="s">
        <v>581</v>
      </c>
      <c r="C51" s="752"/>
      <c r="D51" s="753"/>
      <c r="E51" s="754"/>
      <c r="F51" s="752"/>
      <c r="G51" s="755" t="str">
        <f t="shared" si="1"/>
        <v>.</v>
      </c>
      <c r="H51" s="752"/>
      <c r="I51" s="753"/>
      <c r="J51" s="753"/>
      <c r="K51" s="753"/>
      <c r="L51" s="747" t="str">
        <f t="shared" si="2"/>
        <v>.</v>
      </c>
      <c r="N51" s="3"/>
      <c r="O51" s="3"/>
      <c r="P51" s="3"/>
      <c r="Q51" s="3"/>
      <c r="R51" s="3"/>
      <c r="S51" s="3"/>
      <c r="T51" s="3"/>
      <c r="U51" s="3"/>
      <c r="V51" s="3"/>
      <c r="W51" s="3"/>
      <c r="X51" s="3"/>
      <c r="Y51" s="3"/>
      <c r="Z51" s="3"/>
      <c r="AA51" s="3"/>
      <c r="AB51" s="3"/>
      <c r="AC51" s="3"/>
      <c r="AD51" s="3"/>
      <c r="AE51" s="3"/>
      <c r="AF51" s="3"/>
      <c r="AG51" s="3"/>
      <c r="AH51" s="3"/>
      <c r="AI51" s="3"/>
      <c r="AJ51" s="3"/>
      <c r="AK51" s="3"/>
    </row>
    <row r="52" spans="1:37" ht="12" x14ac:dyDescent="0.2">
      <c r="A52" s="841"/>
      <c r="B52" s="731" t="s">
        <v>581</v>
      </c>
      <c r="C52" s="752"/>
      <c r="D52" s="753"/>
      <c r="E52" s="754"/>
      <c r="F52" s="752"/>
      <c r="G52" s="755" t="str">
        <f t="shared" si="1"/>
        <v>.</v>
      </c>
      <c r="H52" s="752"/>
      <c r="I52" s="753"/>
      <c r="J52" s="753"/>
      <c r="K52" s="753"/>
      <c r="L52" s="747" t="str">
        <f t="shared" si="2"/>
        <v>.</v>
      </c>
      <c r="N52" s="3"/>
      <c r="O52" s="3"/>
      <c r="P52" s="3"/>
      <c r="Q52" s="3"/>
      <c r="R52" s="3"/>
      <c r="S52" s="3"/>
      <c r="T52" s="3"/>
      <c r="U52" s="3"/>
      <c r="V52" s="3"/>
      <c r="W52" s="3"/>
      <c r="X52" s="3"/>
      <c r="Y52" s="3"/>
      <c r="Z52" s="3"/>
      <c r="AA52" s="3"/>
      <c r="AB52" s="3"/>
      <c r="AC52" s="3"/>
      <c r="AD52" s="3"/>
      <c r="AE52" s="3"/>
      <c r="AF52" s="3"/>
      <c r="AG52" s="3"/>
      <c r="AH52" s="3"/>
      <c r="AI52" s="3"/>
      <c r="AJ52" s="3"/>
      <c r="AK52" s="3"/>
    </row>
    <row r="53" spans="1:37" ht="12" x14ac:dyDescent="0.2">
      <c r="A53" s="841"/>
      <c r="B53" s="731" t="s">
        <v>581</v>
      </c>
      <c r="C53" s="752"/>
      <c r="D53" s="753"/>
      <c r="E53" s="754"/>
      <c r="F53" s="752"/>
      <c r="G53" s="755" t="str">
        <f t="shared" si="1"/>
        <v>.</v>
      </c>
      <c r="H53" s="752"/>
      <c r="I53" s="753"/>
      <c r="J53" s="753"/>
      <c r="K53" s="753"/>
      <c r="L53" s="747" t="str">
        <f t="shared" si="2"/>
        <v>.</v>
      </c>
      <c r="N53" s="3"/>
      <c r="O53" s="3"/>
      <c r="P53" s="3"/>
      <c r="Q53" s="3"/>
      <c r="R53" s="3"/>
      <c r="S53" s="3"/>
      <c r="T53" s="3"/>
      <c r="U53" s="3"/>
      <c r="V53" s="3"/>
      <c r="W53" s="3"/>
      <c r="X53" s="3"/>
      <c r="Y53" s="3"/>
      <c r="Z53" s="3"/>
      <c r="AA53" s="3"/>
      <c r="AB53" s="3"/>
      <c r="AC53" s="3"/>
      <c r="AD53" s="3"/>
      <c r="AE53" s="3"/>
      <c r="AF53" s="3"/>
      <c r="AG53" s="3"/>
      <c r="AH53" s="3"/>
      <c r="AI53" s="3"/>
      <c r="AJ53" s="3"/>
      <c r="AK53" s="3"/>
    </row>
    <row r="54" spans="1:37" ht="12" x14ac:dyDescent="0.2">
      <c r="A54" s="841"/>
      <c r="B54" s="731" t="s">
        <v>581</v>
      </c>
      <c r="C54" s="752"/>
      <c r="D54" s="753"/>
      <c r="E54" s="754"/>
      <c r="F54" s="752"/>
      <c r="G54" s="755" t="str">
        <f t="shared" si="1"/>
        <v>.</v>
      </c>
      <c r="H54" s="752"/>
      <c r="I54" s="753"/>
      <c r="J54" s="753"/>
      <c r="K54" s="753"/>
      <c r="L54" s="747" t="str">
        <f t="shared" si="2"/>
        <v>.</v>
      </c>
      <c r="N54" s="3"/>
      <c r="O54" s="3"/>
      <c r="P54" s="3"/>
      <c r="Q54" s="3"/>
      <c r="R54" s="3"/>
      <c r="S54" s="3"/>
      <c r="T54" s="3"/>
      <c r="U54" s="3"/>
      <c r="V54" s="3"/>
      <c r="W54" s="3"/>
      <c r="X54" s="3"/>
      <c r="Y54" s="3"/>
      <c r="Z54" s="3"/>
      <c r="AA54" s="3"/>
      <c r="AB54" s="3"/>
      <c r="AC54" s="3"/>
      <c r="AD54" s="3"/>
      <c r="AE54" s="3"/>
      <c r="AF54" s="3"/>
      <c r="AG54" s="3"/>
      <c r="AH54" s="3"/>
      <c r="AI54" s="3"/>
      <c r="AJ54" s="3"/>
      <c r="AK54" s="3"/>
    </row>
    <row r="55" spans="1:37" ht="12" x14ac:dyDescent="0.2">
      <c r="A55" s="841"/>
      <c r="B55" s="731" t="s">
        <v>581</v>
      </c>
      <c r="C55" s="752"/>
      <c r="D55" s="753"/>
      <c r="E55" s="754"/>
      <c r="F55" s="752"/>
      <c r="G55" s="755" t="str">
        <f t="shared" si="1"/>
        <v>.</v>
      </c>
      <c r="H55" s="752"/>
      <c r="I55" s="753"/>
      <c r="J55" s="753"/>
      <c r="K55" s="753"/>
      <c r="L55" s="747" t="str">
        <f t="shared" si="2"/>
        <v>.</v>
      </c>
      <c r="N55" s="3"/>
      <c r="O55" s="3"/>
      <c r="P55" s="3"/>
      <c r="Q55" s="3"/>
      <c r="R55" s="3"/>
      <c r="S55" s="3"/>
      <c r="T55" s="3"/>
      <c r="U55" s="3"/>
      <c r="V55" s="3"/>
      <c r="W55" s="3"/>
      <c r="X55" s="3"/>
      <c r="Y55" s="3"/>
      <c r="Z55" s="3"/>
      <c r="AA55" s="3"/>
      <c r="AB55" s="3"/>
      <c r="AC55" s="3"/>
      <c r="AD55" s="3"/>
      <c r="AE55" s="3"/>
      <c r="AF55" s="3"/>
      <c r="AG55" s="3"/>
      <c r="AH55" s="3"/>
      <c r="AI55" s="3"/>
      <c r="AJ55" s="3"/>
      <c r="AK55" s="3"/>
    </row>
    <row r="56" spans="1:37" ht="12" x14ac:dyDescent="0.2">
      <c r="A56" s="841"/>
      <c r="B56" s="731" t="s">
        <v>581</v>
      </c>
      <c r="C56" s="752"/>
      <c r="D56" s="753"/>
      <c r="E56" s="754"/>
      <c r="F56" s="752"/>
      <c r="G56" s="755" t="str">
        <f t="shared" si="1"/>
        <v>.</v>
      </c>
      <c r="H56" s="752"/>
      <c r="I56" s="753"/>
      <c r="J56" s="753"/>
      <c r="K56" s="753"/>
      <c r="L56" s="747" t="str">
        <f t="shared" si="2"/>
        <v>.</v>
      </c>
      <c r="N56" s="3"/>
      <c r="O56" s="3"/>
      <c r="P56" s="3"/>
      <c r="Q56" s="3"/>
      <c r="R56" s="3"/>
      <c r="S56" s="3"/>
      <c r="T56" s="3"/>
      <c r="U56" s="3"/>
      <c r="V56" s="3"/>
      <c r="W56" s="3"/>
      <c r="X56" s="3"/>
      <c r="Y56" s="3"/>
      <c r="Z56" s="3"/>
      <c r="AA56" s="3"/>
      <c r="AB56" s="3"/>
      <c r="AC56" s="3"/>
      <c r="AD56" s="3"/>
      <c r="AE56" s="3"/>
      <c r="AF56" s="3"/>
      <c r="AG56" s="3"/>
      <c r="AH56" s="3"/>
      <c r="AI56" s="3"/>
      <c r="AJ56" s="3"/>
      <c r="AK56" s="3"/>
    </row>
    <row r="57" spans="1:37" ht="12" x14ac:dyDescent="0.2">
      <c r="A57" s="841"/>
      <c r="B57" s="731" t="s">
        <v>581</v>
      </c>
      <c r="C57" s="752"/>
      <c r="D57" s="753"/>
      <c r="E57" s="754"/>
      <c r="F57" s="752"/>
      <c r="G57" s="755" t="str">
        <f t="shared" si="1"/>
        <v>.</v>
      </c>
      <c r="H57" s="752"/>
      <c r="I57" s="753"/>
      <c r="J57" s="753"/>
      <c r="K57" s="753"/>
      <c r="L57" s="747" t="str">
        <f t="shared" si="2"/>
        <v>.</v>
      </c>
      <c r="N57" s="3"/>
      <c r="O57" s="3"/>
      <c r="P57" s="3"/>
      <c r="Q57" s="3"/>
      <c r="R57" s="3"/>
      <c r="S57" s="3"/>
      <c r="T57" s="3"/>
      <c r="U57" s="3"/>
      <c r="V57" s="3"/>
      <c r="W57" s="3"/>
      <c r="X57" s="3"/>
      <c r="Y57" s="3"/>
      <c r="Z57" s="3"/>
      <c r="AA57" s="3"/>
      <c r="AB57" s="3"/>
      <c r="AC57" s="3"/>
      <c r="AD57" s="3"/>
      <c r="AE57" s="3"/>
      <c r="AF57" s="3"/>
      <c r="AG57" s="3"/>
      <c r="AH57" s="3"/>
      <c r="AI57" s="3"/>
      <c r="AJ57" s="3"/>
      <c r="AK57" s="3"/>
    </row>
    <row r="58" spans="1:37" ht="12" x14ac:dyDescent="0.2">
      <c r="A58" s="841"/>
      <c r="B58" s="731" t="s">
        <v>581</v>
      </c>
      <c r="C58" s="752"/>
      <c r="D58" s="753"/>
      <c r="E58" s="754"/>
      <c r="F58" s="752"/>
      <c r="G58" s="755" t="str">
        <f t="shared" si="1"/>
        <v>.</v>
      </c>
      <c r="H58" s="752"/>
      <c r="I58" s="753"/>
      <c r="J58" s="753"/>
      <c r="K58" s="753"/>
      <c r="L58" s="747" t="str">
        <f t="shared" si="2"/>
        <v>.</v>
      </c>
      <c r="N58" s="3"/>
      <c r="O58" s="3"/>
      <c r="P58" s="3"/>
      <c r="Q58" s="3"/>
      <c r="R58" s="3"/>
      <c r="S58" s="3"/>
      <c r="T58" s="3"/>
      <c r="U58" s="3"/>
      <c r="V58" s="3"/>
      <c r="W58" s="3"/>
      <c r="X58" s="3"/>
      <c r="Y58" s="3"/>
      <c r="Z58" s="3"/>
      <c r="AA58" s="3"/>
      <c r="AB58" s="3"/>
      <c r="AC58" s="3"/>
      <c r="AD58" s="3"/>
      <c r="AE58" s="3"/>
      <c r="AF58" s="3"/>
      <c r="AG58" s="3"/>
      <c r="AH58" s="3"/>
      <c r="AI58" s="3"/>
      <c r="AJ58" s="3"/>
      <c r="AK58" s="3"/>
    </row>
    <row r="59" spans="1:37" ht="12" x14ac:dyDescent="0.2">
      <c r="A59" s="841"/>
      <c r="B59" s="731" t="s">
        <v>581</v>
      </c>
      <c r="C59" s="752"/>
      <c r="D59" s="753"/>
      <c r="E59" s="754"/>
      <c r="F59" s="752"/>
      <c r="G59" s="755" t="str">
        <f t="shared" si="1"/>
        <v>.</v>
      </c>
      <c r="H59" s="752"/>
      <c r="I59" s="753"/>
      <c r="J59" s="753"/>
      <c r="K59" s="753"/>
      <c r="L59" s="747" t="str">
        <f t="shared" si="2"/>
        <v>.</v>
      </c>
      <c r="N59" s="3"/>
      <c r="O59" s="3"/>
      <c r="P59" s="3"/>
      <c r="Q59" s="3"/>
      <c r="R59" s="3"/>
      <c r="S59" s="3"/>
      <c r="T59" s="3"/>
      <c r="U59" s="3"/>
      <c r="V59" s="3"/>
      <c r="W59" s="3"/>
      <c r="X59" s="3"/>
      <c r="Y59" s="3"/>
      <c r="Z59" s="3"/>
      <c r="AA59" s="3"/>
      <c r="AB59" s="3"/>
      <c r="AC59" s="3"/>
      <c r="AD59" s="3"/>
      <c r="AE59" s="3"/>
      <c r="AF59" s="3"/>
      <c r="AG59" s="3"/>
      <c r="AH59" s="3"/>
      <c r="AI59" s="3"/>
      <c r="AJ59" s="3"/>
      <c r="AK59" s="3"/>
    </row>
    <row r="60" spans="1:37" ht="12" x14ac:dyDescent="0.2">
      <c r="A60" s="841"/>
      <c r="B60" s="731" t="s">
        <v>581</v>
      </c>
      <c r="C60" s="752"/>
      <c r="D60" s="753"/>
      <c r="E60" s="754"/>
      <c r="F60" s="752"/>
      <c r="G60" s="755" t="str">
        <f t="shared" si="1"/>
        <v>.</v>
      </c>
      <c r="H60" s="752"/>
      <c r="I60" s="753"/>
      <c r="J60" s="753"/>
      <c r="K60" s="753"/>
      <c r="L60" s="747" t="str">
        <f t="shared" si="2"/>
        <v>.</v>
      </c>
      <c r="N60" s="3"/>
      <c r="O60" s="3"/>
      <c r="P60" s="3"/>
      <c r="Q60" s="3"/>
      <c r="R60" s="3"/>
      <c r="S60" s="3"/>
      <c r="T60" s="3"/>
      <c r="U60" s="3"/>
      <c r="V60" s="3"/>
      <c r="W60" s="3"/>
      <c r="X60" s="3"/>
      <c r="Y60" s="3"/>
      <c r="Z60" s="3"/>
      <c r="AA60" s="3"/>
      <c r="AB60" s="3"/>
      <c r="AC60" s="3"/>
      <c r="AD60" s="3"/>
      <c r="AE60" s="3"/>
      <c r="AF60" s="3"/>
      <c r="AG60" s="3"/>
      <c r="AH60" s="3"/>
      <c r="AI60" s="3"/>
      <c r="AJ60" s="3"/>
      <c r="AK60" s="3"/>
    </row>
    <row r="61" spans="1:37" ht="12" x14ac:dyDescent="0.2">
      <c r="A61" s="841"/>
      <c r="B61" s="731" t="s">
        <v>581</v>
      </c>
      <c r="C61" s="752"/>
      <c r="D61" s="753"/>
      <c r="E61" s="754"/>
      <c r="F61" s="752"/>
      <c r="G61" s="755" t="str">
        <f t="shared" si="1"/>
        <v>.</v>
      </c>
      <c r="H61" s="752"/>
      <c r="I61" s="753"/>
      <c r="J61" s="753"/>
      <c r="K61" s="753"/>
      <c r="L61" s="747" t="str">
        <f t="shared" si="2"/>
        <v>.</v>
      </c>
      <c r="N61" s="3"/>
      <c r="O61" s="3"/>
      <c r="P61" s="3"/>
      <c r="Q61" s="3"/>
      <c r="R61" s="3"/>
      <c r="S61" s="3"/>
      <c r="T61" s="3"/>
      <c r="U61" s="3"/>
      <c r="V61" s="3"/>
      <c r="W61" s="3"/>
      <c r="X61" s="3"/>
      <c r="Y61" s="3"/>
      <c r="Z61" s="3"/>
      <c r="AA61" s="3"/>
      <c r="AB61" s="3"/>
      <c r="AC61" s="3"/>
      <c r="AD61" s="3"/>
      <c r="AE61" s="3"/>
      <c r="AF61" s="3"/>
      <c r="AG61" s="3"/>
      <c r="AH61" s="3"/>
      <c r="AI61" s="3"/>
      <c r="AJ61" s="3"/>
      <c r="AK61" s="3"/>
    </row>
    <row r="62" spans="1:37" ht="12" x14ac:dyDescent="0.2">
      <c r="A62" s="841"/>
      <c r="B62" s="731" t="s">
        <v>581</v>
      </c>
      <c r="C62" s="752"/>
      <c r="D62" s="753"/>
      <c r="E62" s="754"/>
      <c r="F62" s="752"/>
      <c r="G62" s="755" t="str">
        <f t="shared" si="1"/>
        <v>.</v>
      </c>
      <c r="H62" s="752"/>
      <c r="I62" s="753"/>
      <c r="J62" s="753"/>
      <c r="K62" s="753"/>
      <c r="L62" s="747" t="str">
        <f t="shared" si="2"/>
        <v>.</v>
      </c>
      <c r="N62" s="3"/>
      <c r="O62" s="3"/>
      <c r="P62" s="3"/>
      <c r="Q62" s="3"/>
      <c r="R62" s="3"/>
      <c r="S62" s="3"/>
      <c r="T62" s="3"/>
      <c r="U62" s="3"/>
      <c r="V62" s="3"/>
      <c r="W62" s="3"/>
      <c r="X62" s="3"/>
      <c r="Y62" s="3"/>
      <c r="Z62" s="3"/>
      <c r="AA62" s="3"/>
      <c r="AB62" s="3"/>
      <c r="AC62" s="3"/>
      <c r="AD62" s="3"/>
      <c r="AE62" s="3"/>
      <c r="AF62" s="3"/>
      <c r="AG62" s="3"/>
      <c r="AH62" s="3"/>
      <c r="AI62" s="3"/>
      <c r="AJ62" s="3"/>
      <c r="AK62" s="3"/>
    </row>
    <row r="63" spans="1:37" ht="12" x14ac:dyDescent="0.2">
      <c r="A63" s="841"/>
      <c r="B63" s="731" t="s">
        <v>581</v>
      </c>
      <c r="C63" s="752"/>
      <c r="D63" s="753"/>
      <c r="E63" s="754"/>
      <c r="F63" s="752"/>
      <c r="G63" s="755" t="str">
        <f t="shared" si="1"/>
        <v>.</v>
      </c>
      <c r="H63" s="752"/>
      <c r="I63" s="753"/>
      <c r="J63" s="753"/>
      <c r="K63" s="753"/>
      <c r="L63" s="747" t="str">
        <f t="shared" si="2"/>
        <v>.</v>
      </c>
      <c r="N63" s="3"/>
      <c r="O63" s="3"/>
      <c r="P63" s="3"/>
      <c r="Q63" s="3"/>
      <c r="R63" s="3"/>
      <c r="S63" s="3"/>
      <c r="T63" s="3"/>
      <c r="U63" s="3"/>
      <c r="V63" s="3"/>
      <c r="W63" s="3"/>
      <c r="X63" s="3"/>
      <c r="Y63" s="3"/>
      <c r="Z63" s="3"/>
      <c r="AA63" s="3"/>
      <c r="AB63" s="3"/>
      <c r="AC63" s="3"/>
      <c r="AD63" s="3"/>
      <c r="AE63" s="3"/>
      <c r="AF63" s="3"/>
      <c r="AG63" s="3"/>
      <c r="AH63" s="3"/>
      <c r="AI63" s="3"/>
      <c r="AJ63" s="3"/>
      <c r="AK63" s="3"/>
    </row>
    <row r="64" spans="1:37" ht="12" x14ac:dyDescent="0.2">
      <c r="A64" s="841"/>
      <c r="B64" s="731" t="s">
        <v>581</v>
      </c>
      <c r="C64" s="752"/>
      <c r="D64" s="753"/>
      <c r="E64" s="754"/>
      <c r="F64" s="752"/>
      <c r="G64" s="755" t="str">
        <f t="shared" si="1"/>
        <v>.</v>
      </c>
      <c r="H64" s="752"/>
      <c r="I64" s="753"/>
      <c r="J64" s="753"/>
      <c r="K64" s="753"/>
      <c r="L64" s="747" t="str">
        <f t="shared" si="2"/>
        <v>.</v>
      </c>
      <c r="N64" s="3"/>
      <c r="O64" s="3"/>
      <c r="P64" s="3"/>
      <c r="Q64" s="3"/>
      <c r="R64" s="3"/>
      <c r="S64" s="3"/>
      <c r="T64" s="3"/>
      <c r="U64" s="3"/>
      <c r="V64" s="3"/>
      <c r="W64" s="3"/>
      <c r="X64" s="3"/>
      <c r="Y64" s="3"/>
      <c r="Z64" s="3"/>
      <c r="AA64" s="3"/>
      <c r="AB64" s="3"/>
      <c r="AC64" s="3"/>
      <c r="AD64" s="3"/>
      <c r="AE64" s="3"/>
      <c r="AF64" s="3"/>
      <c r="AG64" s="3"/>
      <c r="AH64" s="3"/>
      <c r="AI64" s="3"/>
      <c r="AJ64" s="3"/>
      <c r="AK64" s="3"/>
    </row>
    <row r="65" spans="1:37" ht="12" x14ac:dyDescent="0.2">
      <c r="A65" s="841"/>
      <c r="B65" s="731" t="s">
        <v>581</v>
      </c>
      <c r="C65" s="752"/>
      <c r="D65" s="753"/>
      <c r="E65" s="754"/>
      <c r="F65" s="752"/>
      <c r="G65" s="755" t="str">
        <f t="shared" si="1"/>
        <v>.</v>
      </c>
      <c r="H65" s="752"/>
      <c r="I65" s="753"/>
      <c r="J65" s="753"/>
      <c r="K65" s="753"/>
      <c r="L65" s="747" t="str">
        <f t="shared" si="2"/>
        <v>.</v>
      </c>
      <c r="N65" s="3"/>
      <c r="O65" s="3"/>
      <c r="P65" s="3"/>
      <c r="Q65" s="3"/>
      <c r="R65" s="3"/>
      <c r="S65" s="3"/>
      <c r="T65" s="3"/>
      <c r="U65" s="3"/>
      <c r="V65" s="3"/>
      <c r="W65" s="3"/>
      <c r="X65" s="3"/>
      <c r="Y65" s="3"/>
      <c r="Z65" s="3"/>
      <c r="AA65" s="3"/>
      <c r="AB65" s="3"/>
      <c r="AC65" s="3"/>
      <c r="AD65" s="3"/>
      <c r="AE65" s="3"/>
      <c r="AF65" s="3"/>
      <c r="AG65" s="3"/>
      <c r="AH65" s="3"/>
      <c r="AI65" s="3"/>
      <c r="AJ65" s="3"/>
      <c r="AK65" s="3"/>
    </row>
    <row r="66" spans="1:37" ht="12" x14ac:dyDescent="0.2">
      <c r="A66" s="841"/>
      <c r="B66" s="731" t="s">
        <v>581</v>
      </c>
      <c r="C66" s="752"/>
      <c r="D66" s="753"/>
      <c r="E66" s="754"/>
      <c r="F66" s="752"/>
      <c r="G66" s="755" t="str">
        <f t="shared" si="1"/>
        <v>.</v>
      </c>
      <c r="H66" s="752"/>
      <c r="I66" s="753"/>
      <c r="J66" s="753"/>
      <c r="K66" s="753"/>
      <c r="L66" s="747" t="str">
        <f t="shared" si="2"/>
        <v>.</v>
      </c>
      <c r="N66" s="3"/>
      <c r="O66" s="3"/>
      <c r="P66" s="3"/>
      <c r="Q66" s="3"/>
      <c r="R66" s="3"/>
      <c r="S66" s="3"/>
      <c r="T66" s="3"/>
      <c r="U66" s="3"/>
      <c r="V66" s="3"/>
      <c r="W66" s="3"/>
      <c r="X66" s="3"/>
      <c r="Y66" s="3"/>
      <c r="Z66" s="3"/>
      <c r="AA66" s="3"/>
      <c r="AB66" s="3"/>
      <c r="AC66" s="3"/>
      <c r="AD66" s="3"/>
      <c r="AE66" s="3"/>
      <c r="AF66" s="3"/>
      <c r="AG66" s="3"/>
      <c r="AH66" s="3"/>
      <c r="AI66" s="3"/>
      <c r="AJ66" s="3"/>
      <c r="AK66" s="3"/>
    </row>
    <row r="67" spans="1:37" s="6" customFormat="1" ht="12" x14ac:dyDescent="0.2">
      <c r="A67" s="841"/>
      <c r="B67" s="731"/>
      <c r="C67" s="757" t="s">
        <v>582</v>
      </c>
      <c r="D67" s="758">
        <f>SUM(D42:D66)</f>
        <v>3029</v>
      </c>
      <c r="E67" s="759"/>
      <c r="F67" s="760"/>
      <c r="G67" s="761"/>
      <c r="H67" s="760"/>
      <c r="I67" s="758">
        <f>SUM(I42:I66)</f>
        <v>1161</v>
      </c>
      <c r="J67" s="758">
        <f>SUM(J42:J66)</f>
        <v>4714875793</v>
      </c>
      <c r="K67" s="758">
        <f>SUM(K42:K66)</f>
        <v>159220987</v>
      </c>
      <c r="L67" s="741">
        <f>SUM(L42:L66)</f>
        <v>22338219.892916799</v>
      </c>
      <c r="M67" s="3"/>
      <c r="N67" s="2"/>
      <c r="P67" s="2"/>
      <c r="Q67" s="2"/>
      <c r="R67" s="2"/>
      <c r="S67" s="2"/>
      <c r="T67" s="2"/>
      <c r="U67" s="2"/>
      <c r="V67" s="2"/>
      <c r="W67" s="3"/>
      <c r="X67" s="2"/>
      <c r="Y67" s="2"/>
      <c r="Z67" s="2"/>
      <c r="AA67" s="2"/>
      <c r="AB67" s="2"/>
      <c r="AC67" s="2"/>
      <c r="AD67" s="2"/>
      <c r="AE67" s="2"/>
      <c r="AF67" s="2"/>
      <c r="AG67" s="2"/>
      <c r="AH67" s="2"/>
      <c r="AI67" s="2"/>
      <c r="AJ67" s="2"/>
      <c r="AK67" s="2"/>
    </row>
    <row r="68" spans="1:37" ht="12" x14ac:dyDescent="0.2">
      <c r="A68" s="841"/>
      <c r="B68" s="731" t="s">
        <v>583</v>
      </c>
      <c r="C68" s="752" t="s">
        <v>583</v>
      </c>
      <c r="D68" s="753"/>
      <c r="E68" s="1459"/>
      <c r="F68" s="752"/>
      <c r="G68" s="1460" t="str">
        <f t="shared" si="1"/>
        <v>.</v>
      </c>
      <c r="H68" s="752"/>
      <c r="I68" s="753"/>
      <c r="J68" s="753"/>
      <c r="K68" s="753"/>
      <c r="L68" s="747" t="str">
        <f t="shared" ref="L68:L76" si="3">IF(D68="",".",IF(F68&lt;&gt;"",F68*D68+J68*(E68/100),(J68-K68)*(E68/100)+H68*I68))</f>
        <v>.</v>
      </c>
      <c r="N68" s="3"/>
      <c r="O68" s="3"/>
      <c r="P68" s="3"/>
      <c r="Q68" s="3"/>
      <c r="R68" s="3"/>
      <c r="S68" s="3"/>
      <c r="T68" s="3"/>
      <c r="U68" s="3"/>
      <c r="V68" s="3"/>
      <c r="W68" s="3"/>
      <c r="X68" s="3"/>
      <c r="Y68" s="3"/>
      <c r="Z68" s="3"/>
      <c r="AA68" s="3"/>
      <c r="AB68" s="3"/>
      <c r="AC68" s="3"/>
      <c r="AD68" s="3"/>
      <c r="AE68" s="3"/>
      <c r="AF68" s="3"/>
      <c r="AG68" s="3"/>
      <c r="AH68" s="3"/>
      <c r="AI68" s="3"/>
      <c r="AJ68" s="3"/>
      <c r="AK68" s="3"/>
    </row>
    <row r="69" spans="1:37" ht="12" x14ac:dyDescent="0.2">
      <c r="A69" s="841"/>
      <c r="B69" s="731" t="s">
        <v>583</v>
      </c>
      <c r="C69" s="752"/>
      <c r="D69" s="753"/>
      <c r="E69" s="754"/>
      <c r="F69" s="752"/>
      <c r="G69" s="755" t="str">
        <f t="shared" si="1"/>
        <v>.</v>
      </c>
      <c r="H69" s="752"/>
      <c r="I69" s="753"/>
      <c r="J69" s="753"/>
      <c r="K69" s="753"/>
      <c r="L69" s="747" t="str">
        <f t="shared" si="3"/>
        <v>.</v>
      </c>
      <c r="N69" s="3"/>
      <c r="O69" s="3"/>
      <c r="P69" s="3"/>
      <c r="Q69" s="3"/>
      <c r="R69" s="3"/>
      <c r="S69" s="3"/>
      <c r="T69" s="3"/>
      <c r="U69" s="3"/>
      <c r="V69" s="3"/>
      <c r="W69" s="3"/>
      <c r="X69" s="3"/>
      <c r="Y69" s="3"/>
      <c r="Z69" s="3"/>
      <c r="AA69" s="3"/>
      <c r="AB69" s="3"/>
      <c r="AC69" s="3"/>
      <c r="AD69" s="3"/>
      <c r="AE69" s="3"/>
      <c r="AF69" s="3"/>
      <c r="AG69" s="3"/>
      <c r="AH69" s="3"/>
      <c r="AI69" s="3"/>
      <c r="AJ69" s="3"/>
      <c r="AK69" s="3"/>
    </row>
    <row r="70" spans="1:37" ht="12" x14ac:dyDescent="0.2">
      <c r="A70" s="841"/>
      <c r="B70" s="731" t="s">
        <v>583</v>
      </c>
      <c r="C70" s="752"/>
      <c r="D70" s="753"/>
      <c r="E70" s="754"/>
      <c r="F70" s="752"/>
      <c r="G70" s="755" t="str">
        <f t="shared" si="1"/>
        <v>.</v>
      </c>
      <c r="H70" s="752"/>
      <c r="I70" s="753"/>
      <c r="J70" s="753"/>
      <c r="K70" s="753"/>
      <c r="L70" s="747" t="str">
        <f t="shared" si="3"/>
        <v>.</v>
      </c>
      <c r="N70" s="3"/>
      <c r="O70" s="3"/>
      <c r="P70" s="3"/>
      <c r="Q70" s="3"/>
      <c r="R70" s="3"/>
      <c r="S70" s="3"/>
      <c r="T70" s="3"/>
      <c r="U70" s="3"/>
      <c r="V70" s="3"/>
      <c r="W70" s="3"/>
      <c r="X70" s="3"/>
      <c r="Y70" s="3"/>
      <c r="Z70" s="3"/>
      <c r="AA70" s="3"/>
      <c r="AB70" s="3"/>
      <c r="AC70" s="3"/>
      <c r="AD70" s="3"/>
      <c r="AE70" s="3"/>
      <c r="AF70" s="3"/>
      <c r="AG70" s="3"/>
      <c r="AH70" s="3"/>
      <c r="AI70" s="3"/>
      <c r="AJ70" s="3"/>
      <c r="AK70" s="3"/>
    </row>
    <row r="71" spans="1:37" ht="12" x14ac:dyDescent="0.2">
      <c r="A71" s="841"/>
      <c r="B71" s="731" t="s">
        <v>583</v>
      </c>
      <c r="C71" s="752"/>
      <c r="D71" s="753"/>
      <c r="E71" s="754"/>
      <c r="F71" s="752"/>
      <c r="G71" s="755" t="str">
        <f t="shared" si="1"/>
        <v>.</v>
      </c>
      <c r="H71" s="752"/>
      <c r="I71" s="753"/>
      <c r="J71" s="753"/>
      <c r="K71" s="753"/>
      <c r="L71" s="747" t="str">
        <f t="shared" si="3"/>
        <v>.</v>
      </c>
      <c r="N71" s="3"/>
      <c r="O71" s="3"/>
      <c r="P71" s="3"/>
      <c r="Q71" s="3"/>
      <c r="R71" s="3"/>
      <c r="S71" s="3"/>
      <c r="T71" s="3"/>
      <c r="U71" s="3"/>
      <c r="V71" s="3"/>
      <c r="W71" s="3"/>
      <c r="X71" s="3"/>
      <c r="Y71" s="3"/>
      <c r="Z71" s="3"/>
      <c r="AA71" s="3"/>
      <c r="AB71" s="3"/>
      <c r="AC71" s="3"/>
      <c r="AD71" s="3"/>
      <c r="AE71" s="3"/>
      <c r="AF71" s="3"/>
      <c r="AG71" s="3"/>
      <c r="AH71" s="3"/>
      <c r="AI71" s="3"/>
      <c r="AJ71" s="3"/>
      <c r="AK71" s="3"/>
    </row>
    <row r="72" spans="1:37" ht="12" x14ac:dyDescent="0.2">
      <c r="A72" s="841"/>
      <c r="B72" s="731" t="s">
        <v>583</v>
      </c>
      <c r="C72" s="752"/>
      <c r="D72" s="753"/>
      <c r="E72" s="754"/>
      <c r="F72" s="752"/>
      <c r="G72" s="755" t="str">
        <f t="shared" si="1"/>
        <v>.</v>
      </c>
      <c r="H72" s="752"/>
      <c r="I72" s="753"/>
      <c r="J72" s="753"/>
      <c r="K72" s="753"/>
      <c r="L72" s="747" t="str">
        <f t="shared" si="3"/>
        <v>.</v>
      </c>
      <c r="N72" s="3"/>
      <c r="O72" s="3"/>
      <c r="P72" s="3"/>
      <c r="Q72" s="3"/>
      <c r="R72" s="3"/>
      <c r="S72" s="3"/>
      <c r="T72" s="3"/>
      <c r="U72" s="3"/>
      <c r="V72" s="3"/>
      <c r="W72" s="3"/>
      <c r="X72" s="3"/>
      <c r="Y72" s="3"/>
      <c r="Z72" s="3"/>
      <c r="AA72" s="3"/>
      <c r="AB72" s="3"/>
      <c r="AC72" s="3"/>
      <c r="AD72" s="3"/>
      <c r="AE72" s="3"/>
      <c r="AF72" s="3"/>
      <c r="AG72" s="3"/>
      <c r="AH72" s="3"/>
      <c r="AI72" s="3"/>
      <c r="AJ72" s="3"/>
      <c r="AK72" s="3"/>
    </row>
    <row r="73" spans="1:37" ht="12" x14ac:dyDescent="0.2">
      <c r="A73" s="841"/>
      <c r="B73" s="731" t="s">
        <v>583</v>
      </c>
      <c r="C73" s="752"/>
      <c r="D73" s="753"/>
      <c r="E73" s="754"/>
      <c r="F73" s="752"/>
      <c r="G73" s="755" t="str">
        <f t="shared" si="1"/>
        <v>.</v>
      </c>
      <c r="H73" s="752"/>
      <c r="I73" s="753"/>
      <c r="J73" s="753"/>
      <c r="K73" s="753"/>
      <c r="L73" s="747" t="str">
        <f t="shared" si="3"/>
        <v>.</v>
      </c>
      <c r="N73" s="3"/>
      <c r="O73" s="3"/>
      <c r="P73" s="3"/>
      <c r="Q73" s="3"/>
      <c r="R73" s="3"/>
      <c r="S73" s="3"/>
      <c r="T73" s="3"/>
      <c r="U73" s="3"/>
      <c r="V73" s="3"/>
      <c r="W73" s="3"/>
      <c r="X73" s="3"/>
      <c r="Y73" s="3"/>
      <c r="Z73" s="3"/>
      <c r="AA73" s="3"/>
      <c r="AB73" s="3"/>
      <c r="AC73" s="3"/>
      <c r="AD73" s="3"/>
      <c r="AE73" s="3"/>
      <c r="AF73" s="3"/>
      <c r="AG73" s="3"/>
      <c r="AH73" s="3"/>
      <c r="AI73" s="3"/>
      <c r="AJ73" s="3"/>
      <c r="AK73" s="3"/>
    </row>
    <row r="74" spans="1:37" ht="12" x14ac:dyDescent="0.2">
      <c r="A74" s="841"/>
      <c r="B74" s="731" t="s">
        <v>583</v>
      </c>
      <c r="C74" s="752"/>
      <c r="D74" s="753"/>
      <c r="E74" s="754"/>
      <c r="F74" s="752"/>
      <c r="G74" s="755" t="str">
        <f t="shared" si="1"/>
        <v>.</v>
      </c>
      <c r="H74" s="752"/>
      <c r="I74" s="753"/>
      <c r="J74" s="753"/>
      <c r="K74" s="753"/>
      <c r="L74" s="747" t="str">
        <f t="shared" si="3"/>
        <v>.</v>
      </c>
      <c r="N74" s="3"/>
      <c r="O74" s="3"/>
      <c r="P74" s="3"/>
      <c r="Q74" s="3"/>
      <c r="R74" s="3"/>
      <c r="S74" s="3"/>
      <c r="T74" s="3"/>
      <c r="U74" s="3"/>
      <c r="V74" s="3"/>
      <c r="W74" s="3"/>
      <c r="X74" s="3"/>
      <c r="Y74" s="3"/>
      <c r="Z74" s="3"/>
      <c r="AA74" s="3"/>
      <c r="AB74" s="3"/>
      <c r="AC74" s="3"/>
      <c r="AD74" s="3"/>
      <c r="AE74" s="3"/>
      <c r="AF74" s="3"/>
      <c r="AG74" s="3"/>
      <c r="AH74" s="3"/>
      <c r="AI74" s="3"/>
      <c r="AJ74" s="3"/>
      <c r="AK74" s="3"/>
    </row>
    <row r="75" spans="1:37" ht="12" x14ac:dyDescent="0.2">
      <c r="A75" s="841"/>
      <c r="B75" s="731" t="s">
        <v>583</v>
      </c>
      <c r="C75" s="752"/>
      <c r="D75" s="753"/>
      <c r="E75" s="754"/>
      <c r="F75" s="752"/>
      <c r="G75" s="755" t="str">
        <f t="shared" si="1"/>
        <v>.</v>
      </c>
      <c r="H75" s="752"/>
      <c r="I75" s="753"/>
      <c r="J75" s="753"/>
      <c r="K75" s="753"/>
      <c r="L75" s="747" t="str">
        <f t="shared" si="3"/>
        <v>.</v>
      </c>
      <c r="N75" s="3"/>
      <c r="O75" s="3"/>
      <c r="P75" s="3"/>
      <c r="Q75" s="3"/>
      <c r="R75" s="3"/>
      <c r="S75" s="3"/>
      <c r="T75" s="3"/>
      <c r="U75" s="3"/>
      <c r="V75" s="3"/>
      <c r="W75" s="3"/>
      <c r="X75" s="3"/>
      <c r="Y75" s="3"/>
      <c r="Z75" s="3"/>
      <c r="AA75" s="3"/>
      <c r="AB75" s="3"/>
      <c r="AC75" s="3"/>
      <c r="AD75" s="3"/>
      <c r="AE75" s="3"/>
      <c r="AF75" s="3"/>
      <c r="AG75" s="3"/>
      <c r="AH75" s="3"/>
      <c r="AI75" s="3"/>
      <c r="AJ75" s="3"/>
      <c r="AK75" s="3"/>
    </row>
    <row r="76" spans="1:37" ht="12" x14ac:dyDescent="0.2">
      <c r="A76" s="841"/>
      <c r="B76" s="731" t="s">
        <v>583</v>
      </c>
      <c r="C76" s="752"/>
      <c r="D76" s="753"/>
      <c r="E76" s="754"/>
      <c r="F76" s="752"/>
      <c r="G76" s="755" t="str">
        <f t="shared" si="1"/>
        <v>.</v>
      </c>
      <c r="H76" s="752"/>
      <c r="I76" s="753"/>
      <c r="J76" s="753"/>
      <c r="K76" s="753"/>
      <c r="L76" s="747" t="str">
        <f t="shared" si="3"/>
        <v>.</v>
      </c>
      <c r="N76" s="3"/>
      <c r="O76" s="3"/>
      <c r="P76" s="3"/>
      <c r="Q76" s="3"/>
      <c r="R76" s="3"/>
      <c r="S76" s="3"/>
      <c r="T76" s="3"/>
      <c r="U76" s="3"/>
      <c r="V76" s="3"/>
      <c r="W76" s="3"/>
      <c r="X76" s="3"/>
      <c r="Y76" s="3"/>
      <c r="Z76" s="3"/>
      <c r="AA76" s="3"/>
      <c r="AB76" s="3"/>
      <c r="AC76" s="3"/>
      <c r="AD76" s="3"/>
      <c r="AE76" s="3"/>
      <c r="AF76" s="3"/>
      <c r="AG76" s="3"/>
      <c r="AH76" s="3"/>
      <c r="AI76" s="3"/>
      <c r="AJ76" s="3"/>
      <c r="AK76" s="3"/>
    </row>
    <row r="77" spans="1:37" ht="12" x14ac:dyDescent="0.2">
      <c r="A77" s="841"/>
      <c r="B77" s="731" t="s">
        <v>583</v>
      </c>
      <c r="C77" s="752"/>
      <c r="D77" s="753"/>
      <c r="E77" s="754"/>
      <c r="F77" s="752"/>
      <c r="G77" s="755" t="str">
        <f t="shared" si="1"/>
        <v>.</v>
      </c>
      <c r="H77" s="752"/>
      <c r="I77" s="753"/>
      <c r="J77" s="753"/>
      <c r="K77" s="753"/>
      <c r="L77" s="747" t="str">
        <f>IF(D77="",".",IF(F77&lt;&gt;"",F77*D77+J77*(E77/100),(J77-K77)*(E77/100)+H77*I77))</f>
        <v>.</v>
      </c>
      <c r="N77" s="3"/>
      <c r="O77" s="3"/>
      <c r="P77" s="3"/>
      <c r="Q77" s="3"/>
      <c r="R77" s="3"/>
      <c r="S77" s="3"/>
      <c r="T77" s="3"/>
      <c r="U77" s="3"/>
      <c r="V77" s="3"/>
      <c r="W77" s="3"/>
      <c r="X77" s="3"/>
      <c r="Y77" s="3"/>
      <c r="Z77" s="3"/>
      <c r="AA77" s="3"/>
      <c r="AB77" s="3"/>
      <c r="AC77" s="3"/>
      <c r="AD77" s="3"/>
      <c r="AE77" s="3"/>
      <c r="AF77" s="3"/>
      <c r="AG77" s="3"/>
      <c r="AH77" s="3"/>
      <c r="AI77" s="3"/>
      <c r="AJ77" s="3"/>
      <c r="AK77" s="3"/>
    </row>
    <row r="78" spans="1:37" s="6" customFormat="1" ht="12" x14ac:dyDescent="0.2">
      <c r="A78" s="841"/>
      <c r="B78" s="732"/>
      <c r="C78" s="757" t="s">
        <v>584</v>
      </c>
      <c r="D78" s="758">
        <f>SUM(D68:D77)</f>
        <v>0</v>
      </c>
      <c r="E78" s="759"/>
      <c r="F78" s="760"/>
      <c r="G78" s="761"/>
      <c r="H78" s="760"/>
      <c r="I78" s="758">
        <f>SUM(I68:I77)</f>
        <v>0</v>
      </c>
      <c r="J78" s="758">
        <f>SUM(J68:J77)</f>
        <v>0</v>
      </c>
      <c r="K78" s="758">
        <f>SUM(K68:K77)</f>
        <v>0</v>
      </c>
      <c r="L78" s="741">
        <f>SUM(L68:L77)</f>
        <v>0</v>
      </c>
      <c r="M78" s="3"/>
      <c r="N78" s="2"/>
      <c r="O78" s="2"/>
      <c r="P78" s="2"/>
      <c r="Q78" s="2"/>
      <c r="R78" s="2"/>
      <c r="S78" s="2"/>
      <c r="T78" s="2"/>
      <c r="U78" s="2"/>
      <c r="V78" s="2"/>
      <c r="W78" s="3"/>
      <c r="X78" s="2"/>
      <c r="Y78" s="2"/>
      <c r="Z78" s="2"/>
      <c r="AA78" s="2"/>
      <c r="AB78" s="2"/>
      <c r="AC78" s="2"/>
      <c r="AD78" s="2"/>
      <c r="AE78" s="2"/>
      <c r="AF78" s="2"/>
      <c r="AG78" s="2"/>
      <c r="AH78" s="2"/>
      <c r="AI78" s="2"/>
      <c r="AJ78" s="2"/>
      <c r="AK78" s="2"/>
    </row>
    <row r="79" spans="1:37" ht="12" x14ac:dyDescent="0.2">
      <c r="A79" s="841"/>
      <c r="B79" s="731" t="s">
        <v>585</v>
      </c>
      <c r="C79" s="752"/>
      <c r="D79" s="753"/>
      <c r="E79" s="754"/>
      <c r="F79" s="752"/>
      <c r="G79" s="755" t="str">
        <f t="shared" si="1"/>
        <v>.</v>
      </c>
      <c r="H79" s="752"/>
      <c r="I79" s="753"/>
      <c r="J79" s="753"/>
      <c r="K79" s="753"/>
      <c r="L79" s="747" t="str">
        <f t="shared" ref="L79:L87" si="4">IF(D79="",".",IF(F79&lt;&gt;"",F79*D79+J79*(E79/100),(J79-K79)*(E79/100)+H79*I79))</f>
        <v>.</v>
      </c>
      <c r="N79" s="3"/>
      <c r="O79" s="3"/>
      <c r="P79" s="3"/>
      <c r="Q79" s="3"/>
      <c r="R79" s="3"/>
      <c r="S79" s="3"/>
      <c r="T79" s="3"/>
      <c r="U79" s="3"/>
      <c r="V79" s="3"/>
      <c r="W79" s="3"/>
      <c r="X79" s="3"/>
      <c r="Y79" s="3"/>
      <c r="Z79" s="3"/>
      <c r="AA79" s="3"/>
      <c r="AB79" s="3"/>
      <c r="AC79" s="3"/>
      <c r="AD79" s="3"/>
      <c r="AE79" s="3"/>
      <c r="AF79" s="3"/>
      <c r="AG79" s="3"/>
      <c r="AH79" s="3"/>
      <c r="AI79" s="3"/>
      <c r="AJ79" s="3"/>
      <c r="AK79" s="3"/>
    </row>
    <row r="80" spans="1:37" ht="12" x14ac:dyDescent="0.2">
      <c r="A80" s="841"/>
      <c r="B80" s="731" t="s">
        <v>585</v>
      </c>
      <c r="C80" s="752"/>
      <c r="D80" s="753"/>
      <c r="E80" s="754"/>
      <c r="F80" s="752"/>
      <c r="G80" s="755" t="str">
        <f t="shared" si="1"/>
        <v>.</v>
      </c>
      <c r="H80" s="752"/>
      <c r="I80" s="753"/>
      <c r="J80" s="753"/>
      <c r="K80" s="753"/>
      <c r="L80" s="747" t="str">
        <f t="shared" si="4"/>
        <v>.</v>
      </c>
      <c r="N80" s="3"/>
      <c r="O80" s="3"/>
      <c r="P80" s="3"/>
      <c r="Q80" s="3"/>
      <c r="R80" s="3"/>
      <c r="S80" s="3"/>
      <c r="T80" s="3"/>
      <c r="U80" s="3"/>
      <c r="V80" s="3"/>
      <c r="W80" s="3"/>
      <c r="X80" s="3"/>
      <c r="Y80" s="3"/>
      <c r="Z80" s="3"/>
      <c r="AA80" s="3"/>
      <c r="AB80" s="3"/>
      <c r="AC80" s="3"/>
      <c r="AD80" s="3"/>
      <c r="AE80" s="3"/>
      <c r="AF80" s="3"/>
      <c r="AG80" s="3"/>
      <c r="AH80" s="3"/>
      <c r="AI80" s="3"/>
      <c r="AJ80" s="3"/>
      <c r="AK80" s="3"/>
    </row>
    <row r="81" spans="1:37" ht="12" x14ac:dyDescent="0.2">
      <c r="A81" s="841"/>
      <c r="B81" s="731" t="s">
        <v>585</v>
      </c>
      <c r="C81" s="752"/>
      <c r="D81" s="753"/>
      <c r="E81" s="754"/>
      <c r="F81" s="752"/>
      <c r="G81" s="755" t="str">
        <f t="shared" si="1"/>
        <v>.</v>
      </c>
      <c r="H81" s="752"/>
      <c r="I81" s="753"/>
      <c r="J81" s="753"/>
      <c r="K81" s="753"/>
      <c r="L81" s="747" t="str">
        <f t="shared" si="4"/>
        <v>.</v>
      </c>
      <c r="N81" s="3"/>
      <c r="O81" s="3"/>
      <c r="P81" s="3"/>
      <c r="Q81" s="3"/>
      <c r="R81" s="3"/>
      <c r="S81" s="3"/>
      <c r="T81" s="3"/>
      <c r="U81" s="3"/>
      <c r="V81" s="3"/>
      <c r="W81" s="3"/>
      <c r="X81" s="3"/>
      <c r="Y81" s="3"/>
      <c r="Z81" s="3"/>
      <c r="AA81" s="3"/>
      <c r="AB81" s="3"/>
      <c r="AC81" s="3"/>
      <c r="AD81" s="3"/>
      <c r="AE81" s="3"/>
      <c r="AF81" s="3"/>
      <c r="AG81" s="3"/>
      <c r="AH81" s="3"/>
      <c r="AI81" s="3"/>
      <c r="AJ81" s="3"/>
      <c r="AK81" s="3"/>
    </row>
    <row r="82" spans="1:37" ht="12" x14ac:dyDescent="0.2">
      <c r="A82" s="841"/>
      <c r="B82" s="731" t="s">
        <v>585</v>
      </c>
      <c r="C82" s="752"/>
      <c r="D82" s="753"/>
      <c r="E82" s="754"/>
      <c r="F82" s="752"/>
      <c r="G82" s="755" t="str">
        <f t="shared" si="1"/>
        <v>.</v>
      </c>
      <c r="H82" s="752"/>
      <c r="I82" s="753"/>
      <c r="J82" s="753"/>
      <c r="K82" s="753"/>
      <c r="L82" s="747" t="str">
        <f t="shared" si="4"/>
        <v>.</v>
      </c>
      <c r="N82" s="3"/>
      <c r="O82" s="3"/>
      <c r="P82" s="3"/>
      <c r="Q82" s="3"/>
      <c r="R82" s="3"/>
      <c r="S82" s="3"/>
      <c r="T82" s="3"/>
      <c r="U82" s="3"/>
      <c r="V82" s="3"/>
      <c r="W82" s="3"/>
      <c r="X82" s="3"/>
      <c r="Y82" s="3"/>
      <c r="Z82" s="3"/>
      <c r="AA82" s="3"/>
      <c r="AB82" s="3"/>
      <c r="AC82" s="3"/>
      <c r="AD82" s="3"/>
      <c r="AE82" s="3"/>
      <c r="AF82" s="3"/>
      <c r="AG82" s="3"/>
      <c r="AH82" s="3"/>
      <c r="AI82" s="3"/>
      <c r="AJ82" s="3"/>
      <c r="AK82" s="3"/>
    </row>
    <row r="83" spans="1:37" ht="12" x14ac:dyDescent="0.2">
      <c r="A83" s="841"/>
      <c r="B83" s="731" t="s">
        <v>585</v>
      </c>
      <c r="C83" s="752"/>
      <c r="D83" s="753"/>
      <c r="E83" s="754"/>
      <c r="F83" s="752"/>
      <c r="G83" s="755" t="str">
        <f t="shared" si="1"/>
        <v>.</v>
      </c>
      <c r="H83" s="752"/>
      <c r="I83" s="753"/>
      <c r="J83" s="753"/>
      <c r="K83" s="753"/>
      <c r="L83" s="747" t="str">
        <f t="shared" si="4"/>
        <v>.</v>
      </c>
      <c r="N83" s="3"/>
      <c r="O83" s="3"/>
      <c r="P83" s="3"/>
      <c r="Q83" s="3"/>
      <c r="R83" s="3"/>
      <c r="S83" s="3"/>
      <c r="T83" s="3"/>
      <c r="U83" s="3"/>
      <c r="V83" s="3"/>
      <c r="W83" s="3"/>
      <c r="X83" s="3"/>
      <c r="Y83" s="3"/>
      <c r="Z83" s="3"/>
      <c r="AA83" s="3"/>
      <c r="AB83" s="3"/>
      <c r="AC83" s="3"/>
      <c r="AD83" s="3"/>
      <c r="AE83" s="3"/>
      <c r="AF83" s="3"/>
      <c r="AG83" s="3"/>
      <c r="AH83" s="3"/>
      <c r="AI83" s="3"/>
      <c r="AJ83" s="3"/>
      <c r="AK83" s="3"/>
    </row>
    <row r="84" spans="1:37" ht="12" x14ac:dyDescent="0.2">
      <c r="A84" s="841"/>
      <c r="B84" s="731" t="s">
        <v>585</v>
      </c>
      <c r="C84" s="752"/>
      <c r="D84" s="753"/>
      <c r="E84" s="754"/>
      <c r="F84" s="752"/>
      <c r="G84" s="755" t="str">
        <f t="shared" si="1"/>
        <v>.</v>
      </c>
      <c r="H84" s="752"/>
      <c r="I84" s="753"/>
      <c r="J84" s="753"/>
      <c r="K84" s="753"/>
      <c r="L84" s="747" t="str">
        <f t="shared" si="4"/>
        <v>.</v>
      </c>
      <c r="N84" s="3"/>
      <c r="O84" s="3"/>
      <c r="P84" s="3"/>
      <c r="Q84" s="3"/>
      <c r="R84" s="3"/>
      <c r="S84" s="3"/>
      <c r="T84" s="3"/>
      <c r="U84" s="3"/>
      <c r="V84" s="3"/>
      <c r="W84" s="3"/>
      <c r="X84" s="3"/>
      <c r="Y84" s="3"/>
      <c r="Z84" s="3"/>
      <c r="AA84" s="3"/>
      <c r="AB84" s="3"/>
      <c r="AC84" s="3"/>
      <c r="AD84" s="3"/>
      <c r="AE84" s="3"/>
      <c r="AF84" s="3"/>
      <c r="AG84" s="3"/>
      <c r="AH84" s="3"/>
      <c r="AI84" s="3"/>
      <c r="AJ84" s="3"/>
      <c r="AK84" s="3"/>
    </row>
    <row r="85" spans="1:37" ht="12" x14ac:dyDescent="0.2">
      <c r="A85" s="841"/>
      <c r="B85" s="731" t="s">
        <v>585</v>
      </c>
      <c r="C85" s="752"/>
      <c r="D85" s="753"/>
      <c r="E85" s="754"/>
      <c r="F85" s="752"/>
      <c r="G85" s="755" t="str">
        <f t="shared" si="1"/>
        <v>.</v>
      </c>
      <c r="H85" s="752"/>
      <c r="I85" s="753"/>
      <c r="J85" s="753"/>
      <c r="K85" s="753"/>
      <c r="L85" s="747" t="str">
        <f t="shared" si="4"/>
        <v>.</v>
      </c>
      <c r="N85" s="3"/>
      <c r="O85" s="3"/>
      <c r="P85" s="3"/>
      <c r="Q85" s="3"/>
      <c r="R85" s="3"/>
      <c r="S85" s="3"/>
      <c r="T85" s="3"/>
      <c r="U85" s="3"/>
      <c r="V85" s="3"/>
      <c r="W85" s="3"/>
      <c r="X85" s="3"/>
      <c r="Y85" s="3"/>
      <c r="Z85" s="3"/>
      <c r="AA85" s="3"/>
      <c r="AB85" s="3"/>
      <c r="AC85" s="3"/>
      <c r="AD85" s="3"/>
      <c r="AE85" s="3"/>
      <c r="AF85" s="3"/>
      <c r="AG85" s="3"/>
      <c r="AH85" s="3"/>
      <c r="AI85" s="3"/>
      <c r="AJ85" s="3"/>
      <c r="AK85" s="3"/>
    </row>
    <row r="86" spans="1:37" ht="12" x14ac:dyDescent="0.2">
      <c r="A86" s="841"/>
      <c r="B86" s="731" t="s">
        <v>585</v>
      </c>
      <c r="C86" s="752"/>
      <c r="D86" s="753"/>
      <c r="E86" s="754"/>
      <c r="F86" s="752"/>
      <c r="G86" s="755" t="str">
        <f t="shared" ref="G86:G88" si="5">IF(F86="",".",D86*F86/L86)</f>
        <v>.</v>
      </c>
      <c r="H86" s="752"/>
      <c r="I86" s="753"/>
      <c r="J86" s="753"/>
      <c r="K86" s="753"/>
      <c r="L86" s="747" t="str">
        <f t="shared" si="4"/>
        <v>.</v>
      </c>
      <c r="N86" s="3"/>
      <c r="O86" s="3"/>
      <c r="P86" s="3"/>
      <c r="Q86" s="3"/>
      <c r="R86" s="3"/>
      <c r="S86" s="3"/>
      <c r="T86" s="3"/>
      <c r="U86" s="3"/>
      <c r="V86" s="3"/>
      <c r="W86" s="3"/>
      <c r="X86" s="3"/>
      <c r="Y86" s="3"/>
      <c r="Z86" s="3"/>
      <c r="AA86" s="3"/>
      <c r="AB86" s="3"/>
      <c r="AC86" s="3"/>
      <c r="AD86" s="3"/>
      <c r="AE86" s="3"/>
      <c r="AF86" s="3"/>
      <c r="AG86" s="3"/>
      <c r="AH86" s="3"/>
      <c r="AI86" s="3"/>
      <c r="AJ86" s="3"/>
      <c r="AK86" s="3"/>
    </row>
    <row r="87" spans="1:37" ht="12" x14ac:dyDescent="0.2">
      <c r="A87" s="841"/>
      <c r="B87" s="731" t="s">
        <v>585</v>
      </c>
      <c r="C87" s="752"/>
      <c r="D87" s="753"/>
      <c r="E87" s="754"/>
      <c r="F87" s="752"/>
      <c r="G87" s="755" t="str">
        <f t="shared" si="5"/>
        <v>.</v>
      </c>
      <c r="H87" s="752"/>
      <c r="I87" s="753"/>
      <c r="J87" s="753"/>
      <c r="K87" s="753"/>
      <c r="L87" s="747" t="str">
        <f t="shared" si="4"/>
        <v>.</v>
      </c>
      <c r="N87" s="3"/>
      <c r="O87" s="3"/>
      <c r="P87" s="3"/>
      <c r="Q87" s="3"/>
      <c r="R87" s="3"/>
      <c r="S87" s="3"/>
      <c r="T87" s="3"/>
      <c r="U87" s="3"/>
      <c r="V87" s="3"/>
      <c r="W87" s="3"/>
      <c r="X87" s="3"/>
      <c r="Y87" s="3"/>
      <c r="Z87" s="3"/>
      <c r="AA87" s="3"/>
      <c r="AB87" s="3"/>
      <c r="AC87" s="3"/>
      <c r="AD87" s="3"/>
      <c r="AE87" s="3"/>
      <c r="AF87" s="3"/>
      <c r="AG87" s="3"/>
      <c r="AH87" s="3"/>
      <c r="AI87" s="3"/>
      <c r="AJ87" s="3"/>
      <c r="AK87" s="3"/>
    </row>
    <row r="88" spans="1:37" ht="12" x14ac:dyDescent="0.2">
      <c r="A88" s="841"/>
      <c r="B88" s="731" t="s">
        <v>585</v>
      </c>
      <c r="C88" s="752"/>
      <c r="D88" s="753"/>
      <c r="E88" s="754"/>
      <c r="F88" s="752"/>
      <c r="G88" s="755" t="str">
        <f t="shared" si="5"/>
        <v>.</v>
      </c>
      <c r="H88" s="752"/>
      <c r="I88" s="753"/>
      <c r="J88" s="753"/>
      <c r="K88" s="753"/>
      <c r="L88" s="747" t="str">
        <f>IF(D88="",".",IF(F88&lt;&gt;"",F88*D88+J88*(E88/100),(J88-K88)*(E88/100)+H88*I88))</f>
        <v>.</v>
      </c>
      <c r="N88" s="3"/>
      <c r="O88" s="3"/>
      <c r="P88" s="3"/>
      <c r="Q88" s="3"/>
      <c r="R88" s="3"/>
      <c r="S88" s="3"/>
      <c r="T88" s="3"/>
      <c r="U88" s="3"/>
      <c r="V88" s="3"/>
      <c r="W88" s="3"/>
      <c r="X88" s="3"/>
      <c r="Y88" s="3"/>
      <c r="Z88" s="3"/>
      <c r="AA88" s="3"/>
      <c r="AB88" s="3"/>
      <c r="AC88" s="3"/>
      <c r="AD88" s="3"/>
      <c r="AE88" s="3"/>
      <c r="AF88" s="3"/>
      <c r="AG88" s="3"/>
      <c r="AH88" s="3"/>
      <c r="AI88" s="3"/>
      <c r="AJ88" s="3"/>
      <c r="AK88" s="3"/>
    </row>
    <row r="89" spans="1:37" s="6" customFormat="1" ht="12" x14ac:dyDescent="0.2">
      <c r="A89" s="841"/>
      <c r="B89" s="736"/>
      <c r="C89" s="762" t="s">
        <v>586</v>
      </c>
      <c r="D89" s="763">
        <f>SUM(D79:D88)</f>
        <v>0</v>
      </c>
      <c r="E89" s="764"/>
      <c r="F89" s="765"/>
      <c r="G89" s="766"/>
      <c r="H89" s="765"/>
      <c r="I89" s="763">
        <f>SUM(I79:I88)</f>
        <v>0</v>
      </c>
      <c r="J89" s="763">
        <f>SUM(J79:J88)</f>
        <v>0</v>
      </c>
      <c r="K89" s="763">
        <f>SUM(K79:K88)</f>
        <v>0</v>
      </c>
      <c r="L89" s="741">
        <f>SUM(L79:L88)</f>
        <v>0</v>
      </c>
      <c r="M89" s="3"/>
      <c r="N89" s="3"/>
      <c r="O89" s="2"/>
      <c r="P89" s="2"/>
      <c r="Q89" s="2"/>
      <c r="R89" s="2"/>
      <c r="S89" s="2"/>
      <c r="T89" s="2"/>
      <c r="U89" s="2"/>
      <c r="V89" s="2"/>
      <c r="W89" s="3"/>
      <c r="X89" s="2"/>
      <c r="Y89" s="2"/>
      <c r="Z89" s="2"/>
      <c r="AA89" s="2"/>
      <c r="AB89" s="2"/>
      <c r="AC89" s="2"/>
      <c r="AD89" s="2"/>
      <c r="AE89" s="2"/>
      <c r="AF89" s="2"/>
      <c r="AG89" s="2"/>
      <c r="AH89" s="2"/>
      <c r="AI89" s="2"/>
      <c r="AJ89" s="2"/>
      <c r="AK89" s="2"/>
    </row>
    <row r="90" spans="1:37" ht="12" x14ac:dyDescent="0.2">
      <c r="A90" s="841"/>
      <c r="B90" s="668" t="s">
        <v>587</v>
      </c>
      <c r="C90" s="39"/>
      <c r="D90" s="743">
        <f>D41+D67+D78+D89</f>
        <v>32457</v>
      </c>
      <c r="E90" s="3"/>
      <c r="F90" s="2"/>
      <c r="G90" s="2" t="s">
        <v>588</v>
      </c>
      <c r="H90" s="3"/>
      <c r="I90" s="3"/>
      <c r="J90" s="745">
        <f>J41+J67+J78+J89</f>
        <v>46670593811</v>
      </c>
      <c r="K90" s="746" t="s">
        <v>589</v>
      </c>
      <c r="L90" s="745">
        <f>L41+L67+L78+L89</f>
        <v>54352003.65630883</v>
      </c>
      <c r="N90" s="3"/>
      <c r="O90" s="3"/>
      <c r="P90" s="3"/>
      <c r="Q90" s="3"/>
      <c r="R90" s="3"/>
      <c r="S90" s="3"/>
      <c r="T90" s="3"/>
      <c r="U90" s="3"/>
      <c r="V90" s="3"/>
      <c r="W90" s="3"/>
      <c r="X90" s="3"/>
      <c r="Y90" s="3"/>
      <c r="Z90" s="3"/>
      <c r="AA90" s="3"/>
      <c r="AB90" s="3"/>
      <c r="AC90" s="3"/>
      <c r="AD90" s="3"/>
      <c r="AE90" s="3"/>
      <c r="AF90" s="3"/>
      <c r="AG90" s="3"/>
      <c r="AH90" s="3"/>
      <c r="AI90" s="3"/>
      <c r="AJ90" s="3"/>
      <c r="AK90" s="3"/>
    </row>
    <row r="91" spans="1:37" x14ac:dyDescent="0.2">
      <c r="A91" s="841"/>
      <c r="B91" s="728"/>
      <c r="C91" s="295"/>
      <c r="D91" s="140"/>
      <c r="E91" s="140"/>
      <c r="F91" s="584"/>
      <c r="G91" s="140"/>
      <c r="H91" s="140"/>
      <c r="I91" s="140"/>
      <c r="J91" s="140"/>
      <c r="K91" s="729"/>
      <c r="L91" s="730"/>
      <c r="M91" s="451"/>
      <c r="N91" s="3"/>
      <c r="O91" s="3"/>
      <c r="P91" s="3"/>
      <c r="Q91" s="3"/>
      <c r="R91" s="3"/>
      <c r="S91" s="3"/>
      <c r="T91" s="3"/>
      <c r="U91" s="3"/>
      <c r="V91" s="3"/>
      <c r="W91" s="3"/>
      <c r="X91" s="3"/>
      <c r="Y91" s="3"/>
      <c r="Z91" s="3"/>
      <c r="AA91" s="3"/>
      <c r="AB91" s="3"/>
      <c r="AC91" s="3"/>
      <c r="AD91" s="3"/>
      <c r="AE91" s="3"/>
      <c r="AF91" s="3"/>
      <c r="AG91" s="3"/>
      <c r="AH91" s="3"/>
      <c r="AI91" s="3"/>
      <c r="AJ91" s="3"/>
      <c r="AK91" s="3"/>
    </row>
    <row r="92" spans="1:37" x14ac:dyDescent="0.2">
      <c r="A92" s="841"/>
      <c r="B92" s="39"/>
      <c r="C92" s="39"/>
      <c r="D92" s="3"/>
      <c r="E92" s="3"/>
      <c r="F92" s="2"/>
      <c r="G92" s="3"/>
      <c r="H92" s="3"/>
      <c r="I92" s="3"/>
      <c r="J92" s="3"/>
      <c r="K92" s="46"/>
      <c r="L92" s="47"/>
      <c r="M92" s="451"/>
      <c r="N92" s="3"/>
      <c r="O92" s="3"/>
      <c r="P92" s="3"/>
      <c r="Q92" s="3"/>
      <c r="R92" s="3"/>
      <c r="S92" s="3"/>
      <c r="T92" s="3"/>
      <c r="U92" s="3"/>
      <c r="V92" s="3"/>
      <c r="W92" s="3"/>
      <c r="X92" s="3"/>
      <c r="Y92" s="3"/>
      <c r="Z92" s="3"/>
      <c r="AA92" s="3"/>
      <c r="AB92" s="3"/>
      <c r="AC92" s="3"/>
      <c r="AD92" s="3"/>
      <c r="AE92" s="3"/>
      <c r="AF92" s="3"/>
      <c r="AG92" s="3"/>
      <c r="AH92" s="3"/>
      <c r="AI92" s="3"/>
      <c r="AJ92" s="3"/>
      <c r="AK92" s="3"/>
    </row>
    <row r="93" spans="1:37" ht="12" x14ac:dyDescent="0.2">
      <c r="A93" s="841"/>
      <c r="B93" s="38"/>
      <c r="C93" s="38"/>
      <c r="D93" s="1"/>
      <c r="E93" s="1"/>
      <c r="F93" s="1"/>
      <c r="G93" s="3"/>
      <c r="H93" s="3"/>
      <c r="I93" s="3"/>
      <c r="J93" s="3"/>
      <c r="K93" s="41"/>
      <c r="L93" s="41"/>
      <c r="N93" s="3"/>
      <c r="O93" s="3"/>
      <c r="P93" s="3"/>
      <c r="Q93" s="3"/>
      <c r="R93" s="3"/>
      <c r="S93" s="3"/>
      <c r="T93" s="3"/>
      <c r="U93" s="3"/>
      <c r="V93" s="3"/>
      <c r="W93" s="3"/>
      <c r="X93" s="3"/>
      <c r="Y93" s="3"/>
      <c r="Z93" s="3"/>
      <c r="AA93" s="3"/>
      <c r="AB93" s="3"/>
      <c r="AC93" s="3"/>
      <c r="AD93" s="3"/>
      <c r="AE93" s="3"/>
      <c r="AF93" s="3"/>
      <c r="AG93" s="3"/>
      <c r="AH93" s="3"/>
      <c r="AI93" s="3"/>
      <c r="AJ93" s="3"/>
      <c r="AK93" s="3"/>
    </row>
    <row r="94" spans="1:37" x14ac:dyDescent="0.2">
      <c r="A94" s="841">
        <f>A19+1</f>
        <v>2</v>
      </c>
      <c r="B94" s="461" t="str">
        <f>"Table "&amp;A1&amp;"."&amp;A94&amp;": Calculation of Notional General Income - Special Rates ($nominal)"</f>
        <v>Table 3.2: Calculation of Notional General Income - Special Rates ($nominal)</v>
      </c>
      <c r="C94" s="42"/>
      <c r="D94" s="1"/>
      <c r="E94" s="1"/>
      <c r="F94" s="1"/>
      <c r="H94" s="19"/>
      <c r="I94" s="19"/>
      <c r="J94" s="19"/>
      <c r="K94" s="44"/>
      <c r="L94" s="44"/>
      <c r="M94" s="460"/>
      <c r="N94" s="3"/>
      <c r="O94" s="3"/>
      <c r="P94" s="3"/>
      <c r="Q94" s="3"/>
      <c r="R94" s="3"/>
      <c r="S94" s="3"/>
      <c r="T94" s="3"/>
      <c r="U94" s="3"/>
      <c r="V94" s="3"/>
      <c r="W94" s="3"/>
      <c r="X94" s="3"/>
      <c r="Y94" s="3"/>
      <c r="Z94" s="3"/>
      <c r="AA94" s="3"/>
      <c r="AB94" s="3"/>
      <c r="AC94" s="3"/>
      <c r="AD94" s="3"/>
      <c r="AE94" s="3"/>
      <c r="AF94" s="3"/>
      <c r="AG94" s="3"/>
      <c r="AH94" s="3"/>
      <c r="AI94" s="3"/>
      <c r="AJ94" s="3"/>
      <c r="AK94" s="3"/>
    </row>
    <row r="95" spans="1:37" ht="36" x14ac:dyDescent="0.2">
      <c r="A95" s="841"/>
      <c r="B95" s="734" t="s">
        <v>568</v>
      </c>
      <c r="C95" s="734" t="s">
        <v>590</v>
      </c>
      <c r="D95" s="734" t="s">
        <v>570</v>
      </c>
      <c r="E95" s="734" t="s">
        <v>591</v>
      </c>
      <c r="F95" s="734" t="s">
        <v>572</v>
      </c>
      <c r="G95" s="734" t="s">
        <v>573</v>
      </c>
      <c r="H95" s="734" t="s">
        <v>574</v>
      </c>
      <c r="I95" s="734" t="s">
        <v>575</v>
      </c>
      <c r="J95" s="734" t="s">
        <v>592</v>
      </c>
      <c r="K95" s="735" t="s">
        <v>577</v>
      </c>
      <c r="L95" s="734" t="s">
        <v>593</v>
      </c>
      <c r="M95" s="27"/>
      <c r="N95" s="3"/>
      <c r="O95" s="3"/>
      <c r="P95" s="3"/>
      <c r="Q95" s="3"/>
      <c r="R95" s="3"/>
      <c r="S95" s="3"/>
      <c r="T95" s="3"/>
      <c r="U95" s="3"/>
      <c r="V95" s="3"/>
      <c r="W95" s="3"/>
      <c r="X95" s="3"/>
      <c r="Y95" s="3"/>
      <c r="Z95" s="3"/>
      <c r="AA95" s="3"/>
      <c r="AB95" s="3"/>
      <c r="AC95" s="3"/>
      <c r="AD95" s="3"/>
      <c r="AE95" s="3"/>
      <c r="AF95" s="3"/>
      <c r="AG95" s="3"/>
      <c r="AH95" s="3"/>
      <c r="AI95" s="3"/>
      <c r="AJ95" s="3"/>
      <c r="AK95" s="3"/>
    </row>
    <row r="96" spans="1:37" ht="12" x14ac:dyDescent="0.2">
      <c r="A96" s="841"/>
      <c r="B96" s="767" t="s">
        <v>579</v>
      </c>
      <c r="C96" s="748"/>
      <c r="D96" s="748"/>
      <c r="E96" s="750"/>
      <c r="F96" s="748"/>
      <c r="G96" s="751" t="str">
        <f t="shared" ref="G96:G127" si="6">IF(F96="",".",D96*F96/L96)</f>
        <v>.</v>
      </c>
      <c r="H96" s="748"/>
      <c r="I96" s="748"/>
      <c r="J96" s="749"/>
      <c r="K96" s="749"/>
      <c r="L96" s="768" t="str">
        <f t="shared" ref="L96:L144" si="7">IF(D96="",".",IF(F96&lt;&gt;"",F96*D96+J96*(E96/100),(J96-K96)*(E96/100)+H96*I96))</f>
        <v>.</v>
      </c>
      <c r="N96" s="3"/>
      <c r="O96" s="3"/>
      <c r="P96" s="3"/>
      <c r="Q96" s="3"/>
      <c r="R96" s="3"/>
      <c r="S96" s="3"/>
      <c r="T96" s="3"/>
      <c r="U96" s="3"/>
      <c r="V96" s="3"/>
      <c r="W96" s="3"/>
      <c r="X96" s="3"/>
      <c r="Y96" s="3"/>
      <c r="Z96" s="3"/>
      <c r="AA96" s="3"/>
      <c r="AB96" s="3"/>
      <c r="AC96" s="3"/>
      <c r="AD96" s="3"/>
      <c r="AE96" s="3"/>
      <c r="AF96" s="3"/>
      <c r="AG96" s="3"/>
      <c r="AH96" s="3"/>
      <c r="AI96" s="3"/>
      <c r="AJ96" s="3"/>
      <c r="AK96" s="3"/>
    </row>
    <row r="97" spans="1:37" ht="12" x14ac:dyDescent="0.2">
      <c r="A97" s="841"/>
      <c r="B97" s="769" t="s">
        <v>579</v>
      </c>
      <c r="C97" s="752"/>
      <c r="D97" s="752"/>
      <c r="E97" s="754"/>
      <c r="F97" s="752"/>
      <c r="G97" s="755" t="str">
        <f t="shared" si="6"/>
        <v>.</v>
      </c>
      <c r="H97" s="752"/>
      <c r="I97" s="752"/>
      <c r="J97" s="753"/>
      <c r="K97" s="753"/>
      <c r="L97" s="770" t="str">
        <f t="shared" si="7"/>
        <v>.</v>
      </c>
      <c r="N97" s="3"/>
      <c r="O97" s="3"/>
      <c r="P97" s="3"/>
      <c r="Q97" s="3"/>
      <c r="R97" s="3"/>
      <c r="S97" s="3"/>
      <c r="T97" s="3"/>
      <c r="U97" s="3"/>
      <c r="V97" s="3"/>
      <c r="W97" s="3"/>
      <c r="X97" s="3"/>
      <c r="Y97" s="3"/>
      <c r="Z97" s="3"/>
      <c r="AA97" s="3"/>
      <c r="AB97" s="3"/>
      <c r="AC97" s="3"/>
      <c r="AD97" s="3"/>
      <c r="AE97" s="3"/>
      <c r="AF97" s="3"/>
      <c r="AG97" s="3"/>
      <c r="AH97" s="3"/>
      <c r="AI97" s="3"/>
      <c r="AJ97" s="3"/>
      <c r="AK97" s="3"/>
    </row>
    <row r="98" spans="1:37" ht="12" x14ac:dyDescent="0.2">
      <c r="A98" s="841"/>
      <c r="B98" s="769" t="s">
        <v>579</v>
      </c>
      <c r="C98" s="752"/>
      <c r="D98" s="752"/>
      <c r="E98" s="754"/>
      <c r="F98" s="752"/>
      <c r="G98" s="755" t="str">
        <f t="shared" si="6"/>
        <v>.</v>
      </c>
      <c r="H98" s="752"/>
      <c r="I98" s="752"/>
      <c r="J98" s="753"/>
      <c r="K98" s="753"/>
      <c r="L98" s="770" t="str">
        <f t="shared" si="7"/>
        <v>.</v>
      </c>
      <c r="N98" s="3"/>
      <c r="O98" s="3"/>
      <c r="P98" s="3"/>
      <c r="Q98" s="3"/>
      <c r="R98" s="3"/>
      <c r="S98" s="3"/>
      <c r="T98" s="3"/>
      <c r="U98" s="3"/>
      <c r="V98" s="3"/>
      <c r="W98" s="3"/>
      <c r="X98" s="3"/>
      <c r="Y98" s="3"/>
      <c r="Z98" s="3"/>
      <c r="AA98" s="3"/>
      <c r="AB98" s="3"/>
      <c r="AC98" s="3"/>
      <c r="AD98" s="3"/>
      <c r="AE98" s="3"/>
      <c r="AF98" s="3"/>
      <c r="AG98" s="3"/>
      <c r="AH98" s="3"/>
      <c r="AI98" s="3"/>
      <c r="AJ98" s="3"/>
      <c r="AK98" s="3"/>
    </row>
    <row r="99" spans="1:37" ht="12" x14ac:dyDescent="0.2">
      <c r="A99" s="841"/>
      <c r="B99" s="769" t="s">
        <v>579</v>
      </c>
      <c r="C99" s="752"/>
      <c r="D99" s="752"/>
      <c r="E99" s="754"/>
      <c r="F99" s="752"/>
      <c r="G99" s="755" t="str">
        <f t="shared" si="6"/>
        <v>.</v>
      </c>
      <c r="H99" s="752"/>
      <c r="I99" s="752"/>
      <c r="J99" s="753"/>
      <c r="K99" s="753"/>
      <c r="L99" s="770" t="str">
        <f t="shared" si="7"/>
        <v>.</v>
      </c>
      <c r="N99" s="3"/>
      <c r="O99" s="3"/>
      <c r="Q99" s="3"/>
      <c r="R99" s="3"/>
      <c r="S99" s="3"/>
      <c r="T99" s="3"/>
      <c r="U99" s="3"/>
      <c r="V99" s="3"/>
      <c r="W99" s="3"/>
      <c r="X99" s="3"/>
      <c r="Y99" s="3"/>
      <c r="Z99" s="3"/>
      <c r="AA99" s="3"/>
      <c r="AB99" s="3"/>
      <c r="AC99" s="3"/>
      <c r="AD99" s="3"/>
      <c r="AE99" s="3"/>
      <c r="AF99" s="3"/>
      <c r="AG99" s="3"/>
      <c r="AH99" s="3"/>
      <c r="AI99" s="3"/>
      <c r="AJ99" s="3"/>
      <c r="AK99" s="3"/>
    </row>
    <row r="100" spans="1:37" ht="12" x14ac:dyDescent="0.2">
      <c r="A100" s="841"/>
      <c r="B100" s="769" t="s">
        <v>579</v>
      </c>
      <c r="C100" s="752"/>
      <c r="D100" s="752"/>
      <c r="E100" s="754"/>
      <c r="F100" s="752"/>
      <c r="G100" s="755" t="str">
        <f t="shared" si="6"/>
        <v>.</v>
      </c>
      <c r="H100" s="752"/>
      <c r="I100" s="752"/>
      <c r="J100" s="753"/>
      <c r="K100" s="753"/>
      <c r="L100" s="770" t="str">
        <f t="shared" si="7"/>
        <v>.</v>
      </c>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2" x14ac:dyDescent="0.2">
      <c r="A101" s="841"/>
      <c r="B101" s="769" t="s">
        <v>579</v>
      </c>
      <c r="C101" s="752"/>
      <c r="D101" s="752"/>
      <c r="E101" s="754"/>
      <c r="F101" s="752"/>
      <c r="G101" s="755" t="str">
        <f t="shared" si="6"/>
        <v>.</v>
      </c>
      <c r="H101" s="752"/>
      <c r="I101" s="752"/>
      <c r="J101" s="753"/>
      <c r="K101" s="753"/>
      <c r="L101" s="770" t="str">
        <f t="shared" si="7"/>
        <v>.</v>
      </c>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2" x14ac:dyDescent="0.2">
      <c r="A102" s="841"/>
      <c r="B102" s="769" t="s">
        <v>579</v>
      </c>
      <c r="C102" s="752"/>
      <c r="D102" s="752"/>
      <c r="E102" s="754"/>
      <c r="F102" s="752"/>
      <c r="G102" s="755" t="str">
        <f t="shared" si="6"/>
        <v>.</v>
      </c>
      <c r="H102" s="752"/>
      <c r="I102" s="752"/>
      <c r="J102" s="753"/>
      <c r="K102" s="753"/>
      <c r="L102" s="770" t="str">
        <f t="shared" si="7"/>
        <v>.</v>
      </c>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2" x14ac:dyDescent="0.2">
      <c r="A103" s="841"/>
      <c r="B103" s="769" t="s">
        <v>579</v>
      </c>
      <c r="C103" s="752"/>
      <c r="D103" s="752"/>
      <c r="E103" s="754"/>
      <c r="F103" s="752"/>
      <c r="G103" s="755" t="str">
        <f t="shared" si="6"/>
        <v>.</v>
      </c>
      <c r="H103" s="752"/>
      <c r="I103" s="752"/>
      <c r="J103" s="753"/>
      <c r="K103" s="753"/>
      <c r="L103" s="770" t="str">
        <f t="shared" si="7"/>
        <v>.</v>
      </c>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2" x14ac:dyDescent="0.2">
      <c r="A104" s="841"/>
      <c r="B104" s="769" t="s">
        <v>579</v>
      </c>
      <c r="C104" s="752"/>
      <c r="D104" s="752"/>
      <c r="E104" s="754"/>
      <c r="F104" s="752"/>
      <c r="G104" s="755" t="str">
        <f t="shared" si="6"/>
        <v>.</v>
      </c>
      <c r="H104" s="752"/>
      <c r="I104" s="752"/>
      <c r="J104" s="753"/>
      <c r="K104" s="753"/>
      <c r="L104" s="770" t="str">
        <f t="shared" si="7"/>
        <v>.</v>
      </c>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2" x14ac:dyDescent="0.2">
      <c r="A105" s="841"/>
      <c r="B105" s="769" t="s">
        <v>579</v>
      </c>
      <c r="C105" s="752"/>
      <c r="D105" s="752"/>
      <c r="E105" s="754"/>
      <c r="F105" s="752"/>
      <c r="G105" s="755" t="str">
        <f t="shared" si="6"/>
        <v>.</v>
      </c>
      <c r="H105" s="752"/>
      <c r="I105" s="752"/>
      <c r="J105" s="753"/>
      <c r="K105" s="753"/>
      <c r="L105" s="770" t="str">
        <f t="shared" si="7"/>
        <v>.</v>
      </c>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2" x14ac:dyDescent="0.2">
      <c r="A106" s="841"/>
      <c r="B106" s="769" t="s">
        <v>581</v>
      </c>
      <c r="C106" s="752"/>
      <c r="D106" s="752"/>
      <c r="E106" s="754"/>
      <c r="F106" s="752"/>
      <c r="G106" s="755" t="str">
        <f t="shared" si="6"/>
        <v>.</v>
      </c>
      <c r="H106" s="752"/>
      <c r="I106" s="752"/>
      <c r="J106" s="753"/>
      <c r="K106" s="753"/>
      <c r="L106" s="770" t="str">
        <f t="shared" si="7"/>
        <v>.</v>
      </c>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2" x14ac:dyDescent="0.2">
      <c r="A107" s="841"/>
      <c r="B107" s="769" t="s">
        <v>581</v>
      </c>
      <c r="C107" s="752"/>
      <c r="D107" s="752"/>
      <c r="E107" s="754"/>
      <c r="F107" s="752"/>
      <c r="G107" s="755" t="str">
        <f t="shared" si="6"/>
        <v>.</v>
      </c>
      <c r="H107" s="752"/>
      <c r="I107" s="752"/>
      <c r="J107" s="753"/>
      <c r="K107" s="753"/>
      <c r="L107" s="770" t="str">
        <f t="shared" si="7"/>
        <v>.</v>
      </c>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2" x14ac:dyDescent="0.2">
      <c r="A108" s="841"/>
      <c r="B108" s="769" t="s">
        <v>581</v>
      </c>
      <c r="C108" s="752"/>
      <c r="D108" s="752"/>
      <c r="E108" s="754"/>
      <c r="F108" s="752"/>
      <c r="G108" s="755" t="str">
        <f t="shared" si="6"/>
        <v>.</v>
      </c>
      <c r="H108" s="752"/>
      <c r="I108" s="752"/>
      <c r="J108" s="753"/>
      <c r="K108" s="753"/>
      <c r="L108" s="770" t="str">
        <f t="shared" si="7"/>
        <v>.</v>
      </c>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2" x14ac:dyDescent="0.2">
      <c r="A109" s="841"/>
      <c r="B109" s="769" t="s">
        <v>581</v>
      </c>
      <c r="C109" s="752"/>
      <c r="D109" s="752"/>
      <c r="E109" s="754"/>
      <c r="F109" s="752"/>
      <c r="G109" s="755" t="str">
        <f t="shared" si="6"/>
        <v>.</v>
      </c>
      <c r="H109" s="752"/>
      <c r="I109" s="752"/>
      <c r="J109" s="753"/>
      <c r="K109" s="753"/>
      <c r="L109" s="770" t="str">
        <f t="shared" si="7"/>
        <v>.</v>
      </c>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2" x14ac:dyDescent="0.2">
      <c r="A110" s="841"/>
      <c r="B110" s="769" t="s">
        <v>581</v>
      </c>
      <c r="C110" s="752"/>
      <c r="D110" s="752"/>
      <c r="E110" s="754"/>
      <c r="F110" s="752"/>
      <c r="G110" s="755" t="str">
        <f t="shared" si="6"/>
        <v>.</v>
      </c>
      <c r="H110" s="752"/>
      <c r="I110" s="752"/>
      <c r="J110" s="753"/>
      <c r="K110" s="753"/>
      <c r="L110" s="770" t="str">
        <f t="shared" si="7"/>
        <v>.</v>
      </c>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2" x14ac:dyDescent="0.2">
      <c r="A111" s="841"/>
      <c r="B111" s="769" t="s">
        <v>581</v>
      </c>
      <c r="C111" s="752"/>
      <c r="D111" s="752"/>
      <c r="E111" s="754"/>
      <c r="F111" s="752"/>
      <c r="G111" s="755" t="str">
        <f t="shared" si="6"/>
        <v>.</v>
      </c>
      <c r="H111" s="752"/>
      <c r="I111" s="752"/>
      <c r="J111" s="753"/>
      <c r="K111" s="753"/>
      <c r="L111" s="770" t="str">
        <f t="shared" si="7"/>
        <v>.</v>
      </c>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2" x14ac:dyDescent="0.2">
      <c r="A112" s="841"/>
      <c r="B112" s="769" t="s">
        <v>581</v>
      </c>
      <c r="C112" s="752"/>
      <c r="D112" s="752"/>
      <c r="E112" s="754"/>
      <c r="F112" s="752"/>
      <c r="G112" s="755" t="str">
        <f t="shared" si="6"/>
        <v>.</v>
      </c>
      <c r="H112" s="752"/>
      <c r="I112" s="752"/>
      <c r="J112" s="753"/>
      <c r="K112" s="753"/>
      <c r="L112" s="770" t="str">
        <f t="shared" si="7"/>
        <v>.</v>
      </c>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2" x14ac:dyDescent="0.2">
      <c r="A113" s="841"/>
      <c r="B113" s="769" t="s">
        <v>581</v>
      </c>
      <c r="C113" s="752"/>
      <c r="D113" s="752"/>
      <c r="E113" s="754"/>
      <c r="F113" s="752"/>
      <c r="G113" s="755" t="str">
        <f t="shared" si="6"/>
        <v>.</v>
      </c>
      <c r="H113" s="752"/>
      <c r="I113" s="752"/>
      <c r="J113" s="753"/>
      <c r="K113" s="753"/>
      <c r="L113" s="770" t="str">
        <f t="shared" si="7"/>
        <v>.</v>
      </c>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2" x14ac:dyDescent="0.2">
      <c r="A114" s="841"/>
      <c r="B114" s="769" t="s">
        <v>581</v>
      </c>
      <c r="C114" s="752"/>
      <c r="D114" s="752"/>
      <c r="E114" s="754"/>
      <c r="F114" s="752"/>
      <c r="G114" s="755" t="str">
        <f t="shared" si="6"/>
        <v>.</v>
      </c>
      <c r="H114" s="752"/>
      <c r="I114" s="752"/>
      <c r="J114" s="753"/>
      <c r="K114" s="753"/>
      <c r="L114" s="770" t="str">
        <f t="shared" si="7"/>
        <v>.</v>
      </c>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2" x14ac:dyDescent="0.2">
      <c r="A115" s="841"/>
      <c r="B115" s="769" t="s">
        <v>581</v>
      </c>
      <c r="C115" s="752"/>
      <c r="D115" s="752"/>
      <c r="E115" s="754"/>
      <c r="F115" s="752"/>
      <c r="G115" s="755" t="str">
        <f t="shared" si="6"/>
        <v>.</v>
      </c>
      <c r="H115" s="752"/>
      <c r="I115" s="752"/>
      <c r="J115" s="753"/>
      <c r="K115" s="753"/>
      <c r="L115" s="770" t="str">
        <f t="shared" si="7"/>
        <v>.</v>
      </c>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2" x14ac:dyDescent="0.2">
      <c r="A116" s="841"/>
      <c r="B116" s="769" t="s">
        <v>581</v>
      </c>
      <c r="C116" s="752"/>
      <c r="D116" s="752"/>
      <c r="E116" s="754"/>
      <c r="F116" s="752"/>
      <c r="G116" s="755" t="str">
        <f t="shared" si="6"/>
        <v>.</v>
      </c>
      <c r="H116" s="752"/>
      <c r="I116" s="752"/>
      <c r="J116" s="753"/>
      <c r="K116" s="753"/>
      <c r="L116" s="770" t="str">
        <f t="shared" si="7"/>
        <v>.</v>
      </c>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2" x14ac:dyDescent="0.2">
      <c r="A117" s="841"/>
      <c r="B117" s="769" t="s">
        <v>581</v>
      </c>
      <c r="C117" s="752"/>
      <c r="D117" s="752"/>
      <c r="E117" s="754"/>
      <c r="F117" s="752"/>
      <c r="G117" s="755" t="str">
        <f t="shared" si="6"/>
        <v>.</v>
      </c>
      <c r="H117" s="752"/>
      <c r="I117" s="752"/>
      <c r="J117" s="753"/>
      <c r="K117" s="753"/>
      <c r="L117" s="770" t="str">
        <f t="shared" si="7"/>
        <v>.</v>
      </c>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2" x14ac:dyDescent="0.2">
      <c r="A118" s="841"/>
      <c r="B118" s="769" t="s">
        <v>581</v>
      </c>
      <c r="C118" s="752"/>
      <c r="D118" s="752"/>
      <c r="E118" s="754"/>
      <c r="F118" s="752"/>
      <c r="G118" s="755" t="str">
        <f t="shared" si="6"/>
        <v>.</v>
      </c>
      <c r="H118" s="752"/>
      <c r="I118" s="752"/>
      <c r="J118" s="753"/>
      <c r="K118" s="753"/>
      <c r="L118" s="770" t="str">
        <f t="shared" si="7"/>
        <v>.</v>
      </c>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2" x14ac:dyDescent="0.2">
      <c r="A119" s="841"/>
      <c r="B119" s="769" t="s">
        <v>581</v>
      </c>
      <c r="C119" s="752"/>
      <c r="D119" s="752"/>
      <c r="E119" s="754"/>
      <c r="F119" s="752"/>
      <c r="G119" s="755" t="str">
        <f t="shared" si="6"/>
        <v>.</v>
      </c>
      <c r="H119" s="752"/>
      <c r="I119" s="752"/>
      <c r="J119" s="753"/>
      <c r="K119" s="753"/>
      <c r="L119" s="770" t="str">
        <f t="shared" si="7"/>
        <v>.</v>
      </c>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2" x14ac:dyDescent="0.2">
      <c r="A120" s="841"/>
      <c r="B120" s="769" t="s">
        <v>581</v>
      </c>
      <c r="C120" s="752"/>
      <c r="D120" s="752"/>
      <c r="E120" s="754"/>
      <c r="F120" s="752"/>
      <c r="G120" s="755" t="str">
        <f t="shared" si="6"/>
        <v>.</v>
      </c>
      <c r="H120" s="752"/>
      <c r="I120" s="752"/>
      <c r="J120" s="753"/>
      <c r="K120" s="753"/>
      <c r="L120" s="770" t="str">
        <f t="shared" si="7"/>
        <v>.</v>
      </c>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2" x14ac:dyDescent="0.2">
      <c r="A121" s="841"/>
      <c r="B121" s="769" t="s">
        <v>581</v>
      </c>
      <c r="C121" s="752"/>
      <c r="D121" s="752"/>
      <c r="E121" s="754"/>
      <c r="F121" s="752"/>
      <c r="G121" s="755" t="str">
        <f t="shared" si="6"/>
        <v>.</v>
      </c>
      <c r="H121" s="752"/>
      <c r="I121" s="752"/>
      <c r="J121" s="753"/>
      <c r="K121" s="753"/>
      <c r="L121" s="770" t="str">
        <f t="shared" si="7"/>
        <v>.</v>
      </c>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2" x14ac:dyDescent="0.2">
      <c r="A122" s="841"/>
      <c r="B122" s="769" t="s">
        <v>581</v>
      </c>
      <c r="C122" s="752"/>
      <c r="D122" s="752"/>
      <c r="E122" s="754"/>
      <c r="F122" s="752"/>
      <c r="G122" s="755" t="str">
        <f t="shared" si="6"/>
        <v>.</v>
      </c>
      <c r="H122" s="752"/>
      <c r="I122" s="752"/>
      <c r="J122" s="753"/>
      <c r="K122" s="753"/>
      <c r="L122" s="770" t="str">
        <f t="shared" si="7"/>
        <v>.</v>
      </c>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2" x14ac:dyDescent="0.2">
      <c r="A123" s="841"/>
      <c r="B123" s="769" t="s">
        <v>581</v>
      </c>
      <c r="C123" s="752"/>
      <c r="D123" s="752"/>
      <c r="E123" s="754"/>
      <c r="F123" s="752"/>
      <c r="G123" s="755" t="str">
        <f t="shared" si="6"/>
        <v>.</v>
      </c>
      <c r="H123" s="752"/>
      <c r="I123" s="752"/>
      <c r="J123" s="753"/>
      <c r="K123" s="753"/>
      <c r="L123" s="770" t="str">
        <f t="shared" si="7"/>
        <v>.</v>
      </c>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2" x14ac:dyDescent="0.2">
      <c r="A124" s="841"/>
      <c r="B124" s="769" t="s">
        <v>581</v>
      </c>
      <c r="C124" s="752"/>
      <c r="D124" s="752"/>
      <c r="E124" s="754"/>
      <c r="F124" s="752"/>
      <c r="G124" s="755" t="str">
        <f t="shared" si="6"/>
        <v>.</v>
      </c>
      <c r="H124" s="752"/>
      <c r="I124" s="752"/>
      <c r="J124" s="753"/>
      <c r="K124" s="753"/>
      <c r="L124" s="770" t="str">
        <f t="shared" si="7"/>
        <v>.</v>
      </c>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2" x14ac:dyDescent="0.2">
      <c r="A125" s="841"/>
      <c r="B125" s="769" t="s">
        <v>581</v>
      </c>
      <c r="C125" s="752"/>
      <c r="D125" s="752"/>
      <c r="E125" s="754"/>
      <c r="F125" s="752"/>
      <c r="G125" s="755" t="str">
        <f t="shared" si="6"/>
        <v>.</v>
      </c>
      <c r="H125" s="752"/>
      <c r="I125" s="752"/>
      <c r="J125" s="753"/>
      <c r="K125" s="753"/>
      <c r="L125" s="770" t="str">
        <f t="shared" si="7"/>
        <v>.</v>
      </c>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2" x14ac:dyDescent="0.2">
      <c r="A126" s="841"/>
      <c r="B126" s="769" t="s">
        <v>583</v>
      </c>
      <c r="C126" s="752"/>
      <c r="D126" s="752"/>
      <c r="E126" s="754"/>
      <c r="F126" s="752"/>
      <c r="G126" s="755" t="str">
        <f t="shared" si="6"/>
        <v>.</v>
      </c>
      <c r="H126" s="752"/>
      <c r="I126" s="752"/>
      <c r="J126" s="753"/>
      <c r="K126" s="753"/>
      <c r="L126" s="770" t="str">
        <f t="shared" si="7"/>
        <v>.</v>
      </c>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2" x14ac:dyDescent="0.2">
      <c r="A127" s="841"/>
      <c r="B127" s="769" t="s">
        <v>583</v>
      </c>
      <c r="C127" s="752"/>
      <c r="D127" s="752"/>
      <c r="E127" s="754"/>
      <c r="F127" s="752"/>
      <c r="G127" s="755" t="str">
        <f t="shared" si="6"/>
        <v>.</v>
      </c>
      <c r="H127" s="752"/>
      <c r="I127" s="752"/>
      <c r="J127" s="753"/>
      <c r="K127" s="753"/>
      <c r="L127" s="770" t="str">
        <f t="shared" si="7"/>
        <v>.</v>
      </c>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2" x14ac:dyDescent="0.2">
      <c r="A128" s="841"/>
      <c r="B128" s="769" t="s">
        <v>583</v>
      </c>
      <c r="C128" s="752"/>
      <c r="D128" s="752"/>
      <c r="E128" s="754"/>
      <c r="F128" s="752"/>
      <c r="G128" s="755" t="str">
        <f t="shared" ref="G128:G145" si="8">IF(F128="",".",D128*F128/L128)</f>
        <v>.</v>
      </c>
      <c r="H128" s="752"/>
      <c r="I128" s="752"/>
      <c r="J128" s="753"/>
      <c r="K128" s="753"/>
      <c r="L128" s="770" t="str">
        <f t="shared" si="7"/>
        <v>.</v>
      </c>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2" x14ac:dyDescent="0.2">
      <c r="A129" s="841"/>
      <c r="B129" s="769" t="s">
        <v>583</v>
      </c>
      <c r="C129" s="752"/>
      <c r="D129" s="752"/>
      <c r="E129" s="754"/>
      <c r="F129" s="752"/>
      <c r="G129" s="755" t="str">
        <f t="shared" si="8"/>
        <v>.</v>
      </c>
      <c r="H129" s="752"/>
      <c r="I129" s="752"/>
      <c r="J129" s="753"/>
      <c r="K129" s="753"/>
      <c r="L129" s="770" t="str">
        <f t="shared" si="7"/>
        <v>.</v>
      </c>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2" x14ac:dyDescent="0.2">
      <c r="A130" s="841"/>
      <c r="B130" s="769" t="s">
        <v>583</v>
      </c>
      <c r="C130" s="752"/>
      <c r="D130" s="752"/>
      <c r="E130" s="754"/>
      <c r="F130" s="752"/>
      <c r="G130" s="755" t="str">
        <f t="shared" si="8"/>
        <v>.</v>
      </c>
      <c r="H130" s="752"/>
      <c r="I130" s="752"/>
      <c r="J130" s="753"/>
      <c r="K130" s="753"/>
      <c r="L130" s="770" t="str">
        <f t="shared" si="7"/>
        <v>.</v>
      </c>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2" x14ac:dyDescent="0.2">
      <c r="A131" s="841"/>
      <c r="B131" s="769" t="s">
        <v>583</v>
      </c>
      <c r="C131" s="752"/>
      <c r="D131" s="752"/>
      <c r="E131" s="754"/>
      <c r="F131" s="752"/>
      <c r="G131" s="755" t="str">
        <f t="shared" si="8"/>
        <v>.</v>
      </c>
      <c r="H131" s="752"/>
      <c r="I131" s="752"/>
      <c r="J131" s="753"/>
      <c r="K131" s="753"/>
      <c r="L131" s="770" t="str">
        <f t="shared" si="7"/>
        <v>.</v>
      </c>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2" x14ac:dyDescent="0.2">
      <c r="A132" s="841"/>
      <c r="B132" s="769" t="s">
        <v>583</v>
      </c>
      <c r="C132" s="752"/>
      <c r="D132" s="752"/>
      <c r="E132" s="754"/>
      <c r="F132" s="752"/>
      <c r="G132" s="755" t="str">
        <f t="shared" si="8"/>
        <v>.</v>
      </c>
      <c r="H132" s="752"/>
      <c r="I132" s="752"/>
      <c r="J132" s="753"/>
      <c r="K132" s="753"/>
      <c r="L132" s="770" t="str">
        <f t="shared" si="7"/>
        <v>.</v>
      </c>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2" x14ac:dyDescent="0.2">
      <c r="A133" s="841"/>
      <c r="B133" s="769" t="s">
        <v>583</v>
      </c>
      <c r="C133" s="752"/>
      <c r="D133" s="752"/>
      <c r="E133" s="754"/>
      <c r="F133" s="752"/>
      <c r="G133" s="755" t="str">
        <f t="shared" si="8"/>
        <v>.</v>
      </c>
      <c r="H133" s="752"/>
      <c r="I133" s="752"/>
      <c r="J133" s="753"/>
      <c r="K133" s="753"/>
      <c r="L133" s="770" t="str">
        <f t="shared" si="7"/>
        <v>.</v>
      </c>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2" x14ac:dyDescent="0.2">
      <c r="A134" s="841"/>
      <c r="B134" s="769" t="s">
        <v>583</v>
      </c>
      <c r="C134" s="752"/>
      <c r="D134" s="752"/>
      <c r="E134" s="754"/>
      <c r="F134" s="752"/>
      <c r="G134" s="755" t="str">
        <f t="shared" si="8"/>
        <v>.</v>
      </c>
      <c r="H134" s="752"/>
      <c r="I134" s="752"/>
      <c r="J134" s="753"/>
      <c r="K134" s="753"/>
      <c r="L134" s="770" t="str">
        <f t="shared" si="7"/>
        <v>.</v>
      </c>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2" x14ac:dyDescent="0.2">
      <c r="A135" s="841"/>
      <c r="B135" s="769" t="s">
        <v>583</v>
      </c>
      <c r="C135" s="752"/>
      <c r="D135" s="752"/>
      <c r="E135" s="754"/>
      <c r="F135" s="752"/>
      <c r="G135" s="755" t="str">
        <f t="shared" si="8"/>
        <v>.</v>
      </c>
      <c r="H135" s="752"/>
      <c r="I135" s="752"/>
      <c r="J135" s="771"/>
      <c r="K135" s="771"/>
      <c r="L135" s="770" t="str">
        <f t="shared" si="7"/>
        <v>.</v>
      </c>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2" x14ac:dyDescent="0.2">
      <c r="A136" s="841"/>
      <c r="B136" s="769" t="s">
        <v>585</v>
      </c>
      <c r="C136" s="752"/>
      <c r="D136" s="752"/>
      <c r="E136" s="754"/>
      <c r="F136" s="752"/>
      <c r="G136" s="755" t="str">
        <f t="shared" si="8"/>
        <v>.</v>
      </c>
      <c r="H136" s="752"/>
      <c r="I136" s="752"/>
      <c r="J136" s="753"/>
      <c r="K136" s="753"/>
      <c r="L136" s="770" t="str">
        <f t="shared" si="7"/>
        <v>.</v>
      </c>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2" x14ac:dyDescent="0.2">
      <c r="A137" s="841"/>
      <c r="B137" s="769" t="s">
        <v>585</v>
      </c>
      <c r="C137" s="752"/>
      <c r="D137" s="752"/>
      <c r="E137" s="754"/>
      <c r="F137" s="752"/>
      <c r="G137" s="755" t="str">
        <f t="shared" si="8"/>
        <v>.</v>
      </c>
      <c r="H137" s="752"/>
      <c r="I137" s="752"/>
      <c r="J137" s="753"/>
      <c r="K137" s="753"/>
      <c r="L137" s="770" t="str">
        <f t="shared" si="7"/>
        <v>.</v>
      </c>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2" x14ac:dyDescent="0.2">
      <c r="A138" s="841"/>
      <c r="B138" s="769" t="s">
        <v>585</v>
      </c>
      <c r="C138" s="752"/>
      <c r="D138" s="752"/>
      <c r="E138" s="754"/>
      <c r="F138" s="752"/>
      <c r="G138" s="755" t="str">
        <f t="shared" si="8"/>
        <v>.</v>
      </c>
      <c r="H138" s="752"/>
      <c r="I138" s="752"/>
      <c r="J138" s="753"/>
      <c r="K138" s="753"/>
      <c r="L138" s="770" t="str">
        <f t="shared" si="7"/>
        <v>.</v>
      </c>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2" x14ac:dyDescent="0.2">
      <c r="A139" s="841"/>
      <c r="B139" s="769" t="s">
        <v>585</v>
      </c>
      <c r="C139" s="752"/>
      <c r="D139" s="752"/>
      <c r="E139" s="754"/>
      <c r="F139" s="752"/>
      <c r="G139" s="755" t="str">
        <f t="shared" si="8"/>
        <v>.</v>
      </c>
      <c r="H139" s="752"/>
      <c r="I139" s="752"/>
      <c r="J139" s="753"/>
      <c r="K139" s="753"/>
      <c r="L139" s="770" t="str">
        <f t="shared" si="7"/>
        <v>.</v>
      </c>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2" x14ac:dyDescent="0.2">
      <c r="A140" s="841"/>
      <c r="B140" s="769" t="s">
        <v>585</v>
      </c>
      <c r="C140" s="752"/>
      <c r="D140" s="752"/>
      <c r="E140" s="754"/>
      <c r="F140" s="752"/>
      <c r="G140" s="755" t="str">
        <f t="shared" si="8"/>
        <v>.</v>
      </c>
      <c r="H140" s="752"/>
      <c r="I140" s="752"/>
      <c r="J140" s="753"/>
      <c r="K140" s="753"/>
      <c r="L140" s="770" t="str">
        <f t="shared" si="7"/>
        <v>.</v>
      </c>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2" x14ac:dyDescent="0.2">
      <c r="A141" s="841"/>
      <c r="B141" s="769" t="s">
        <v>585</v>
      </c>
      <c r="C141" s="752"/>
      <c r="D141" s="752"/>
      <c r="E141" s="754"/>
      <c r="F141" s="752"/>
      <c r="G141" s="755" t="str">
        <f t="shared" si="8"/>
        <v>.</v>
      </c>
      <c r="H141" s="752"/>
      <c r="I141" s="752"/>
      <c r="J141" s="753"/>
      <c r="K141" s="753"/>
      <c r="L141" s="770" t="str">
        <f t="shared" si="7"/>
        <v>.</v>
      </c>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2" x14ac:dyDescent="0.2">
      <c r="A142" s="841"/>
      <c r="B142" s="769" t="s">
        <v>585</v>
      </c>
      <c r="C142" s="752"/>
      <c r="D142" s="752"/>
      <c r="E142" s="754"/>
      <c r="F142" s="752"/>
      <c r="G142" s="755" t="str">
        <f t="shared" si="8"/>
        <v>.</v>
      </c>
      <c r="H142" s="752"/>
      <c r="I142" s="752"/>
      <c r="J142" s="753"/>
      <c r="K142" s="753"/>
      <c r="L142" s="770" t="str">
        <f t="shared" si="7"/>
        <v>.</v>
      </c>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2" x14ac:dyDescent="0.2">
      <c r="A143" s="841"/>
      <c r="B143" s="769" t="s">
        <v>585</v>
      </c>
      <c r="C143" s="752"/>
      <c r="D143" s="752"/>
      <c r="E143" s="754"/>
      <c r="F143" s="752"/>
      <c r="G143" s="755" t="str">
        <f t="shared" si="8"/>
        <v>.</v>
      </c>
      <c r="H143" s="752"/>
      <c r="I143" s="752"/>
      <c r="J143" s="753"/>
      <c r="K143" s="753"/>
      <c r="L143" s="770" t="str">
        <f t="shared" si="7"/>
        <v>.</v>
      </c>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2" x14ac:dyDescent="0.2">
      <c r="A144" s="841"/>
      <c r="B144" s="769" t="s">
        <v>585</v>
      </c>
      <c r="C144" s="752"/>
      <c r="D144" s="752"/>
      <c r="E144" s="754"/>
      <c r="F144" s="752"/>
      <c r="G144" s="755" t="str">
        <f t="shared" si="8"/>
        <v>.</v>
      </c>
      <c r="H144" s="752"/>
      <c r="I144" s="752"/>
      <c r="J144" s="753"/>
      <c r="K144" s="753"/>
      <c r="L144" s="770" t="str">
        <f t="shared" si="7"/>
        <v>.</v>
      </c>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2" x14ac:dyDescent="0.2">
      <c r="A145" s="841"/>
      <c r="B145" s="779" t="s">
        <v>585</v>
      </c>
      <c r="C145" s="780"/>
      <c r="D145" s="780"/>
      <c r="E145" s="781"/>
      <c r="F145" s="780"/>
      <c r="G145" s="782" t="str">
        <f t="shared" si="8"/>
        <v>.</v>
      </c>
      <c r="H145" s="780"/>
      <c r="I145" s="780"/>
      <c r="J145" s="783"/>
      <c r="K145" s="783"/>
      <c r="L145" s="770" t="str">
        <f>IF(D145="",".",IF(F145&lt;&gt;"",F145*D145+J145*(E145/100),(J145-K145)*(E145/100)+H145*I145))</f>
        <v>.</v>
      </c>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2" x14ac:dyDescent="0.2">
      <c r="A146" s="841"/>
      <c r="B146" s="290"/>
      <c r="C146" s="290"/>
      <c r="D146" s="290"/>
      <c r="E146" s="290"/>
      <c r="F146" s="772"/>
      <c r="G146" s="290"/>
      <c r="H146" s="290"/>
      <c r="I146" s="290"/>
      <c r="J146" s="773"/>
      <c r="K146" s="774" t="s">
        <v>589</v>
      </c>
      <c r="L146" s="785">
        <f>SUM(L96:L145)</f>
        <v>0</v>
      </c>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x14ac:dyDescent="0.2">
      <c r="A147" s="841"/>
      <c r="B147" s="775"/>
      <c r="C147" s="775"/>
      <c r="D147" s="776"/>
      <c r="E147" s="776"/>
      <c r="F147" s="777"/>
      <c r="G147" s="776"/>
      <c r="H147" s="776"/>
      <c r="I147" s="776"/>
      <c r="J147" s="776"/>
      <c r="K147" s="778"/>
      <c r="L147" s="784"/>
      <c r="M147" s="451"/>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2" customHeight="1" x14ac:dyDescent="0.2">
      <c r="A148" s="841"/>
      <c r="B148" s="39"/>
      <c r="C148" s="39"/>
      <c r="D148" s="3"/>
      <c r="E148" s="3"/>
      <c r="F148" s="2"/>
      <c r="G148" s="3"/>
      <c r="H148" s="3"/>
      <c r="I148" s="3"/>
      <c r="J148" s="3"/>
      <c r="K148" s="46"/>
      <c r="L148" s="47"/>
      <c r="M148" s="451"/>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2" customHeight="1" x14ac:dyDescent="0.2">
      <c r="A149" s="841"/>
      <c r="B149" s="38"/>
      <c r="C149" s="38"/>
      <c r="D149" s="3"/>
      <c r="E149" s="3"/>
      <c r="F149" s="3"/>
      <c r="G149" s="3"/>
      <c r="H149" s="3"/>
      <c r="I149" s="3"/>
      <c r="J149" s="3"/>
      <c r="K149" s="41"/>
      <c r="L149" s="41"/>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7.25" customHeight="1" x14ac:dyDescent="0.2">
      <c r="A150" s="841">
        <f>A94+1</f>
        <v>3</v>
      </c>
      <c r="B150" s="461" t="str">
        <f>"Table "&amp;A1&amp;"."&amp;A150&amp;": Calculation of Notional General Income - Annual Charges ($nominal)"</f>
        <v>Table 3.3: Calculation of Notional General Income - Annual Charges ($nominal)</v>
      </c>
      <c r="C150" s="42"/>
      <c r="D150" s="43"/>
      <c r="E150" s="43"/>
      <c r="F150" s="43"/>
      <c r="H150" s="43"/>
      <c r="I150" s="43"/>
      <c r="J150" s="43"/>
      <c r="K150" s="43"/>
      <c r="L150" s="44"/>
      <c r="M150" s="460"/>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36" x14ac:dyDescent="0.2">
      <c r="A151" s="841"/>
      <c r="B151" s="793" t="s">
        <v>594</v>
      </c>
      <c r="C151" s="794"/>
      <c r="D151" s="794"/>
      <c r="E151" s="794"/>
      <c r="F151" s="794"/>
      <c r="G151" s="794"/>
      <c r="H151" s="794"/>
      <c r="I151" s="794"/>
      <c r="J151" s="795" t="s">
        <v>595</v>
      </c>
      <c r="K151" s="734" t="s">
        <v>596</v>
      </c>
      <c r="L151" s="796" t="s">
        <v>593</v>
      </c>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2" x14ac:dyDescent="0.2">
      <c r="A152" s="841"/>
      <c r="B152" s="786"/>
      <c r="C152" s="206"/>
      <c r="D152" s="206"/>
      <c r="E152" s="206"/>
      <c r="F152" s="206"/>
      <c r="G152" s="206"/>
      <c r="H152" s="206"/>
      <c r="I152" s="206"/>
      <c r="J152" s="797"/>
      <c r="K152" s="771"/>
      <c r="L152" s="787" t="str">
        <f>IF(B152="",".",J152*K152)</f>
        <v>.</v>
      </c>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2" x14ac:dyDescent="0.2">
      <c r="A153" s="841"/>
      <c r="B153" s="786"/>
      <c r="C153" s="206"/>
      <c r="D153" s="206"/>
      <c r="E153" s="206"/>
      <c r="F153" s="206"/>
      <c r="G153" s="206"/>
      <c r="H153" s="206"/>
      <c r="I153" s="206"/>
      <c r="J153" s="797"/>
      <c r="K153" s="771"/>
      <c r="L153" s="787" t="str">
        <f t="shared" ref="L153:L159" si="9">IF(B153="",".",J153*K153)</f>
        <v>.</v>
      </c>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2" x14ac:dyDescent="0.2">
      <c r="A154" s="841"/>
      <c r="B154" s="786"/>
      <c r="C154" s="206"/>
      <c r="D154" s="206"/>
      <c r="E154" s="206"/>
      <c r="F154" s="206"/>
      <c r="G154" s="206"/>
      <c r="H154" s="206"/>
      <c r="I154" s="206"/>
      <c r="J154" s="797"/>
      <c r="K154" s="771"/>
      <c r="L154" s="787" t="str">
        <f t="shared" si="9"/>
        <v>.</v>
      </c>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2" x14ac:dyDescent="0.2">
      <c r="A155" s="841"/>
      <c r="B155" s="786"/>
      <c r="C155" s="206"/>
      <c r="D155" s="206"/>
      <c r="E155" s="206"/>
      <c r="F155" s="206"/>
      <c r="G155" s="206"/>
      <c r="H155" s="206"/>
      <c r="I155" s="206"/>
      <c r="J155" s="797"/>
      <c r="K155" s="771"/>
      <c r="L155" s="787" t="str">
        <f t="shared" si="9"/>
        <v>.</v>
      </c>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2" x14ac:dyDescent="0.2">
      <c r="A156" s="841"/>
      <c r="B156" s="786"/>
      <c r="C156" s="206"/>
      <c r="D156" s="206"/>
      <c r="E156" s="206"/>
      <c r="F156" s="206"/>
      <c r="G156" s="206"/>
      <c r="H156" s="206"/>
      <c r="I156" s="206"/>
      <c r="J156" s="797"/>
      <c r="K156" s="771"/>
      <c r="L156" s="787" t="str">
        <f t="shared" si="9"/>
        <v>.</v>
      </c>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2" x14ac:dyDescent="0.2">
      <c r="A157" s="841"/>
      <c r="B157" s="786"/>
      <c r="C157" s="206"/>
      <c r="D157" s="206"/>
      <c r="E157" s="206"/>
      <c r="F157" s="206"/>
      <c r="G157" s="206"/>
      <c r="H157" s="206"/>
      <c r="I157" s="206"/>
      <c r="J157" s="797"/>
      <c r="K157" s="771"/>
      <c r="L157" s="787" t="str">
        <f t="shared" si="9"/>
        <v>.</v>
      </c>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2" x14ac:dyDescent="0.2">
      <c r="A158" s="841"/>
      <c r="B158" s="786"/>
      <c r="C158" s="206"/>
      <c r="D158" s="206"/>
      <c r="E158" s="206"/>
      <c r="F158" s="206"/>
      <c r="G158" s="206"/>
      <c r="H158" s="206"/>
      <c r="I158" s="206"/>
      <c r="J158" s="797"/>
      <c r="K158" s="771"/>
      <c r="L158" s="787" t="str">
        <f t="shared" si="9"/>
        <v>.</v>
      </c>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2" x14ac:dyDescent="0.2">
      <c r="A159" s="841"/>
      <c r="B159" s="800"/>
      <c r="C159" s="801"/>
      <c r="D159" s="801"/>
      <c r="E159" s="801"/>
      <c r="F159" s="801"/>
      <c r="G159" s="801"/>
      <c r="H159" s="801"/>
      <c r="I159" s="801"/>
      <c r="J159" s="798"/>
      <c r="K159" s="799"/>
      <c r="L159" s="802" t="str">
        <f t="shared" si="9"/>
        <v>.</v>
      </c>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2" x14ac:dyDescent="0.2">
      <c r="A160" s="841"/>
      <c r="B160" s="788"/>
      <c r="C160" s="39"/>
      <c r="D160" s="3"/>
      <c r="E160" s="3"/>
      <c r="F160" s="2"/>
      <c r="G160" s="3"/>
      <c r="H160" s="3"/>
      <c r="I160" s="3"/>
      <c r="J160" s="47"/>
      <c r="K160" s="47" t="s">
        <v>589</v>
      </c>
      <c r="L160" s="745">
        <f>SUM(L152:L159)</f>
        <v>0</v>
      </c>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x14ac:dyDescent="0.2">
      <c r="A161" s="841"/>
      <c r="B161" s="788"/>
      <c r="C161" s="39"/>
      <c r="D161" s="3"/>
      <c r="E161" s="3"/>
      <c r="F161" s="2"/>
      <c r="G161" s="3"/>
      <c r="H161" s="3"/>
      <c r="I161" s="3"/>
      <c r="J161" s="3"/>
      <c r="K161" s="46"/>
      <c r="L161" s="789"/>
      <c r="M161" s="451"/>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x14ac:dyDescent="0.2">
      <c r="A162" s="841"/>
      <c r="B162" s="299"/>
      <c r="C162" s="3"/>
      <c r="D162" s="3"/>
      <c r="E162" s="3"/>
      <c r="F162" s="2"/>
      <c r="G162" s="3"/>
      <c r="H162" s="3"/>
      <c r="I162" s="3"/>
      <c r="J162" s="3"/>
      <c r="K162" s="46"/>
      <c r="L162" s="789"/>
      <c r="M162" s="451"/>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5" customHeight="1" x14ac:dyDescent="0.2">
      <c r="A163" s="841"/>
      <c r="B163" s="299"/>
      <c r="C163" s="3"/>
      <c r="D163" s="3"/>
      <c r="E163" s="3"/>
      <c r="F163" s="38"/>
      <c r="G163" s="3"/>
      <c r="H163" s="2"/>
      <c r="I163" s="3"/>
      <c r="J163" s="39" t="s">
        <v>597</v>
      </c>
      <c r="K163" s="78"/>
      <c r="L163" s="790">
        <f>L90+L146+L160</f>
        <v>54352003.65630883</v>
      </c>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x14ac:dyDescent="0.2">
      <c r="A164" s="841"/>
      <c r="B164" s="788"/>
      <c r="C164" s="39"/>
      <c r="D164" s="3"/>
      <c r="E164" s="3"/>
      <c r="F164" s="2"/>
      <c r="G164" s="3"/>
      <c r="H164" s="3"/>
      <c r="I164" s="3"/>
      <c r="J164" s="3"/>
      <c r="K164" s="46"/>
      <c r="L164" s="789"/>
      <c r="M164" s="451"/>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x14ac:dyDescent="0.2">
      <c r="A165" s="841"/>
      <c r="B165" s="668" t="s">
        <v>598</v>
      </c>
      <c r="C165" s="38"/>
      <c r="D165" s="3"/>
      <c r="E165" s="3"/>
      <c r="F165" s="2"/>
      <c r="G165" s="3"/>
      <c r="H165" s="3"/>
      <c r="I165" s="3"/>
      <c r="J165" s="3"/>
      <c r="K165" s="46"/>
      <c r="L165" s="789"/>
      <c r="M165" s="451"/>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2" x14ac:dyDescent="0.2">
      <c r="A166" s="841"/>
      <c r="B166" s="344"/>
      <c r="C166" s="140"/>
      <c r="D166" s="140"/>
      <c r="E166" s="140"/>
      <c r="F166" s="140"/>
      <c r="G166" s="140"/>
      <c r="H166" s="140"/>
      <c r="I166" s="140"/>
      <c r="J166" s="140"/>
      <c r="K166" s="791"/>
      <c r="L166" s="792"/>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2" x14ac:dyDescent="0.2">
      <c r="A167" s="841"/>
      <c r="C167" s="3"/>
      <c r="D167" s="3"/>
      <c r="E167" s="3"/>
      <c r="F167" s="3"/>
      <c r="G167" s="3"/>
      <c r="H167" s="3"/>
      <c r="I167" s="3"/>
      <c r="J167" s="3"/>
      <c r="K167" s="48"/>
      <c r="L167" s="48"/>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2" x14ac:dyDescent="0.2">
      <c r="A168" s="841"/>
      <c r="C168" s="3"/>
      <c r="D168" s="3"/>
      <c r="E168" s="3"/>
      <c r="F168" s="3"/>
      <c r="G168" s="3"/>
      <c r="H168" s="3"/>
      <c r="I168" s="3"/>
      <c r="J168" s="3"/>
      <c r="K168" s="48"/>
      <c r="L168" s="48"/>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x14ac:dyDescent="0.2">
      <c r="A169" s="841"/>
      <c r="B169" s="20"/>
      <c r="C169" s="3"/>
      <c r="D169" s="3"/>
      <c r="E169" s="3"/>
      <c r="F169" s="3"/>
      <c r="G169" s="3"/>
      <c r="H169" s="3"/>
      <c r="I169" s="3"/>
      <c r="J169" s="3"/>
      <c r="K169" s="34"/>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x14ac:dyDescent="0.2">
      <c r="A170" s="841"/>
      <c r="B170" s="20"/>
      <c r="C170" s="3"/>
      <c r="D170" s="3"/>
      <c r="E170" s="3"/>
      <c r="F170" s="3"/>
      <c r="G170" s="3"/>
      <c r="H170" s="3"/>
      <c r="I170" s="3"/>
      <c r="J170" s="3"/>
      <c r="K170" s="34"/>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x14ac:dyDescent="0.2">
      <c r="A171" s="841"/>
      <c r="B171" s="20"/>
      <c r="C171" s="3"/>
      <c r="D171" s="3"/>
      <c r="E171" s="3"/>
      <c r="F171" s="3"/>
      <c r="G171" s="3"/>
      <c r="H171" s="3"/>
      <c r="I171" s="3"/>
      <c r="J171" s="3"/>
      <c r="K171" s="34"/>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x14ac:dyDescent="0.2">
      <c r="A172" s="841"/>
      <c r="B172" s="20"/>
      <c r="C172" s="3"/>
      <c r="D172" s="3"/>
      <c r="E172" s="3"/>
      <c r="F172" s="3"/>
      <c r="G172" s="3"/>
      <c r="H172" s="3"/>
      <c r="I172" s="3"/>
      <c r="J172" s="3"/>
      <c r="K172" s="34"/>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x14ac:dyDescent="0.2">
      <c r="A173" s="841"/>
      <c r="C173" s="3"/>
      <c r="D173" s="3"/>
      <c r="E173" s="3"/>
      <c r="F173" s="3"/>
      <c r="G173" s="3"/>
      <c r="H173" s="3"/>
      <c r="I173" s="3"/>
      <c r="J173" s="3"/>
      <c r="K173" s="34"/>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x14ac:dyDescent="0.2">
      <c r="A174" s="841"/>
      <c r="C174" s="3"/>
      <c r="D174" s="3"/>
      <c r="E174" s="3"/>
      <c r="F174" s="3"/>
      <c r="G174" s="3"/>
      <c r="H174" s="3"/>
      <c r="I174" s="3"/>
      <c r="J174" s="3"/>
      <c r="K174" s="34"/>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x14ac:dyDescent="0.2">
      <c r="A175" s="841"/>
      <c r="C175" s="3"/>
      <c r="D175" s="3"/>
      <c r="E175" s="3"/>
      <c r="F175" s="3"/>
      <c r="G175" s="3"/>
      <c r="H175" s="3"/>
      <c r="I175" s="3"/>
      <c r="J175" s="3"/>
      <c r="K175" s="34"/>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x14ac:dyDescent="0.2">
      <c r="A176" s="841"/>
      <c r="C176" s="3"/>
      <c r="D176" s="3"/>
      <c r="E176" s="3"/>
      <c r="F176" s="3"/>
      <c r="G176" s="3"/>
      <c r="H176" s="3"/>
      <c r="I176" s="3"/>
      <c r="J176" s="3"/>
      <c r="K176" s="34"/>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x14ac:dyDescent="0.2">
      <c r="A177" s="841"/>
      <c r="C177" s="3"/>
      <c r="D177" s="3"/>
      <c r="E177" s="3"/>
      <c r="F177" s="3"/>
      <c r="G177" s="3"/>
      <c r="H177" s="3"/>
      <c r="I177" s="3"/>
      <c r="J177" s="3"/>
      <c r="K177" s="34"/>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x14ac:dyDescent="0.2">
      <c r="A178" s="841"/>
      <c r="C178" s="3"/>
      <c r="D178" s="3"/>
      <c r="E178" s="3"/>
      <c r="F178" s="3"/>
      <c r="G178" s="3"/>
      <c r="H178" s="3"/>
      <c r="I178" s="3"/>
      <c r="J178" s="3"/>
      <c r="K178" s="34"/>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x14ac:dyDescent="0.2">
      <c r="A179" s="841"/>
      <c r="C179" s="3"/>
      <c r="D179" s="3"/>
      <c r="E179" s="3"/>
      <c r="F179" s="3"/>
      <c r="G179" s="3"/>
      <c r="H179" s="3"/>
      <c r="I179" s="3"/>
      <c r="J179" s="3"/>
      <c r="K179" s="34"/>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x14ac:dyDescent="0.2">
      <c r="A180" s="841"/>
      <c r="C180" s="3"/>
      <c r="D180" s="3"/>
      <c r="E180" s="3"/>
      <c r="F180" s="3"/>
      <c r="G180" s="3"/>
      <c r="H180" s="3"/>
      <c r="I180" s="3"/>
      <c r="J180" s="3"/>
      <c r="K180" s="34"/>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x14ac:dyDescent="0.2">
      <c r="A181" s="841"/>
      <c r="C181" s="3"/>
      <c r="D181" s="3"/>
      <c r="E181" s="3"/>
      <c r="F181" s="3"/>
      <c r="G181" s="3"/>
      <c r="H181" s="3"/>
      <c r="I181" s="3"/>
      <c r="J181" s="3"/>
      <c r="K181" s="34"/>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x14ac:dyDescent="0.2">
      <c r="A182" s="841"/>
      <c r="C182" s="3"/>
      <c r="D182" s="3"/>
      <c r="E182" s="3"/>
      <c r="F182" s="3"/>
      <c r="G182" s="3"/>
      <c r="H182" s="3"/>
      <c r="I182" s="3"/>
      <c r="J182" s="3"/>
      <c r="K182" s="34"/>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x14ac:dyDescent="0.2">
      <c r="A183" s="841"/>
      <c r="C183" s="3"/>
      <c r="D183" s="3"/>
      <c r="E183" s="3"/>
      <c r="F183" s="3"/>
      <c r="G183" s="3"/>
      <c r="H183" s="3"/>
      <c r="I183" s="3"/>
      <c r="J183" s="3"/>
      <c r="K183" s="34"/>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x14ac:dyDescent="0.2">
      <c r="A184" s="841"/>
      <c r="C184" s="3"/>
      <c r="D184" s="3"/>
      <c r="E184" s="3"/>
      <c r="F184" s="3"/>
      <c r="G184" s="3"/>
      <c r="H184" s="3"/>
      <c r="I184" s="3"/>
      <c r="J184" s="3"/>
      <c r="K184" s="34"/>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x14ac:dyDescent="0.2">
      <c r="A185" s="841"/>
      <c r="C185" s="3"/>
      <c r="D185" s="3"/>
      <c r="E185" s="3"/>
      <c r="F185" s="3"/>
      <c r="G185" s="3"/>
      <c r="H185" s="3"/>
      <c r="I185" s="3"/>
      <c r="J185" s="3"/>
      <c r="K185" s="34"/>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x14ac:dyDescent="0.2">
      <c r="A186" s="841"/>
      <c r="C186" s="3"/>
      <c r="D186" s="3"/>
      <c r="E186" s="3"/>
      <c r="F186" s="3"/>
      <c r="G186" s="3"/>
      <c r="H186" s="3"/>
      <c r="I186" s="3"/>
      <c r="J186" s="3"/>
      <c r="K186" s="34"/>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x14ac:dyDescent="0.2">
      <c r="A187" s="841"/>
      <c r="C187" s="3"/>
      <c r="D187" s="3"/>
      <c r="E187" s="3"/>
      <c r="F187" s="3"/>
      <c r="G187" s="3"/>
      <c r="H187" s="3"/>
      <c r="I187" s="3"/>
      <c r="J187" s="3"/>
      <c r="K187" s="34"/>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x14ac:dyDescent="0.2">
      <c r="A188" s="841"/>
      <c r="C188" s="3"/>
      <c r="D188" s="3"/>
      <c r="E188" s="3"/>
      <c r="F188" s="3"/>
      <c r="G188" s="3"/>
      <c r="H188" s="3"/>
      <c r="I188" s="3"/>
      <c r="J188" s="3"/>
      <c r="K188" s="34"/>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x14ac:dyDescent="0.2">
      <c r="A189" s="841"/>
      <c r="C189" s="3"/>
      <c r="D189" s="3"/>
      <c r="E189" s="3"/>
      <c r="F189" s="3"/>
      <c r="G189" s="3"/>
      <c r="H189" s="3"/>
      <c r="I189" s="3"/>
      <c r="J189" s="3"/>
      <c r="K189" s="34"/>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x14ac:dyDescent="0.2">
      <c r="A190" s="841"/>
      <c r="C190" s="3"/>
      <c r="D190" s="3"/>
      <c r="E190" s="3"/>
      <c r="F190" s="3"/>
      <c r="G190" s="3"/>
      <c r="H190" s="3"/>
      <c r="I190" s="3"/>
      <c r="J190" s="3"/>
      <c r="K190" s="34"/>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x14ac:dyDescent="0.2">
      <c r="A191" s="841"/>
      <c r="C191" s="3"/>
      <c r="D191" s="3"/>
      <c r="E191" s="3"/>
      <c r="F191" s="3"/>
      <c r="G191" s="3"/>
      <c r="H191" s="3"/>
      <c r="I191" s="3"/>
      <c r="J191" s="3"/>
      <c r="K191" s="34"/>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x14ac:dyDescent="0.2">
      <c r="A192" s="841"/>
      <c r="C192" s="3"/>
      <c r="D192" s="3"/>
      <c r="E192" s="3"/>
      <c r="F192" s="3"/>
      <c r="G192" s="3"/>
      <c r="H192" s="3"/>
      <c r="I192" s="3"/>
      <c r="J192" s="3"/>
      <c r="K192" s="34"/>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x14ac:dyDescent="0.2">
      <c r="A193" s="841"/>
      <c r="C193" s="3"/>
      <c r="D193" s="3"/>
      <c r="E193" s="3"/>
      <c r="F193" s="3"/>
      <c r="G193" s="3"/>
      <c r="H193" s="3"/>
      <c r="I193" s="3"/>
      <c r="J193" s="3"/>
      <c r="K193" s="34"/>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x14ac:dyDescent="0.2">
      <c r="A194" s="841"/>
      <c r="C194" s="3"/>
      <c r="D194" s="3"/>
      <c r="E194" s="3"/>
      <c r="F194" s="3"/>
      <c r="G194" s="3"/>
      <c r="H194" s="3"/>
      <c r="I194" s="3"/>
      <c r="J194" s="3"/>
      <c r="K194" s="34"/>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x14ac:dyDescent="0.2">
      <c r="A195" s="841"/>
      <c r="C195" s="3"/>
      <c r="D195" s="3"/>
      <c r="E195" s="3"/>
      <c r="F195" s="3"/>
      <c r="G195" s="3"/>
      <c r="H195" s="3"/>
      <c r="I195" s="3"/>
      <c r="J195" s="3"/>
      <c r="K195" s="34"/>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x14ac:dyDescent="0.2">
      <c r="A196" s="841"/>
      <c r="C196" s="3"/>
      <c r="D196" s="3"/>
      <c r="E196" s="3"/>
      <c r="F196" s="3"/>
      <c r="G196" s="3"/>
      <c r="H196" s="3"/>
      <c r="I196" s="3"/>
      <c r="J196" s="3"/>
      <c r="K196" s="34"/>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x14ac:dyDescent="0.2">
      <c r="A197" s="841"/>
      <c r="C197" s="3"/>
      <c r="D197" s="3"/>
      <c r="E197" s="3"/>
      <c r="F197" s="3"/>
      <c r="G197" s="3"/>
      <c r="H197" s="3"/>
      <c r="I197" s="3"/>
      <c r="J197" s="3"/>
      <c r="K197" s="34"/>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x14ac:dyDescent="0.2">
      <c r="A198" s="841"/>
      <c r="C198" s="3"/>
      <c r="D198" s="3"/>
      <c r="E198" s="3"/>
      <c r="F198" s="3"/>
      <c r="G198" s="3"/>
      <c r="H198" s="3"/>
      <c r="I198" s="3"/>
      <c r="J198" s="3"/>
      <c r="K198" s="34"/>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x14ac:dyDescent="0.2">
      <c r="A199" s="841"/>
      <c r="C199" s="3"/>
      <c r="D199" s="3"/>
      <c r="E199" s="3"/>
      <c r="F199" s="3"/>
      <c r="G199" s="3"/>
      <c r="H199" s="3"/>
      <c r="I199" s="3"/>
      <c r="J199" s="3"/>
      <c r="K199" s="34"/>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x14ac:dyDescent="0.2">
      <c r="A200" s="841"/>
      <c r="C200" s="3"/>
      <c r="D200" s="3"/>
      <c r="E200" s="3"/>
      <c r="F200" s="3"/>
      <c r="G200" s="3"/>
      <c r="H200" s="3"/>
      <c r="I200" s="3"/>
      <c r="J200" s="3"/>
      <c r="K200" s="34"/>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x14ac:dyDescent="0.2">
      <c r="A201" s="841"/>
      <c r="C201" s="3"/>
      <c r="D201" s="3"/>
      <c r="E201" s="3"/>
      <c r="F201" s="3"/>
      <c r="G201" s="3"/>
      <c r="H201" s="3"/>
      <c r="I201" s="3"/>
      <c r="J201" s="3"/>
      <c r="K201" s="34"/>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x14ac:dyDescent="0.2">
      <c r="A202" s="841"/>
      <c r="C202" s="3"/>
      <c r="D202" s="3"/>
      <c r="E202" s="3"/>
      <c r="F202" s="3"/>
      <c r="G202" s="3"/>
      <c r="H202" s="3"/>
      <c r="I202" s="3"/>
      <c r="J202" s="3"/>
      <c r="K202" s="34"/>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x14ac:dyDescent="0.2">
      <c r="A203" s="841"/>
      <c r="C203" s="3"/>
      <c r="D203" s="3"/>
      <c r="E203" s="3"/>
      <c r="F203" s="3"/>
      <c r="G203" s="3"/>
      <c r="H203" s="3"/>
      <c r="I203" s="3"/>
      <c r="J203" s="3"/>
      <c r="K203" s="34"/>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x14ac:dyDescent="0.2">
      <c r="A204" s="841"/>
      <c r="C204" s="3"/>
      <c r="D204" s="3"/>
      <c r="E204" s="3"/>
      <c r="F204" s="3"/>
      <c r="G204" s="3"/>
      <c r="H204" s="3"/>
      <c r="I204" s="3"/>
      <c r="J204" s="3"/>
      <c r="K204" s="34"/>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x14ac:dyDescent="0.2">
      <c r="A205" s="841"/>
      <c r="C205" s="3"/>
      <c r="D205" s="3"/>
      <c r="E205" s="3"/>
      <c r="F205" s="3"/>
      <c r="G205" s="3"/>
      <c r="H205" s="3"/>
      <c r="I205" s="3"/>
      <c r="J205" s="3"/>
      <c r="K205" s="34"/>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x14ac:dyDescent="0.2">
      <c r="A206" s="841"/>
      <c r="C206" s="3"/>
      <c r="D206" s="3"/>
      <c r="E206" s="3"/>
      <c r="F206" s="3"/>
      <c r="G206" s="3"/>
      <c r="H206" s="3"/>
      <c r="I206" s="3"/>
      <c r="J206" s="3"/>
      <c r="K206" s="34"/>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x14ac:dyDescent="0.2">
      <c r="A207" s="841"/>
      <c r="C207" s="3"/>
      <c r="D207" s="3"/>
      <c r="E207" s="3"/>
      <c r="F207" s="3"/>
      <c r="G207" s="3"/>
      <c r="H207" s="3"/>
      <c r="I207" s="3"/>
      <c r="J207" s="3"/>
      <c r="K207" s="34"/>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x14ac:dyDescent="0.2">
      <c r="A208" s="841"/>
      <c r="C208" s="3"/>
      <c r="D208" s="3"/>
      <c r="E208" s="3"/>
      <c r="F208" s="3"/>
      <c r="G208" s="3"/>
      <c r="H208" s="3"/>
      <c r="I208" s="3"/>
      <c r="J208" s="3"/>
      <c r="K208" s="34"/>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x14ac:dyDescent="0.2">
      <c r="A209" s="841"/>
      <c r="C209" s="3"/>
      <c r="D209" s="3"/>
      <c r="E209" s="3"/>
      <c r="F209" s="3"/>
      <c r="G209" s="3"/>
      <c r="H209" s="3"/>
      <c r="I209" s="3"/>
      <c r="J209" s="3"/>
      <c r="K209" s="34"/>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x14ac:dyDescent="0.2">
      <c r="A210" s="841"/>
      <c r="C210" s="3"/>
      <c r="D210" s="3"/>
      <c r="E210" s="3"/>
      <c r="F210" s="3"/>
      <c r="G210" s="3"/>
      <c r="H210" s="3"/>
      <c r="I210" s="3"/>
      <c r="J210" s="3"/>
      <c r="K210" s="34"/>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x14ac:dyDescent="0.2">
      <c r="A211" s="841"/>
      <c r="C211" s="3"/>
      <c r="D211" s="3"/>
      <c r="E211" s="3"/>
      <c r="F211" s="3"/>
      <c r="G211" s="3"/>
      <c r="H211" s="3"/>
      <c r="I211" s="3"/>
      <c r="J211" s="3"/>
      <c r="K211" s="34"/>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x14ac:dyDescent="0.2">
      <c r="A212" s="841"/>
      <c r="C212" s="3"/>
      <c r="D212" s="3"/>
      <c r="E212" s="3"/>
      <c r="F212" s="3"/>
      <c r="G212" s="3"/>
      <c r="H212" s="3"/>
      <c r="I212" s="3"/>
      <c r="J212" s="3"/>
      <c r="K212" s="34"/>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x14ac:dyDescent="0.2">
      <c r="A213" s="841"/>
      <c r="C213" s="3"/>
      <c r="D213" s="3"/>
      <c r="E213" s="3"/>
      <c r="F213" s="3"/>
      <c r="G213" s="3"/>
      <c r="H213" s="3"/>
      <c r="I213" s="3"/>
      <c r="J213" s="3"/>
      <c r="K213" s="34"/>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x14ac:dyDescent="0.2">
      <c r="A214" s="841"/>
      <c r="C214" s="3"/>
      <c r="D214" s="3"/>
      <c r="E214" s="3"/>
      <c r="F214" s="3"/>
      <c r="G214" s="3"/>
      <c r="H214" s="3"/>
      <c r="I214" s="3"/>
      <c r="J214" s="3"/>
      <c r="K214" s="34"/>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x14ac:dyDescent="0.2">
      <c r="A215" s="841"/>
      <c r="C215" s="3"/>
      <c r="D215" s="3"/>
      <c r="E215" s="3"/>
      <c r="F215" s="3"/>
      <c r="G215" s="3"/>
      <c r="H215" s="3"/>
      <c r="I215" s="3"/>
      <c r="J215" s="3"/>
      <c r="K215" s="34"/>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x14ac:dyDescent="0.2">
      <c r="A216" s="841"/>
      <c r="C216" s="3"/>
      <c r="D216" s="3"/>
      <c r="E216" s="3"/>
      <c r="F216" s="3"/>
      <c r="G216" s="3"/>
      <c r="H216" s="3"/>
      <c r="I216" s="3"/>
      <c r="J216" s="3"/>
      <c r="K216" s="34"/>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x14ac:dyDescent="0.2">
      <c r="A217" s="841"/>
      <c r="C217" s="3"/>
      <c r="D217" s="3"/>
      <c r="E217" s="3"/>
      <c r="F217" s="3"/>
      <c r="G217" s="3"/>
      <c r="H217" s="3"/>
      <c r="I217" s="3"/>
      <c r="J217" s="3"/>
      <c r="K217" s="34"/>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x14ac:dyDescent="0.2">
      <c r="A218" s="841"/>
      <c r="C218" s="3"/>
      <c r="D218" s="3"/>
      <c r="E218" s="3"/>
      <c r="F218" s="3"/>
      <c r="G218" s="3"/>
      <c r="H218" s="3"/>
      <c r="I218" s="3"/>
      <c r="J218" s="3"/>
      <c r="K218" s="34"/>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x14ac:dyDescent="0.2">
      <c r="A219" s="841"/>
      <c r="C219" s="3"/>
      <c r="D219" s="3"/>
      <c r="E219" s="3"/>
      <c r="F219" s="3"/>
      <c r="G219" s="3"/>
      <c r="H219" s="3"/>
      <c r="I219" s="3"/>
      <c r="J219" s="3"/>
      <c r="K219" s="34"/>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x14ac:dyDescent="0.2">
      <c r="A220" s="841"/>
      <c r="C220" s="3"/>
      <c r="D220" s="3"/>
      <c r="E220" s="3"/>
      <c r="F220" s="3"/>
      <c r="G220" s="3"/>
      <c r="H220" s="3"/>
      <c r="I220" s="3"/>
      <c r="J220" s="3"/>
      <c r="K220" s="34"/>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x14ac:dyDescent="0.2">
      <c r="A221" s="841"/>
      <c r="C221" s="3"/>
      <c r="D221" s="3"/>
      <c r="E221" s="3"/>
      <c r="F221" s="3"/>
      <c r="G221" s="3"/>
      <c r="H221" s="3"/>
      <c r="I221" s="3"/>
      <c r="J221" s="3"/>
      <c r="K221" s="34"/>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x14ac:dyDescent="0.2">
      <c r="A222" s="841"/>
      <c r="C222" s="3"/>
      <c r="D222" s="3"/>
      <c r="E222" s="3"/>
      <c r="F222" s="3"/>
      <c r="G222" s="3"/>
      <c r="H222" s="3"/>
      <c r="I222" s="3"/>
      <c r="J222" s="3"/>
      <c r="K222" s="34"/>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x14ac:dyDescent="0.2">
      <c r="A223" s="841"/>
      <c r="C223" s="3"/>
      <c r="D223" s="3"/>
      <c r="E223" s="3"/>
      <c r="F223" s="3"/>
      <c r="G223" s="3"/>
      <c r="H223" s="3"/>
      <c r="I223" s="3"/>
      <c r="J223" s="3"/>
      <c r="K223" s="34"/>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x14ac:dyDescent="0.2">
      <c r="A224" s="841"/>
      <c r="C224" s="3"/>
      <c r="D224" s="3"/>
      <c r="E224" s="3"/>
      <c r="F224" s="3"/>
      <c r="G224" s="3"/>
      <c r="H224" s="3"/>
      <c r="I224" s="3"/>
      <c r="J224" s="3"/>
      <c r="K224" s="34"/>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x14ac:dyDescent="0.2">
      <c r="A225" s="841"/>
      <c r="C225" s="3"/>
      <c r="D225" s="3"/>
      <c r="E225" s="3"/>
      <c r="F225" s="3"/>
      <c r="G225" s="3"/>
      <c r="H225" s="3"/>
      <c r="I225" s="3"/>
      <c r="J225" s="3"/>
      <c r="K225" s="34"/>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x14ac:dyDescent="0.2">
      <c r="A226" s="841"/>
      <c r="C226" s="3"/>
      <c r="D226" s="3"/>
      <c r="E226" s="3"/>
      <c r="F226" s="3"/>
      <c r="G226" s="3"/>
      <c r="H226" s="3"/>
      <c r="I226" s="3"/>
      <c r="J226" s="3"/>
      <c r="K226" s="34"/>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x14ac:dyDescent="0.2">
      <c r="A227" s="841"/>
      <c r="C227" s="3"/>
      <c r="D227" s="3"/>
      <c r="E227" s="3"/>
      <c r="F227" s="3"/>
      <c r="G227" s="3"/>
      <c r="H227" s="3"/>
      <c r="I227" s="3"/>
      <c r="J227" s="3"/>
      <c r="K227" s="34"/>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x14ac:dyDescent="0.2">
      <c r="A228" s="841"/>
      <c r="C228" s="3"/>
      <c r="D228" s="3"/>
      <c r="E228" s="3"/>
      <c r="F228" s="3"/>
      <c r="G228" s="3"/>
      <c r="H228" s="3"/>
      <c r="I228" s="3"/>
      <c r="J228" s="3"/>
      <c r="K228" s="34"/>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x14ac:dyDescent="0.2">
      <c r="A229" s="841"/>
      <c r="C229" s="3"/>
      <c r="D229" s="3"/>
      <c r="E229" s="3"/>
      <c r="F229" s="3"/>
      <c r="G229" s="3"/>
      <c r="H229" s="3"/>
      <c r="I229" s="3"/>
      <c r="J229" s="3"/>
      <c r="K229" s="34"/>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x14ac:dyDescent="0.2">
      <c r="A230" s="841"/>
      <c r="C230" s="3"/>
      <c r="D230" s="3"/>
      <c r="E230" s="3"/>
      <c r="F230" s="3"/>
      <c r="G230" s="3"/>
      <c r="H230" s="3"/>
      <c r="I230" s="3"/>
      <c r="J230" s="3"/>
      <c r="K230" s="34"/>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x14ac:dyDescent="0.2">
      <c r="A231" s="841"/>
      <c r="C231" s="3"/>
      <c r="D231" s="3"/>
      <c r="E231" s="3"/>
      <c r="F231" s="3"/>
      <c r="G231" s="3"/>
      <c r="H231" s="3"/>
      <c r="I231" s="3"/>
      <c r="J231" s="3"/>
      <c r="K231" s="34"/>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x14ac:dyDescent="0.2">
      <c r="A232" s="841"/>
      <c r="C232" s="3"/>
      <c r="D232" s="3"/>
      <c r="E232" s="3"/>
      <c r="F232" s="3"/>
      <c r="G232" s="3"/>
      <c r="H232" s="3"/>
      <c r="I232" s="3"/>
      <c r="J232" s="3"/>
      <c r="K232" s="34"/>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x14ac:dyDescent="0.2">
      <c r="A233" s="841"/>
      <c r="C233" s="3"/>
      <c r="D233" s="3"/>
      <c r="E233" s="3"/>
      <c r="F233" s="3"/>
      <c r="G233" s="3"/>
      <c r="H233" s="3"/>
      <c r="I233" s="3"/>
      <c r="J233" s="3"/>
      <c r="K233" s="34"/>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x14ac:dyDescent="0.2">
      <c r="A234" s="841"/>
      <c r="C234" s="3"/>
      <c r="D234" s="3"/>
      <c r="E234" s="3"/>
      <c r="F234" s="3"/>
      <c r="G234" s="3"/>
      <c r="H234" s="3"/>
      <c r="I234" s="3"/>
      <c r="J234" s="3"/>
      <c r="K234" s="34"/>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x14ac:dyDescent="0.2">
      <c r="A235" s="841"/>
      <c r="C235" s="3"/>
      <c r="D235" s="3"/>
      <c r="E235" s="3"/>
      <c r="F235" s="3"/>
      <c r="G235" s="3"/>
      <c r="H235" s="3"/>
      <c r="I235" s="3"/>
      <c r="J235" s="3"/>
      <c r="K235" s="34"/>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x14ac:dyDescent="0.2">
      <c r="A236" s="841"/>
      <c r="C236" s="3"/>
      <c r="D236" s="3"/>
      <c r="E236" s="3"/>
      <c r="F236" s="3"/>
      <c r="G236" s="3"/>
      <c r="H236" s="3"/>
      <c r="I236" s="3"/>
      <c r="J236" s="3"/>
      <c r="K236" s="34"/>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x14ac:dyDescent="0.2">
      <c r="A237" s="841"/>
      <c r="C237" s="3"/>
      <c r="D237" s="3"/>
      <c r="E237" s="3"/>
      <c r="F237" s="3"/>
      <c r="G237" s="3"/>
      <c r="H237" s="3"/>
      <c r="I237" s="3"/>
      <c r="J237" s="3"/>
      <c r="K237" s="34"/>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x14ac:dyDescent="0.2">
      <c r="A238" s="841"/>
      <c r="C238" s="3"/>
      <c r="D238" s="3"/>
      <c r="E238" s="3"/>
      <c r="F238" s="3"/>
      <c r="G238" s="3"/>
      <c r="H238" s="3"/>
      <c r="I238" s="3"/>
      <c r="J238" s="3"/>
      <c r="K238" s="34"/>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x14ac:dyDescent="0.2">
      <c r="A239" s="841"/>
      <c r="C239" s="3"/>
      <c r="D239" s="3"/>
      <c r="E239" s="3"/>
      <c r="F239" s="3"/>
      <c r="G239" s="3"/>
      <c r="H239" s="3"/>
      <c r="I239" s="3"/>
      <c r="J239" s="3"/>
      <c r="K239" s="34"/>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x14ac:dyDescent="0.2">
      <c r="A240" s="841"/>
      <c r="C240" s="3"/>
      <c r="D240" s="3"/>
      <c r="E240" s="3"/>
      <c r="F240" s="3"/>
      <c r="G240" s="3"/>
      <c r="H240" s="3"/>
      <c r="I240" s="3"/>
      <c r="J240" s="3"/>
      <c r="K240" s="34"/>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x14ac:dyDescent="0.2">
      <c r="A241" s="841"/>
      <c r="C241" s="3"/>
      <c r="D241" s="3"/>
      <c r="E241" s="3"/>
      <c r="F241" s="3"/>
      <c r="G241" s="3"/>
      <c r="H241" s="3"/>
      <c r="I241" s="3"/>
      <c r="J241" s="3"/>
      <c r="K241" s="34"/>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x14ac:dyDescent="0.2">
      <c r="A242" s="841"/>
      <c r="C242" s="3"/>
      <c r="D242" s="3"/>
      <c r="E242" s="3"/>
      <c r="F242" s="3"/>
      <c r="G242" s="3"/>
      <c r="H242" s="3"/>
      <c r="I242" s="3"/>
      <c r="J242" s="3"/>
      <c r="K242" s="34"/>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x14ac:dyDescent="0.2">
      <c r="A243" s="841"/>
      <c r="C243" s="3"/>
      <c r="D243" s="3"/>
      <c r="E243" s="3"/>
      <c r="F243" s="3"/>
      <c r="G243" s="3"/>
      <c r="H243" s="3"/>
      <c r="I243" s="3"/>
      <c r="J243" s="3"/>
      <c r="K243" s="34"/>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x14ac:dyDescent="0.2">
      <c r="A244" s="841"/>
      <c r="C244" s="3"/>
      <c r="D244" s="3"/>
      <c r="E244" s="3"/>
      <c r="F244" s="3"/>
      <c r="G244" s="3"/>
      <c r="H244" s="3"/>
      <c r="I244" s="3"/>
      <c r="J244" s="3"/>
      <c r="K244" s="34"/>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x14ac:dyDescent="0.2">
      <c r="A245" s="841"/>
      <c r="C245" s="3"/>
      <c r="D245" s="3"/>
      <c r="E245" s="3"/>
      <c r="F245" s="3"/>
      <c r="G245" s="3"/>
      <c r="H245" s="3"/>
      <c r="I245" s="3"/>
      <c r="J245" s="3"/>
      <c r="K245" s="34"/>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x14ac:dyDescent="0.2">
      <c r="A246" s="841"/>
      <c r="C246" s="3"/>
      <c r="D246" s="3"/>
      <c r="E246" s="3"/>
      <c r="F246" s="3"/>
      <c r="G246" s="3"/>
      <c r="H246" s="3"/>
      <c r="I246" s="3"/>
      <c r="J246" s="3"/>
      <c r="K246" s="34"/>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x14ac:dyDescent="0.2">
      <c r="A247" s="841"/>
      <c r="C247" s="3"/>
      <c r="D247" s="3"/>
      <c r="E247" s="3"/>
      <c r="F247" s="3"/>
      <c r="G247" s="3"/>
      <c r="H247" s="3"/>
      <c r="I247" s="3"/>
      <c r="J247" s="3"/>
      <c r="K247" s="34"/>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x14ac:dyDescent="0.2">
      <c r="A248" s="841"/>
      <c r="C248" s="3"/>
      <c r="D248" s="3"/>
      <c r="E248" s="3"/>
      <c r="F248" s="3"/>
      <c r="G248" s="3"/>
      <c r="H248" s="3"/>
      <c r="I248" s="3"/>
      <c r="J248" s="3"/>
      <c r="K248" s="34"/>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x14ac:dyDescent="0.2">
      <c r="A249" s="841"/>
      <c r="C249" s="3"/>
      <c r="D249" s="3"/>
      <c r="E249" s="3"/>
      <c r="F249" s="3"/>
      <c r="G249" s="3"/>
      <c r="H249" s="3"/>
      <c r="I249" s="3"/>
      <c r="J249" s="3"/>
      <c r="K249" s="34"/>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x14ac:dyDescent="0.2">
      <c r="A250" s="841"/>
      <c r="C250" s="3"/>
      <c r="D250" s="3"/>
      <c r="E250" s="3"/>
      <c r="F250" s="3"/>
      <c r="G250" s="3"/>
      <c r="H250" s="3"/>
      <c r="I250" s="3"/>
      <c r="J250" s="3"/>
      <c r="K250" s="34"/>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x14ac:dyDescent="0.2">
      <c r="A251" s="841"/>
      <c r="C251" s="3"/>
      <c r="D251" s="3"/>
      <c r="E251" s="3"/>
      <c r="F251" s="3"/>
      <c r="G251" s="3"/>
      <c r="H251" s="3"/>
      <c r="I251" s="3"/>
      <c r="J251" s="3"/>
      <c r="K251" s="34"/>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x14ac:dyDescent="0.2">
      <c r="A252" s="841"/>
      <c r="C252" s="3"/>
      <c r="D252" s="3"/>
      <c r="E252" s="3"/>
      <c r="F252" s="3"/>
      <c r="G252" s="3"/>
      <c r="H252" s="3"/>
      <c r="I252" s="3"/>
      <c r="J252" s="3"/>
      <c r="K252" s="34"/>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x14ac:dyDescent="0.2">
      <c r="A253" s="841"/>
      <c r="C253" s="3"/>
      <c r="D253" s="3"/>
      <c r="E253" s="3"/>
      <c r="F253" s="3"/>
      <c r="G253" s="3"/>
      <c r="H253" s="3"/>
      <c r="I253" s="3"/>
      <c r="J253" s="3"/>
      <c r="K253" s="34"/>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x14ac:dyDescent="0.2">
      <c r="A254" s="841"/>
      <c r="C254" s="3"/>
      <c r="D254" s="3"/>
      <c r="E254" s="3"/>
      <c r="F254" s="3"/>
      <c r="G254" s="3"/>
      <c r="H254" s="3"/>
      <c r="I254" s="3"/>
      <c r="J254" s="3"/>
      <c r="K254" s="34"/>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x14ac:dyDescent="0.2">
      <c r="A255" s="841"/>
      <c r="C255" s="3"/>
      <c r="D255" s="3"/>
      <c r="E255" s="3"/>
      <c r="F255" s="3"/>
      <c r="G255" s="3"/>
      <c r="H255" s="3"/>
      <c r="I255" s="3"/>
      <c r="J255" s="3"/>
      <c r="K255" s="34"/>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x14ac:dyDescent="0.2">
      <c r="A256" s="841"/>
      <c r="C256" s="3"/>
      <c r="D256" s="3"/>
      <c r="E256" s="3"/>
      <c r="F256" s="3"/>
      <c r="G256" s="3"/>
      <c r="H256" s="3"/>
      <c r="I256" s="3"/>
      <c r="J256" s="3"/>
      <c r="K256" s="34"/>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x14ac:dyDescent="0.2">
      <c r="A257" s="841"/>
      <c r="C257" s="3"/>
      <c r="D257" s="3"/>
      <c r="E257" s="3"/>
      <c r="F257" s="3"/>
      <c r="G257" s="3"/>
      <c r="H257" s="3"/>
      <c r="I257" s="3"/>
      <c r="J257" s="3"/>
      <c r="K257" s="34"/>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x14ac:dyDescent="0.2">
      <c r="A258" s="841"/>
      <c r="C258" s="3"/>
      <c r="D258" s="3"/>
      <c r="E258" s="3"/>
      <c r="F258" s="3"/>
      <c r="G258" s="3"/>
      <c r="H258" s="3"/>
      <c r="I258" s="3"/>
      <c r="J258" s="3"/>
      <c r="K258" s="34"/>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x14ac:dyDescent="0.2">
      <c r="A259" s="841"/>
      <c r="C259" s="3"/>
      <c r="D259" s="3"/>
      <c r="E259" s="3"/>
      <c r="F259" s="3"/>
      <c r="G259" s="3"/>
      <c r="H259" s="3"/>
      <c r="I259" s="3"/>
      <c r="J259" s="3"/>
      <c r="K259" s="34"/>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x14ac:dyDescent="0.2">
      <c r="A260" s="841"/>
      <c r="C260" s="3"/>
      <c r="D260" s="3"/>
      <c r="E260" s="3"/>
      <c r="F260" s="3"/>
      <c r="G260" s="3"/>
      <c r="H260" s="3"/>
      <c r="I260" s="3"/>
      <c r="J260" s="3"/>
      <c r="K260" s="34"/>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x14ac:dyDescent="0.2">
      <c r="A261" s="841"/>
      <c r="C261" s="3"/>
      <c r="D261" s="3"/>
      <c r="E261" s="3"/>
      <c r="F261" s="3"/>
      <c r="G261" s="3"/>
      <c r="H261" s="3"/>
      <c r="I261" s="3"/>
      <c r="J261" s="3"/>
      <c r="K261" s="34"/>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x14ac:dyDescent="0.2">
      <c r="A262" s="841"/>
      <c r="C262" s="3"/>
      <c r="D262" s="3"/>
      <c r="E262" s="3"/>
      <c r="F262" s="3"/>
      <c r="G262" s="3"/>
      <c r="H262" s="3"/>
      <c r="I262" s="3"/>
      <c r="J262" s="3"/>
      <c r="K262" s="34"/>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x14ac:dyDescent="0.2">
      <c r="A263" s="841"/>
      <c r="C263" s="3"/>
      <c r="D263" s="3"/>
      <c r="E263" s="3"/>
      <c r="F263" s="3"/>
      <c r="G263" s="3"/>
      <c r="H263" s="3"/>
      <c r="I263" s="3"/>
      <c r="J263" s="3"/>
      <c r="K263" s="34"/>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x14ac:dyDescent="0.2">
      <c r="A264" s="841"/>
      <c r="C264" s="3"/>
      <c r="D264" s="3"/>
      <c r="E264" s="3"/>
      <c r="F264" s="3"/>
      <c r="G264" s="3"/>
      <c r="H264" s="3"/>
      <c r="I264" s="3"/>
      <c r="J264" s="3"/>
      <c r="K264" s="34"/>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x14ac:dyDescent="0.2">
      <c r="A265" s="841"/>
      <c r="C265" s="3"/>
      <c r="D265" s="3"/>
      <c r="E265" s="3"/>
      <c r="F265" s="3"/>
      <c r="G265" s="3"/>
      <c r="H265" s="3"/>
      <c r="I265" s="3"/>
      <c r="J265" s="3"/>
      <c r="K265" s="34"/>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x14ac:dyDescent="0.2">
      <c r="A266" s="841"/>
      <c r="C266" s="3"/>
      <c r="D266" s="3"/>
      <c r="E266" s="3"/>
      <c r="F266" s="3"/>
      <c r="G266" s="3"/>
      <c r="H266" s="3"/>
      <c r="I266" s="3"/>
      <c r="J266" s="3"/>
      <c r="K266" s="34"/>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x14ac:dyDescent="0.2">
      <c r="A267" s="841"/>
      <c r="C267" s="3"/>
      <c r="D267" s="3"/>
      <c r="E267" s="3"/>
      <c r="F267" s="3"/>
      <c r="G267" s="3"/>
      <c r="H267" s="3"/>
      <c r="I267" s="3"/>
      <c r="J267" s="3"/>
      <c r="K267" s="34"/>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x14ac:dyDescent="0.2">
      <c r="A268" s="841"/>
      <c r="C268" s="3"/>
      <c r="D268" s="3"/>
      <c r="E268" s="3"/>
      <c r="F268" s="3"/>
      <c r="G268" s="3"/>
      <c r="H268" s="3"/>
      <c r="I268" s="3"/>
      <c r="J268" s="3"/>
      <c r="K268" s="34"/>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x14ac:dyDescent="0.2">
      <c r="A269" s="841"/>
      <c r="C269" s="3"/>
      <c r="D269" s="3"/>
      <c r="E269" s="3"/>
      <c r="F269" s="3"/>
      <c r="G269" s="3"/>
      <c r="H269" s="3"/>
      <c r="I269" s="3"/>
      <c r="J269" s="3"/>
      <c r="K269" s="34"/>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x14ac:dyDescent="0.2">
      <c r="A270" s="841"/>
      <c r="C270" s="3"/>
      <c r="D270" s="3"/>
      <c r="E270" s="3"/>
      <c r="F270" s="3"/>
      <c r="G270" s="3"/>
      <c r="H270" s="3"/>
      <c r="I270" s="3"/>
      <c r="J270" s="3"/>
      <c r="K270" s="34"/>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x14ac:dyDescent="0.2">
      <c r="A271" s="841"/>
      <c r="C271" s="3"/>
      <c r="D271" s="3"/>
      <c r="E271" s="3"/>
      <c r="F271" s="3"/>
      <c r="G271" s="3"/>
      <c r="H271" s="3"/>
      <c r="I271" s="3"/>
      <c r="J271" s="3"/>
      <c r="K271" s="34"/>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x14ac:dyDescent="0.2">
      <c r="A272" s="841"/>
      <c r="C272" s="3"/>
      <c r="D272" s="3"/>
      <c r="E272" s="3"/>
      <c r="F272" s="3"/>
      <c r="G272" s="3"/>
      <c r="H272" s="3"/>
      <c r="I272" s="3"/>
      <c r="J272" s="3"/>
      <c r="K272" s="34"/>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x14ac:dyDescent="0.2">
      <c r="A273" s="841"/>
      <c r="C273" s="3"/>
      <c r="D273" s="3"/>
      <c r="E273" s="3"/>
      <c r="F273" s="3"/>
      <c r="G273" s="3"/>
      <c r="H273" s="3"/>
      <c r="I273" s="3"/>
      <c r="J273" s="3"/>
      <c r="K273" s="34"/>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x14ac:dyDescent="0.2">
      <c r="A274" s="841"/>
      <c r="C274" s="3"/>
      <c r="D274" s="3"/>
      <c r="E274" s="3"/>
      <c r="F274" s="3"/>
      <c r="G274" s="3"/>
      <c r="H274" s="3"/>
      <c r="I274" s="3"/>
      <c r="J274" s="3"/>
      <c r="K274" s="34"/>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x14ac:dyDescent="0.2">
      <c r="A275" s="841"/>
      <c r="C275" s="3"/>
      <c r="D275" s="3"/>
      <c r="E275" s="3"/>
      <c r="F275" s="3"/>
      <c r="G275" s="3"/>
      <c r="H275" s="3"/>
      <c r="I275" s="3"/>
      <c r="J275" s="3"/>
      <c r="K275" s="34"/>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x14ac:dyDescent="0.2">
      <c r="A276" s="841"/>
      <c r="C276" s="3"/>
      <c r="D276" s="3"/>
      <c r="E276" s="3"/>
      <c r="F276" s="3"/>
      <c r="G276" s="3"/>
      <c r="H276" s="3"/>
      <c r="I276" s="3"/>
      <c r="J276" s="3"/>
      <c r="K276" s="34"/>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x14ac:dyDescent="0.2">
      <c r="A277" s="841"/>
      <c r="C277" s="3"/>
      <c r="D277" s="3"/>
      <c r="E277" s="3"/>
      <c r="F277" s="3"/>
      <c r="G277" s="3"/>
      <c r="H277" s="3"/>
      <c r="I277" s="3"/>
      <c r="J277" s="3"/>
      <c r="K277" s="34"/>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x14ac:dyDescent="0.2">
      <c r="A278" s="841"/>
      <c r="C278" s="3"/>
      <c r="D278" s="3"/>
      <c r="E278" s="3"/>
      <c r="F278" s="3"/>
      <c r="G278" s="3"/>
      <c r="H278" s="3"/>
      <c r="I278" s="3"/>
      <c r="J278" s="3"/>
      <c r="K278" s="34"/>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x14ac:dyDescent="0.2">
      <c r="A279" s="841"/>
      <c r="C279" s="3"/>
      <c r="D279" s="3"/>
      <c r="E279" s="3"/>
      <c r="F279" s="3"/>
      <c r="G279" s="3"/>
      <c r="H279" s="3"/>
      <c r="I279" s="3"/>
      <c r="J279" s="3"/>
      <c r="K279" s="34"/>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x14ac:dyDescent="0.2">
      <c r="A280" s="841"/>
      <c r="C280" s="3"/>
      <c r="D280" s="3"/>
      <c r="E280" s="3"/>
      <c r="F280" s="3"/>
      <c r="G280" s="3"/>
      <c r="H280" s="3"/>
      <c r="I280" s="3"/>
      <c r="J280" s="3"/>
      <c r="K280" s="34"/>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x14ac:dyDescent="0.2">
      <c r="A281" s="841"/>
      <c r="C281" s="3"/>
      <c r="D281" s="3"/>
      <c r="E281" s="3"/>
      <c r="F281" s="3"/>
      <c r="G281" s="3"/>
      <c r="H281" s="3"/>
      <c r="I281" s="3"/>
      <c r="J281" s="3"/>
      <c r="K281" s="34"/>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x14ac:dyDescent="0.2">
      <c r="A282" s="841"/>
      <c r="C282" s="3"/>
      <c r="D282" s="3"/>
      <c r="E282" s="3"/>
      <c r="F282" s="3"/>
      <c r="G282" s="3"/>
      <c r="H282" s="3"/>
      <c r="I282" s="3"/>
      <c r="J282" s="3"/>
      <c r="K282" s="34"/>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x14ac:dyDescent="0.2">
      <c r="A283" s="841"/>
      <c r="C283" s="3"/>
      <c r="D283" s="3"/>
      <c r="E283" s="3"/>
      <c r="F283" s="3"/>
      <c r="G283" s="3"/>
      <c r="H283" s="3"/>
      <c r="I283" s="3"/>
      <c r="J283" s="3"/>
      <c r="K283" s="34"/>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x14ac:dyDescent="0.2">
      <c r="A284" s="841"/>
      <c r="C284" s="3"/>
      <c r="D284" s="3"/>
      <c r="E284" s="3"/>
      <c r="F284" s="3"/>
      <c r="G284" s="3"/>
      <c r="H284" s="3"/>
      <c r="I284" s="3"/>
      <c r="J284" s="3"/>
      <c r="K284" s="34"/>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x14ac:dyDescent="0.2">
      <c r="A285" s="841"/>
      <c r="C285" s="3"/>
      <c r="D285" s="3"/>
      <c r="E285" s="3"/>
      <c r="F285" s="3"/>
      <c r="G285" s="3"/>
      <c r="H285" s="3"/>
      <c r="I285" s="3"/>
      <c r="J285" s="3"/>
      <c r="K285" s="34"/>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x14ac:dyDescent="0.2">
      <c r="A286" s="841"/>
      <c r="C286" s="3"/>
      <c r="D286" s="3"/>
      <c r="E286" s="3"/>
      <c r="F286" s="3"/>
      <c r="G286" s="3"/>
      <c r="H286" s="3"/>
      <c r="I286" s="3"/>
      <c r="J286" s="3"/>
      <c r="K286" s="34"/>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x14ac:dyDescent="0.2">
      <c r="A287" s="841"/>
      <c r="C287" s="3"/>
      <c r="D287" s="3"/>
      <c r="E287" s="3"/>
      <c r="F287" s="3"/>
      <c r="G287" s="3"/>
      <c r="H287" s="3"/>
      <c r="I287" s="3"/>
      <c r="J287" s="3"/>
      <c r="K287" s="34"/>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x14ac:dyDescent="0.2">
      <c r="A288" s="841"/>
      <c r="C288" s="3"/>
      <c r="D288" s="3"/>
      <c r="E288" s="3"/>
      <c r="F288" s="3"/>
      <c r="G288" s="3"/>
      <c r="H288" s="3"/>
      <c r="I288" s="3"/>
      <c r="J288" s="3"/>
      <c r="K288" s="34"/>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x14ac:dyDescent="0.2">
      <c r="A289" s="841"/>
      <c r="C289" s="3"/>
      <c r="D289" s="3"/>
      <c r="E289" s="3"/>
      <c r="F289" s="3"/>
      <c r="G289" s="3"/>
      <c r="H289" s="3"/>
      <c r="I289" s="3"/>
      <c r="J289" s="3"/>
      <c r="K289" s="34"/>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x14ac:dyDescent="0.2">
      <c r="A290" s="841"/>
      <c r="C290" s="3"/>
      <c r="D290" s="3"/>
      <c r="E290" s="3"/>
      <c r="F290" s="3"/>
      <c r="G290" s="3"/>
      <c r="H290" s="3"/>
      <c r="I290" s="3"/>
      <c r="J290" s="3"/>
      <c r="K290" s="34"/>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x14ac:dyDescent="0.2">
      <c r="A291" s="841"/>
      <c r="C291" s="3"/>
      <c r="D291" s="3"/>
      <c r="E291" s="3"/>
      <c r="F291" s="3"/>
      <c r="G291" s="3"/>
      <c r="H291" s="3"/>
      <c r="I291" s="3"/>
      <c r="J291" s="3"/>
      <c r="K291" s="34"/>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x14ac:dyDescent="0.2">
      <c r="A292" s="841"/>
      <c r="C292" s="3"/>
      <c r="D292" s="3"/>
      <c r="E292" s="3"/>
      <c r="F292" s="3"/>
      <c r="G292" s="3"/>
      <c r="H292" s="3"/>
      <c r="I292" s="3"/>
      <c r="J292" s="3"/>
      <c r="K292" s="34"/>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x14ac:dyDescent="0.2">
      <c r="A293" s="841"/>
      <c r="C293" s="3"/>
      <c r="D293" s="3"/>
      <c r="E293" s="3"/>
      <c r="F293" s="3"/>
      <c r="G293" s="3"/>
      <c r="H293" s="3"/>
      <c r="I293" s="3"/>
      <c r="J293" s="3"/>
      <c r="K293" s="34"/>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x14ac:dyDescent="0.2">
      <c r="A294" s="841"/>
      <c r="C294" s="3"/>
      <c r="D294" s="3"/>
      <c r="E294" s="3"/>
      <c r="F294" s="3"/>
      <c r="G294" s="3"/>
      <c r="H294" s="3"/>
      <c r="I294" s="3"/>
      <c r="J294" s="3"/>
      <c r="K294" s="34"/>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x14ac:dyDescent="0.2">
      <c r="A295" s="841"/>
      <c r="C295" s="3"/>
      <c r="D295" s="3"/>
      <c r="E295" s="3"/>
      <c r="F295" s="3"/>
      <c r="G295" s="3"/>
      <c r="H295" s="3"/>
      <c r="I295" s="3"/>
      <c r="J295" s="3"/>
      <c r="K295" s="34"/>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x14ac:dyDescent="0.2">
      <c r="A296" s="841"/>
      <c r="C296" s="3"/>
      <c r="D296" s="3"/>
      <c r="E296" s="3"/>
      <c r="F296" s="3"/>
      <c r="G296" s="3"/>
      <c r="H296" s="3"/>
      <c r="I296" s="3"/>
      <c r="J296" s="3"/>
      <c r="K296" s="34"/>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x14ac:dyDescent="0.2">
      <c r="A297" s="841"/>
      <c r="C297" s="3"/>
      <c r="D297" s="3"/>
      <c r="E297" s="3"/>
      <c r="F297" s="3"/>
      <c r="G297" s="3"/>
      <c r="H297" s="3"/>
      <c r="I297" s="3"/>
      <c r="J297" s="3"/>
      <c r="K297" s="34"/>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x14ac:dyDescent="0.2">
      <c r="A298" s="841"/>
      <c r="C298" s="3"/>
      <c r="D298" s="3"/>
      <c r="E298" s="3"/>
      <c r="F298" s="3"/>
      <c r="G298" s="3"/>
      <c r="H298" s="3"/>
      <c r="I298" s="3"/>
      <c r="J298" s="3"/>
      <c r="K298" s="34"/>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x14ac:dyDescent="0.2">
      <c r="A299" s="841"/>
      <c r="C299" s="3"/>
      <c r="D299" s="3"/>
      <c r="E299" s="3"/>
      <c r="F299" s="3"/>
      <c r="G299" s="3"/>
      <c r="H299" s="3"/>
      <c r="I299" s="3"/>
      <c r="J299" s="3"/>
      <c r="K299" s="34"/>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x14ac:dyDescent="0.2">
      <c r="A300" s="841"/>
      <c r="C300" s="3"/>
      <c r="D300" s="3"/>
      <c r="E300" s="3"/>
      <c r="F300" s="3"/>
      <c r="G300" s="3"/>
      <c r="H300" s="3"/>
      <c r="I300" s="3"/>
      <c r="J300" s="3"/>
      <c r="K300" s="34"/>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x14ac:dyDescent="0.2">
      <c r="A301" s="841"/>
      <c r="C301" s="3"/>
      <c r="D301" s="3"/>
      <c r="E301" s="3"/>
      <c r="F301" s="3"/>
      <c r="G301" s="3"/>
      <c r="H301" s="3"/>
      <c r="I301" s="3"/>
      <c r="J301" s="3"/>
      <c r="K301" s="34"/>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x14ac:dyDescent="0.2">
      <c r="A302" s="841"/>
      <c r="C302" s="3"/>
      <c r="D302" s="3"/>
      <c r="E302" s="3"/>
      <c r="F302" s="3"/>
      <c r="G302" s="3"/>
      <c r="H302" s="3"/>
      <c r="I302" s="3"/>
      <c r="J302" s="3"/>
      <c r="K302" s="34"/>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x14ac:dyDescent="0.2">
      <c r="A303" s="841"/>
      <c r="C303" s="3"/>
      <c r="D303" s="3"/>
      <c r="E303" s="3"/>
      <c r="F303" s="3"/>
      <c r="G303" s="3"/>
      <c r="H303" s="3"/>
      <c r="I303" s="3"/>
      <c r="J303" s="3"/>
      <c r="K303" s="34"/>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x14ac:dyDescent="0.2">
      <c r="A304" s="841"/>
      <c r="C304" s="3"/>
      <c r="D304" s="3"/>
      <c r="E304" s="3"/>
      <c r="F304" s="3"/>
      <c r="G304" s="3"/>
      <c r="H304" s="3"/>
      <c r="I304" s="3"/>
      <c r="J304" s="3"/>
      <c r="K304" s="34"/>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x14ac:dyDescent="0.2">
      <c r="A305" s="841"/>
      <c r="C305" s="3"/>
      <c r="D305" s="3"/>
      <c r="E305" s="3"/>
      <c r="F305" s="3"/>
      <c r="G305" s="3"/>
      <c r="H305" s="3"/>
      <c r="I305" s="3"/>
      <c r="J305" s="3"/>
      <c r="K305" s="34"/>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x14ac:dyDescent="0.2">
      <c r="A306" s="841"/>
      <c r="C306" s="3"/>
      <c r="D306" s="3"/>
      <c r="E306" s="3"/>
      <c r="F306" s="3"/>
      <c r="G306" s="3"/>
      <c r="H306" s="3"/>
      <c r="I306" s="3"/>
      <c r="J306" s="3"/>
      <c r="K306" s="34"/>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x14ac:dyDescent="0.2">
      <c r="A307" s="841"/>
      <c r="C307" s="3"/>
      <c r="D307" s="3"/>
      <c r="E307" s="3"/>
      <c r="F307" s="3"/>
      <c r="G307" s="3"/>
      <c r="H307" s="3"/>
      <c r="I307" s="3"/>
      <c r="J307" s="3"/>
      <c r="K307" s="34"/>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x14ac:dyDescent="0.2">
      <c r="A308" s="841"/>
      <c r="C308" s="3"/>
      <c r="D308" s="3"/>
      <c r="E308" s="3"/>
      <c r="F308" s="3"/>
      <c r="G308" s="3"/>
      <c r="H308" s="3"/>
      <c r="I308" s="3"/>
      <c r="J308" s="3"/>
      <c r="K308" s="34"/>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x14ac:dyDescent="0.2">
      <c r="A309" s="841"/>
      <c r="C309" s="3"/>
      <c r="D309" s="3"/>
      <c r="E309" s="3"/>
      <c r="F309" s="3"/>
      <c r="G309" s="3"/>
      <c r="H309" s="3"/>
      <c r="I309" s="3"/>
      <c r="J309" s="3"/>
      <c r="K309" s="34"/>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x14ac:dyDescent="0.2">
      <c r="A310" s="841"/>
      <c r="C310" s="3"/>
      <c r="D310" s="3"/>
      <c r="E310" s="3"/>
      <c r="F310" s="3"/>
      <c r="G310" s="3"/>
      <c r="H310" s="3"/>
      <c r="I310" s="3"/>
      <c r="J310" s="3"/>
      <c r="K310" s="34"/>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x14ac:dyDescent="0.2">
      <c r="A311" s="841"/>
      <c r="C311" s="3"/>
      <c r="D311" s="3"/>
      <c r="E311" s="3"/>
      <c r="F311" s="3"/>
      <c r="G311" s="3"/>
      <c r="H311" s="3"/>
      <c r="I311" s="3"/>
      <c r="J311" s="3"/>
      <c r="K311" s="34"/>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x14ac:dyDescent="0.2">
      <c r="A312" s="841"/>
      <c r="C312" s="3"/>
      <c r="D312" s="3"/>
      <c r="E312" s="3"/>
      <c r="F312" s="3"/>
      <c r="G312" s="3"/>
      <c r="H312" s="3"/>
      <c r="I312" s="3"/>
      <c r="J312" s="3"/>
      <c r="K312" s="34"/>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x14ac:dyDescent="0.2">
      <c r="A313" s="841"/>
      <c r="C313" s="3"/>
      <c r="D313" s="3"/>
      <c r="E313" s="3"/>
      <c r="F313" s="3"/>
      <c r="G313" s="3"/>
      <c r="H313" s="3"/>
      <c r="I313" s="3"/>
      <c r="J313" s="3"/>
      <c r="K313" s="34"/>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x14ac:dyDescent="0.2">
      <c r="A314" s="841"/>
      <c r="C314" s="3"/>
      <c r="D314" s="3"/>
      <c r="E314" s="3"/>
      <c r="F314" s="3"/>
      <c r="G314" s="3"/>
      <c r="H314" s="3"/>
      <c r="I314" s="3"/>
      <c r="J314" s="3"/>
      <c r="K314" s="34"/>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x14ac:dyDescent="0.2">
      <c r="A315" s="841"/>
      <c r="C315" s="3"/>
      <c r="D315" s="3"/>
      <c r="E315" s="3"/>
      <c r="F315" s="3"/>
      <c r="G315" s="3"/>
      <c r="H315" s="3"/>
      <c r="I315" s="3"/>
      <c r="J315" s="3"/>
      <c r="K315" s="34"/>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x14ac:dyDescent="0.2">
      <c r="A316" s="841"/>
      <c r="C316" s="3"/>
      <c r="D316" s="3"/>
      <c r="E316" s="3"/>
      <c r="F316" s="3"/>
      <c r="G316" s="3"/>
      <c r="H316" s="3"/>
      <c r="I316" s="3"/>
      <c r="J316" s="3"/>
      <c r="K316" s="34"/>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x14ac:dyDescent="0.2">
      <c r="A317" s="841"/>
      <c r="C317" s="3"/>
      <c r="D317" s="3"/>
      <c r="E317" s="3"/>
      <c r="F317" s="3"/>
      <c r="G317" s="3"/>
      <c r="H317" s="3"/>
      <c r="I317" s="3"/>
      <c r="J317" s="3"/>
      <c r="K317" s="34"/>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x14ac:dyDescent="0.2">
      <c r="A318" s="841"/>
      <c r="C318" s="3"/>
      <c r="D318" s="3"/>
      <c r="E318" s="3"/>
      <c r="F318" s="3"/>
      <c r="G318" s="3"/>
      <c r="H318" s="3"/>
      <c r="I318" s="3"/>
      <c r="J318" s="3"/>
      <c r="K318" s="34"/>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x14ac:dyDescent="0.2">
      <c r="A319" s="841"/>
      <c r="C319" s="3"/>
      <c r="D319" s="3"/>
      <c r="E319" s="3"/>
      <c r="F319" s="3"/>
      <c r="G319" s="3"/>
      <c r="H319" s="3"/>
      <c r="I319" s="3"/>
      <c r="J319" s="3"/>
      <c r="K319" s="34"/>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x14ac:dyDescent="0.2">
      <c r="A320" s="841"/>
      <c r="C320" s="3"/>
      <c r="D320" s="3"/>
      <c r="E320" s="3"/>
      <c r="F320" s="3"/>
      <c r="G320" s="3"/>
      <c r="H320" s="3"/>
      <c r="I320" s="3"/>
      <c r="J320" s="3"/>
      <c r="K320" s="34"/>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x14ac:dyDescent="0.2">
      <c r="A321" s="841"/>
      <c r="C321" s="3"/>
      <c r="D321" s="3"/>
      <c r="E321" s="3"/>
      <c r="F321" s="3"/>
      <c r="G321" s="3"/>
      <c r="H321" s="3"/>
      <c r="I321" s="3"/>
      <c r="J321" s="3"/>
      <c r="K321" s="34"/>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x14ac:dyDescent="0.2">
      <c r="A322" s="841"/>
      <c r="C322" s="3"/>
      <c r="D322" s="3"/>
      <c r="E322" s="3"/>
      <c r="F322" s="3"/>
      <c r="G322" s="3"/>
      <c r="H322" s="3"/>
      <c r="I322" s="3"/>
      <c r="J322" s="3"/>
      <c r="K322" s="34"/>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x14ac:dyDescent="0.2">
      <c r="A323" s="841"/>
      <c r="C323" s="3"/>
      <c r="D323" s="3"/>
      <c r="E323" s="3"/>
      <c r="F323" s="3"/>
      <c r="G323" s="3"/>
      <c r="H323" s="3"/>
      <c r="I323" s="3"/>
      <c r="J323" s="3"/>
      <c r="K323" s="34"/>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x14ac:dyDescent="0.2">
      <c r="A324" s="841"/>
      <c r="C324" s="3"/>
      <c r="D324" s="3"/>
      <c r="E324" s="3"/>
      <c r="F324" s="3"/>
      <c r="G324" s="3"/>
      <c r="H324" s="3"/>
      <c r="I324" s="3"/>
      <c r="J324" s="3"/>
      <c r="K324" s="34"/>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x14ac:dyDescent="0.2">
      <c r="A325" s="841"/>
      <c r="C325" s="3"/>
      <c r="D325" s="3"/>
      <c r="E325" s="3"/>
      <c r="F325" s="3"/>
      <c r="G325" s="3"/>
      <c r="H325" s="3"/>
      <c r="I325" s="3"/>
      <c r="J325" s="3"/>
      <c r="K325" s="34"/>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x14ac:dyDescent="0.2">
      <c r="A326" s="841"/>
      <c r="C326" s="3"/>
      <c r="D326" s="3"/>
      <c r="E326" s="3"/>
      <c r="F326" s="3"/>
      <c r="G326" s="3"/>
      <c r="H326" s="3"/>
      <c r="I326" s="3"/>
      <c r="J326" s="3"/>
      <c r="K326" s="34"/>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x14ac:dyDescent="0.2">
      <c r="A327" s="841"/>
      <c r="C327" s="3"/>
      <c r="D327" s="3"/>
      <c r="E327" s="3"/>
      <c r="F327" s="3"/>
      <c r="G327" s="3"/>
      <c r="H327" s="3"/>
      <c r="I327" s="3"/>
      <c r="J327" s="3"/>
      <c r="K327" s="34"/>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x14ac:dyDescent="0.2">
      <c r="A328" s="841"/>
      <c r="C328" s="3"/>
      <c r="D328" s="3"/>
      <c r="E328" s="3"/>
      <c r="F328" s="3"/>
      <c r="G328" s="3"/>
      <c r="H328" s="3"/>
      <c r="I328" s="3"/>
      <c r="J328" s="3"/>
      <c r="K328" s="34"/>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x14ac:dyDescent="0.2">
      <c r="A329" s="841"/>
      <c r="C329" s="3"/>
      <c r="D329" s="3"/>
      <c r="E329" s="3"/>
      <c r="F329" s="3"/>
      <c r="G329" s="3"/>
      <c r="H329" s="3"/>
      <c r="I329" s="3"/>
      <c r="J329" s="3"/>
      <c r="K329" s="34"/>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x14ac:dyDescent="0.2">
      <c r="A330" s="841"/>
      <c r="C330" s="3"/>
      <c r="D330" s="3"/>
      <c r="E330" s="3"/>
      <c r="F330" s="3"/>
      <c r="G330" s="3"/>
      <c r="H330" s="3"/>
      <c r="I330" s="3"/>
      <c r="J330" s="3"/>
      <c r="K330" s="34"/>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x14ac:dyDescent="0.2">
      <c r="A331" s="841"/>
      <c r="C331" s="3"/>
      <c r="D331" s="3"/>
      <c r="E331" s="3"/>
      <c r="F331" s="3"/>
      <c r="G331" s="3"/>
      <c r="H331" s="3"/>
      <c r="I331" s="3"/>
      <c r="J331" s="3"/>
      <c r="K331" s="34"/>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x14ac:dyDescent="0.2">
      <c r="A332" s="841"/>
      <c r="C332" s="3"/>
      <c r="D332" s="3"/>
      <c r="E332" s="3"/>
      <c r="F332" s="3"/>
      <c r="G332" s="3"/>
      <c r="H332" s="3"/>
      <c r="I332" s="3"/>
      <c r="J332" s="3"/>
      <c r="K332" s="34"/>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x14ac:dyDescent="0.2">
      <c r="A333" s="841"/>
      <c r="C333" s="3"/>
      <c r="D333" s="3"/>
      <c r="E333" s="3"/>
      <c r="F333" s="3"/>
      <c r="G333" s="3"/>
      <c r="H333" s="3"/>
      <c r="I333" s="3"/>
      <c r="J333" s="3"/>
      <c r="K333" s="34"/>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x14ac:dyDescent="0.2">
      <c r="A334" s="841"/>
      <c r="C334" s="3"/>
      <c r="D334" s="3"/>
      <c r="E334" s="3"/>
      <c r="F334" s="3"/>
      <c r="G334" s="3"/>
      <c r="H334" s="3"/>
      <c r="I334" s="3"/>
      <c r="J334" s="3"/>
      <c r="K334" s="34"/>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x14ac:dyDescent="0.2">
      <c r="A335" s="841"/>
      <c r="C335" s="3"/>
      <c r="D335" s="3"/>
      <c r="E335" s="3"/>
      <c r="F335" s="3"/>
      <c r="G335" s="3"/>
      <c r="H335" s="3"/>
      <c r="I335" s="3"/>
      <c r="J335" s="3"/>
      <c r="K335" s="34"/>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x14ac:dyDescent="0.2">
      <c r="A336" s="841"/>
      <c r="C336" s="3"/>
      <c r="D336" s="3"/>
      <c r="E336" s="3"/>
      <c r="F336" s="3"/>
      <c r="G336" s="3"/>
      <c r="H336" s="3"/>
      <c r="I336" s="3"/>
      <c r="J336" s="3"/>
      <c r="K336" s="34"/>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x14ac:dyDescent="0.2">
      <c r="A337" s="841"/>
      <c r="C337" s="3"/>
      <c r="D337" s="3"/>
      <c r="E337" s="3"/>
      <c r="F337" s="3"/>
      <c r="G337" s="3"/>
      <c r="H337" s="3"/>
      <c r="I337" s="3"/>
      <c r="J337" s="3"/>
      <c r="K337" s="34"/>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x14ac:dyDescent="0.2">
      <c r="A338" s="841"/>
      <c r="C338" s="3"/>
      <c r="D338" s="3"/>
      <c r="E338" s="3"/>
      <c r="F338" s="3"/>
      <c r="G338" s="3"/>
      <c r="H338" s="3"/>
      <c r="I338" s="3"/>
      <c r="J338" s="3"/>
      <c r="K338" s="34"/>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x14ac:dyDescent="0.2">
      <c r="A339" s="841"/>
      <c r="C339" s="3"/>
      <c r="D339" s="3"/>
      <c r="E339" s="3"/>
      <c r="F339" s="3"/>
      <c r="G339" s="3"/>
      <c r="H339" s="3"/>
      <c r="I339" s="3"/>
      <c r="J339" s="3"/>
      <c r="K339" s="34"/>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x14ac:dyDescent="0.2">
      <c r="A340" s="841"/>
      <c r="C340" s="3"/>
      <c r="D340" s="3"/>
      <c r="E340" s="3"/>
      <c r="F340" s="3"/>
      <c r="G340" s="3"/>
      <c r="H340" s="3"/>
      <c r="I340" s="3"/>
      <c r="J340" s="3"/>
      <c r="K340" s="34"/>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x14ac:dyDescent="0.2">
      <c r="A341" s="841"/>
      <c r="C341" s="3"/>
      <c r="D341" s="3"/>
      <c r="E341" s="3"/>
      <c r="F341" s="3"/>
      <c r="G341" s="3"/>
      <c r="H341" s="3"/>
      <c r="I341" s="3"/>
      <c r="J341" s="3"/>
      <c r="K341" s="34"/>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x14ac:dyDescent="0.2">
      <c r="A342" s="841"/>
      <c r="C342" s="3"/>
      <c r="D342" s="3"/>
      <c r="E342" s="3"/>
      <c r="F342" s="3"/>
      <c r="G342" s="3"/>
      <c r="H342" s="3"/>
      <c r="I342" s="3"/>
      <c r="J342" s="3"/>
      <c r="K342" s="34"/>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x14ac:dyDescent="0.2">
      <c r="A343" s="841"/>
      <c r="C343" s="3"/>
      <c r="D343" s="3"/>
      <c r="E343" s="3"/>
      <c r="F343" s="3"/>
      <c r="G343" s="3"/>
      <c r="H343" s="3"/>
      <c r="I343" s="3"/>
      <c r="J343" s="3"/>
      <c r="K343" s="34"/>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x14ac:dyDescent="0.2">
      <c r="A344" s="841"/>
      <c r="C344" s="3"/>
      <c r="D344" s="3"/>
      <c r="E344" s="3"/>
      <c r="F344" s="3"/>
      <c r="G344" s="3"/>
      <c r="H344" s="3"/>
      <c r="I344" s="3"/>
      <c r="J344" s="3"/>
      <c r="K344" s="34"/>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x14ac:dyDescent="0.2">
      <c r="A345" s="841"/>
      <c r="C345" s="3"/>
      <c r="D345" s="3"/>
      <c r="E345" s="3"/>
      <c r="F345" s="3"/>
      <c r="G345" s="3"/>
      <c r="H345" s="3"/>
      <c r="I345" s="3"/>
      <c r="J345" s="3"/>
      <c r="K345" s="34"/>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x14ac:dyDescent="0.2">
      <c r="A346" s="841"/>
      <c r="C346" s="3"/>
      <c r="D346" s="3"/>
      <c r="E346" s="3"/>
      <c r="F346" s="3"/>
      <c r="G346" s="3"/>
      <c r="H346" s="3"/>
      <c r="I346" s="3"/>
      <c r="J346" s="3"/>
      <c r="K346" s="34"/>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x14ac:dyDescent="0.2">
      <c r="A347" s="841"/>
      <c r="C347" s="3"/>
      <c r="D347" s="3"/>
      <c r="E347" s="3"/>
      <c r="F347" s="3"/>
      <c r="G347" s="3"/>
      <c r="H347" s="3"/>
      <c r="I347" s="3"/>
      <c r="J347" s="3"/>
      <c r="K347" s="34"/>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x14ac:dyDescent="0.2">
      <c r="A348" s="841"/>
      <c r="C348" s="3"/>
      <c r="D348" s="3"/>
      <c r="E348" s="3"/>
      <c r="F348" s="3"/>
      <c r="G348" s="3"/>
      <c r="H348" s="3"/>
      <c r="I348" s="3"/>
      <c r="J348" s="3"/>
      <c r="K348" s="34"/>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x14ac:dyDescent="0.2">
      <c r="A349" s="841"/>
      <c r="C349" s="3"/>
      <c r="D349" s="3"/>
      <c r="E349" s="3"/>
      <c r="F349" s="3"/>
      <c r="G349" s="3"/>
      <c r="H349" s="3"/>
      <c r="I349" s="3"/>
      <c r="J349" s="3"/>
      <c r="K349" s="34"/>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x14ac:dyDescent="0.2">
      <c r="A350" s="841"/>
      <c r="C350" s="3"/>
      <c r="D350" s="3"/>
      <c r="E350" s="3"/>
      <c r="F350" s="3"/>
      <c r="G350" s="3"/>
      <c r="H350" s="3"/>
      <c r="I350" s="3"/>
      <c r="J350" s="3"/>
      <c r="K350" s="34"/>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x14ac:dyDescent="0.2">
      <c r="A351" s="841"/>
      <c r="C351" s="3"/>
      <c r="D351" s="3"/>
      <c r="E351" s="3"/>
      <c r="F351" s="3"/>
      <c r="G351" s="3"/>
      <c r="H351" s="3"/>
      <c r="I351" s="3"/>
      <c r="J351" s="3"/>
      <c r="K351" s="34"/>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x14ac:dyDescent="0.2">
      <c r="A352" s="841"/>
      <c r="C352" s="3"/>
      <c r="D352" s="3"/>
      <c r="E352" s="3"/>
      <c r="F352" s="3"/>
      <c r="G352" s="3"/>
      <c r="H352" s="3"/>
      <c r="I352" s="3"/>
      <c r="J352" s="3"/>
      <c r="K352" s="34"/>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23" x14ac:dyDescent="0.2">
      <c r="A353" s="841"/>
      <c r="C353" s="3"/>
      <c r="D353" s="3"/>
      <c r="E353" s="3"/>
      <c r="F353" s="3"/>
      <c r="G353" s="3"/>
      <c r="H353" s="3"/>
      <c r="I353" s="3"/>
      <c r="J353" s="3"/>
      <c r="K353" s="34"/>
      <c r="N353" s="3"/>
      <c r="O353" s="3"/>
      <c r="P353" s="3"/>
      <c r="Q353" s="3"/>
      <c r="R353" s="3"/>
      <c r="S353" s="3"/>
      <c r="T353" s="3"/>
      <c r="U353" s="3"/>
      <c r="V353" s="3"/>
      <c r="W353" s="3"/>
    </row>
  </sheetData>
  <sheetProtection algorithmName="SHA-512" hashValue="kDlbNDXn73FiZtfq2ZFxN53Oe9FRwalxRbY49tYY8OaslCwOyb5vs2g20qp/KYYPkL6dcTW8vBW+zDGF1kVF6g==" saltValue="UUayUKfjSS5Q2mfJO8x+lQ==" spinCount="100000" sheet="1" formatColumns="0" formatRows="0"/>
  <phoneticPr fontId="3" type="noConversion"/>
  <dataValidations xWindow="892" yWindow="700" count="7">
    <dataValidation allowBlank="1" showErrorMessage="1" promptTitle="Note:" prompt="Do not forget to enter base date at the top of this form._x000a_" sqref="L163"/>
    <dataValidation allowBlank="1" showInputMessage="1" showErrorMessage="1" promptTitle="Note:" prompt="Please enter Minimum, Ad Valorem Rate and Base Amount for this rating category/sub-category on the same row._x000a__x000a_Section 500 permits a maximum of 50% of category/sub-category income as a Base Amount." sqref="F96:F144 F21:F40 F42:F66 F79:F88 F68:F77"/>
    <dataValidation allowBlank="1" showInputMessage="1" showErrorMessage="1" promptTitle="Note:" prompt="Total land value includes all rateable parcels including those parcels subject to a minimum." sqref="J21:J40 J136:J144 J68:J77 J79:J88 J96:J134 J42:J66"/>
    <dataValidation operator="greaterThan" allowBlank="1" showInputMessage="1" showErrorMessage="1" errorTitle="Data Entry Error" error="Number must be greater than zero." promptTitle="Note:" prompt="Please enter Minimum, Ad Valorem Rate and Base Amount for this rating category/sub-category on the same row." sqref="E96:E144 E21:E40 E42:E66 E79:E88 E68:E77"/>
    <dataValidation allowBlank="1" showInputMessage="1" showErrorMessage="1" promptTitle="Note:" prompt="Please enter Minimum, Ad Valorem Rate and Base Amount for this rating category/sub-category on the same row." sqref="H96:H144 H21:H40 H42:H66 H68:H77 H79:H88"/>
    <dataValidation allowBlank="1" showInputMessage="1" showErrorMessage="1" promptTitle="Annual Charges" prompt="Enter in the name of the annual charge and the group of ratepayers the charge is levied on." sqref="B152:I159"/>
    <dataValidation type="custom" showDropDown="1" showInputMessage="1" showErrorMessage="1" errorTitle="Data Entry Error" error="You must select a rating category before entering the sub-category." promptTitle="Note:" prompt="Enter the name of the sub-category,  if applicable._x000a__x000a_Please use a meaningful description, ie. Centre of Population, Intensity of Use or Economic Factors, Kind of Mining, Centre of Activity. " sqref="C79:C88 C21:C40 C42:C66 C68:C77">
      <formula1>NOT(ISBLANK(B21))</formula1>
    </dataValidation>
  </dataValidations>
  <printOptions horizontalCentered="1"/>
  <pageMargins left="0.74803149606299213" right="0.74803149606299213" top="0.62992125984251968" bottom="0.47244094488188981" header="0.19685039370078741" footer="0.31496062992125984"/>
  <pageSetup paperSize="9" scale="77" fitToHeight="0" orientation="landscape" r:id="rId1"/>
  <headerFooter alignWithMargins="0">
    <oddHeader>&amp;C&amp;"Calibri"&amp;10&amp;KFF0000 UNOFFICIAL&amp;1#_x000D_</oddHeader>
    <oddFooter>&amp;C_x000D_&amp;1#&amp;"Calibri"&amp;10&amp;KFF0000 UNOFFICIAL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XEZ191"/>
  <sheetViews>
    <sheetView showGridLines="0" topLeftCell="A16" workbookViewId="0">
      <selection activeCell="C40" sqref="C40"/>
    </sheetView>
  </sheetViews>
  <sheetFormatPr defaultColWidth="9.140625" defaultRowHeight="12.75" x14ac:dyDescent="0.2"/>
  <cols>
    <col min="1" max="1" width="2.7109375" style="840" customWidth="1"/>
    <col min="2" max="2" width="14.28515625" customWidth="1"/>
    <col min="3" max="3" width="35.85546875" customWidth="1"/>
    <col min="4" max="4" width="17.140625" customWidth="1"/>
    <col min="5" max="5" width="11.7109375" customWidth="1"/>
    <col min="6" max="6" width="11.42578125" customWidth="1"/>
    <col min="7" max="7" width="11.28515625" customWidth="1"/>
    <col min="8" max="8" width="10.42578125" customWidth="1"/>
    <col min="9" max="9" width="13.28515625" customWidth="1"/>
    <col min="10" max="10" width="20.28515625" customWidth="1"/>
    <col min="11" max="11" width="16.140625" style="11" customWidth="1"/>
    <col min="12" max="12" width="18.7109375" style="11" customWidth="1"/>
    <col min="13" max="13" width="2.7109375" customWidth="1"/>
    <col min="14" max="14" width="8.140625" bestFit="1" customWidth="1"/>
    <col min="15" max="16" width="9.140625" customWidth="1"/>
    <col min="17" max="17" width="5.42578125" customWidth="1"/>
    <col min="18" max="18" width="5.28515625" customWidth="1"/>
    <col min="19" max="19" width="7.85546875" customWidth="1"/>
    <col min="20" max="20" width="8.85546875" customWidth="1"/>
    <col min="21" max="21" width="7.7109375" customWidth="1"/>
    <col min="22" max="22" width="14.7109375" customWidth="1"/>
    <col min="23" max="23" width="12.28515625" bestFit="1" customWidth="1"/>
    <col min="27" max="27" width="10.85546875" bestFit="1" customWidth="1"/>
  </cols>
  <sheetData>
    <row r="1" spans="1:1014 1025:2041 2052:3068 3079:4095 4106:6136 6147:7163 7174:8190 8201:10231 10242:11258 11269:12285 12296:13312 13323:14326 14337:15353 15364:16380" thickBot="1" x14ac:dyDescent="0.25">
      <c r="A1" s="840">
        <v>4</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row>
    <row r="2" spans="1:1014 1025:2041 2052:3068 3079:4095 4106:6136 6147:7163 7174:8190 8201:10231 10242:11258 11269:12285 12296:13312 13323:14326 14337:15353 15364:16380" ht="15.75" x14ac:dyDescent="0.25">
      <c r="A2" s="841"/>
      <c r="B2" s="1549" t="str">
        <f>'WS3 - Notional General Income'!B2</f>
        <v>APPLICATION FOR SPECIAL VARIATION - WILLOUGHBY CITY COUNCIL</v>
      </c>
      <c r="C2" s="1550"/>
      <c r="D2" s="1550"/>
      <c r="E2" s="1550"/>
      <c r="F2" s="1550"/>
      <c r="G2" s="1550"/>
      <c r="H2" s="1550"/>
      <c r="I2" s="1550"/>
      <c r="J2" s="1550"/>
      <c r="K2" s="1550"/>
      <c r="L2" s="1551"/>
      <c r="M2" s="85"/>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row>
    <row r="3" spans="1:1014 1025:2041 2052:3068 3079:4095 4106:6136 6147:7163 7174:8190 8201:10231 10242:11258 11269:12285 12296:13312 13323:14326 14337:15353 15364:16380" ht="12" customHeight="1" x14ac:dyDescent="0.2">
      <c r="A3" s="841"/>
      <c r="B3" s="1561"/>
      <c r="C3" s="1562"/>
      <c r="D3" s="1562"/>
      <c r="E3" s="1562"/>
      <c r="F3" s="1562"/>
      <c r="G3" s="1542"/>
      <c r="H3" s="1494"/>
      <c r="I3" s="1494"/>
      <c r="J3" s="1494"/>
      <c r="K3" s="1494"/>
      <c r="L3" s="1563"/>
      <c r="M3" s="85"/>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row>
    <row r="4" spans="1:1014 1025:2041 2052:3068 3079:4095 4106:6136 6147:7163 7174:8190 8201:10231 10242:11258 11269:12285 12296:13312 13323:14326 14337:15353 15364:16380" s="58" customFormat="1" ht="15.75" thickBot="1" x14ac:dyDescent="0.25">
      <c r="A4" s="841"/>
      <c r="B4" s="1564" t="str">
        <f>"WORKSHEET "&amp;A1&amp;": CALCULATION OF NOTIONAL GENERAL INCOME FOR "&amp;'WS0 - Input data'!$K$58&amp;" ("&amp;UPPER('WS0 - Input data'!K55)&amp;")"</f>
        <v>WORKSHEET 4: CALCULATION OF NOTIONAL GENERAL INCOME FOR 2024-25 (YEAR 1)</v>
      </c>
      <c r="C4" s="1534"/>
      <c r="D4" s="1534"/>
      <c r="E4" s="1534"/>
      <c r="F4" s="1534"/>
      <c r="G4" s="1554"/>
      <c r="H4" s="1534"/>
      <c r="I4" s="1534"/>
      <c r="J4" s="1534"/>
      <c r="K4" s="1534"/>
      <c r="L4" s="1536"/>
      <c r="M4" s="3"/>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row>
    <row r="5" spans="1:1014 1025:2041 2052:3068 3079:4095 4106:6136 6147:7163 7174:8190 8201:10231 10242:11258 11269:12285 12296:13312 13323:14326 14337:15353 15364:16380" s="58" customFormat="1" ht="12" customHeight="1" x14ac:dyDescent="0.2">
      <c r="A5" s="841"/>
      <c r="C5" s="19"/>
      <c r="E5" s="19"/>
      <c r="F5" s="43"/>
      <c r="H5" s="43"/>
      <c r="I5" s="43"/>
      <c r="J5" s="43"/>
      <c r="K5" s="43"/>
      <c r="L5" s="63"/>
      <c r="M5" s="63"/>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row>
    <row r="6" spans="1:1014 1025:2041 2052:3068 3079:4095 4106:6136 6147:7163 7174:8190 8201:10231 10242:11258 11269:12285 12296:13312 13323:14326 14337:15353 15364:16380" s="58" customFormat="1" ht="12" customHeight="1" x14ac:dyDescent="0.25">
      <c r="A6" s="841"/>
      <c r="C6" s="19"/>
      <c r="E6" s="19"/>
      <c r="F6" s="43"/>
      <c r="H6" s="43"/>
      <c r="I6" s="43"/>
      <c r="J6" s="43"/>
      <c r="K6" s="43"/>
      <c r="L6" s="63"/>
      <c r="M6" s="63"/>
      <c r="N6" s="49"/>
      <c r="O6" s="49"/>
      <c r="P6" s="49"/>
      <c r="Q6" s="49"/>
      <c r="R6" s="49"/>
      <c r="S6" s="156"/>
      <c r="T6" s="1"/>
      <c r="U6" s="1"/>
      <c r="V6" s="1"/>
      <c r="W6" s="1"/>
      <c r="X6" s="1"/>
      <c r="Y6" s="1"/>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row>
    <row r="7" spans="1:1014 1025:2041 2052:3068 3079:4095 4106:6136 6147:7163 7174:8190 8201:10231 10242:11258 11269:12285 12296:13312 13323:14326 14337:15353 15364:16380" s="58" customFormat="1" ht="15" x14ac:dyDescent="0.2">
      <c r="A7" s="841"/>
      <c r="B7" s="461" t="s">
        <v>496</v>
      </c>
      <c r="C7" s="19"/>
      <c r="E7" s="19"/>
      <c r="F7" s="43"/>
      <c r="H7" s="43"/>
      <c r="I7" s="43"/>
      <c r="J7" s="43"/>
      <c r="K7" s="43"/>
      <c r="L7" s="63"/>
      <c r="M7" s="63"/>
      <c r="N7" s="49"/>
      <c r="O7" s="49"/>
      <c r="P7" s="49"/>
      <c r="Q7" s="49"/>
      <c r="R7" s="49"/>
      <c r="S7" s="1"/>
      <c r="T7" s="147"/>
      <c r="U7" s="147"/>
      <c r="V7" s="1"/>
      <c r="W7" s="1"/>
      <c r="X7" s="1"/>
      <c r="Y7" s="1"/>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row>
    <row r="8" spans="1:1014 1025:2041 2052:3068 3079:4095 4106:6136 6147:7163 7174:8190 8201:10231 10242:11258 11269:12285 12296:13312 13323:14326 14337:15353 15364:16380" ht="20.25" customHeight="1" x14ac:dyDescent="0.2">
      <c r="B8" s="674" t="s">
        <v>599</v>
      </c>
      <c r="C8" s="675"/>
      <c r="D8" s="675"/>
      <c r="E8" s="675"/>
      <c r="F8" s="675"/>
      <c r="G8" s="675"/>
      <c r="H8" s="675"/>
      <c r="I8" s="675"/>
      <c r="J8" s="675"/>
      <c r="K8" s="804"/>
      <c r="L8" s="805"/>
      <c r="S8" s="1"/>
      <c r="T8" s="1"/>
      <c r="U8" s="1"/>
      <c r="V8" s="1"/>
      <c r="W8" s="1"/>
      <c r="X8" s="1"/>
      <c r="Y8" s="1"/>
    </row>
    <row r="9" spans="1:1014 1025:2041 2052:3068 3079:4095 4106:6136 6147:7163 7174:8190 8201:10231 10242:11258 11269:12285 12296:13312 13323:14326 14337:15353 15364:16380" s="63" customFormat="1" ht="15" customHeight="1" x14ac:dyDescent="0.2">
      <c r="A9" s="841"/>
      <c r="B9" s="685" t="s">
        <v>499</v>
      </c>
      <c r="D9" s="3"/>
      <c r="K9" s="2"/>
      <c r="L9" s="699"/>
      <c r="M9" s="2"/>
      <c r="N9" s="55"/>
      <c r="S9" s="1"/>
      <c r="T9" s="1"/>
      <c r="U9" s="1"/>
      <c r="V9" s="1"/>
      <c r="W9" s="1"/>
      <c r="X9" s="1"/>
      <c r="Y9" s="1"/>
      <c r="Z9" s="2"/>
      <c r="AD9" s="49"/>
      <c r="BK9" s="29"/>
      <c r="BL9" s="2"/>
      <c r="BM9" s="2"/>
      <c r="BX9" s="29"/>
      <c r="BY9" s="2"/>
      <c r="BZ9" s="2"/>
      <c r="CK9" s="29"/>
      <c r="CL9" s="2"/>
      <c r="CM9" s="2"/>
      <c r="CX9" s="29"/>
      <c r="CY9" s="2"/>
      <c r="CZ9" s="2"/>
      <c r="DK9" s="29"/>
      <c r="DL9" s="2"/>
      <c r="DM9" s="2"/>
      <c r="DX9" s="29"/>
      <c r="DY9" s="2"/>
      <c r="DZ9" s="2"/>
      <c r="EK9" s="29"/>
      <c r="EL9" s="2"/>
      <c r="EM9" s="2"/>
      <c r="EX9" s="29"/>
      <c r="EY9" s="2"/>
      <c r="EZ9" s="2"/>
      <c r="FK9" s="29"/>
      <c r="FL9" s="2"/>
      <c r="FM9" s="2"/>
      <c r="FX9" s="29"/>
      <c r="FY9" s="2"/>
      <c r="FZ9" s="2"/>
      <c r="GK9" s="29"/>
      <c r="GL9" s="2"/>
      <c r="GM9" s="2"/>
      <c r="GX9" s="29"/>
      <c r="GY9" s="2"/>
      <c r="GZ9" s="2"/>
      <c r="HK9" s="29"/>
      <c r="HL9" s="2"/>
      <c r="HM9" s="2"/>
      <c r="HX9" s="29"/>
      <c r="HY9" s="2"/>
      <c r="HZ9" s="2"/>
      <c r="IK9" s="29"/>
      <c r="IL9" s="2"/>
      <c r="IM9" s="2"/>
      <c r="IX9" s="29"/>
      <c r="IY9" s="2"/>
      <c r="IZ9" s="2"/>
      <c r="JK9" s="29"/>
      <c r="JL9" s="2"/>
      <c r="JM9" s="2"/>
      <c r="JX9" s="29"/>
      <c r="JY9" s="2"/>
      <c r="JZ9" s="2"/>
      <c r="KK9" s="29"/>
      <c r="KL9" s="2"/>
      <c r="KM9" s="2"/>
      <c r="KX9" s="29"/>
      <c r="KY9" s="2"/>
      <c r="KZ9" s="2"/>
      <c r="LK9" s="29"/>
      <c r="LL9" s="2"/>
      <c r="LM9" s="2"/>
      <c r="LX9" s="29"/>
      <c r="LY9" s="2"/>
      <c r="LZ9" s="2"/>
      <c r="MK9" s="29"/>
      <c r="ML9" s="2"/>
      <c r="MM9" s="2"/>
      <c r="MX9" s="29"/>
      <c r="MY9" s="2"/>
      <c r="MZ9" s="2"/>
      <c r="NK9" s="29"/>
      <c r="NL9" s="2"/>
      <c r="NM9" s="2"/>
      <c r="NX9" s="29"/>
      <c r="NY9" s="2"/>
      <c r="NZ9" s="2"/>
      <c r="OK9" s="29"/>
      <c r="OL9" s="2"/>
      <c r="OM9" s="2"/>
      <c r="OX9" s="29"/>
      <c r="OY9" s="2"/>
      <c r="OZ9" s="2"/>
      <c r="PK9" s="29"/>
      <c r="PL9" s="2"/>
      <c r="PM9" s="2"/>
      <c r="PX9" s="29"/>
      <c r="PY9" s="2"/>
      <c r="PZ9" s="2"/>
      <c r="QK9" s="29"/>
      <c r="QL9" s="2"/>
      <c r="QM9" s="2"/>
      <c r="QX9" s="29"/>
      <c r="QY9" s="2"/>
      <c r="QZ9" s="2"/>
      <c r="RK9" s="29"/>
      <c r="RL9" s="2"/>
      <c r="RM9" s="2"/>
      <c r="RX9" s="29"/>
      <c r="RY9" s="2"/>
      <c r="RZ9" s="2"/>
      <c r="SK9" s="29"/>
      <c r="SL9" s="2"/>
      <c r="SM9" s="2"/>
      <c r="SX9" s="29"/>
      <c r="SY9" s="2"/>
      <c r="SZ9" s="2"/>
      <c r="TK9" s="29"/>
      <c r="TL9" s="2"/>
      <c r="TM9" s="2"/>
      <c r="TX9" s="29"/>
      <c r="TY9" s="2"/>
      <c r="TZ9" s="2"/>
      <c r="UK9" s="29"/>
      <c r="UL9" s="2"/>
      <c r="UM9" s="2"/>
      <c r="UX9" s="29"/>
      <c r="UY9" s="2"/>
      <c r="UZ9" s="2"/>
      <c r="VK9" s="29"/>
      <c r="VL9" s="2"/>
      <c r="VM9" s="2"/>
      <c r="VX9" s="29"/>
      <c r="VY9" s="2"/>
      <c r="VZ9" s="2"/>
      <c r="WK9" s="29"/>
      <c r="WL9" s="2"/>
      <c r="WM9" s="2"/>
      <c r="WX9" s="29"/>
      <c r="WY9" s="2"/>
      <c r="WZ9" s="2"/>
      <c r="XK9" s="29"/>
      <c r="XL9" s="2"/>
      <c r="XM9" s="2"/>
      <c r="XX9" s="29"/>
      <c r="XY9" s="2"/>
      <c r="XZ9" s="2"/>
      <c r="YK9" s="29"/>
      <c r="YL9" s="2"/>
      <c r="YM9" s="2"/>
      <c r="YX9" s="29"/>
      <c r="YY9" s="2"/>
      <c r="YZ9" s="2"/>
      <c r="ZK9" s="29"/>
      <c r="ZL9" s="2"/>
      <c r="ZM9" s="2"/>
      <c r="ZX9" s="29"/>
      <c r="ZY9" s="2"/>
      <c r="ZZ9" s="2"/>
      <c r="AAK9" s="29"/>
      <c r="AAL9" s="2"/>
      <c r="AAM9" s="2"/>
      <c r="AAX9" s="29"/>
      <c r="AAY9" s="2"/>
      <c r="AAZ9" s="2"/>
      <c r="ABK9" s="29"/>
      <c r="ABL9" s="2"/>
      <c r="ABM9" s="2"/>
      <c r="ABX9" s="29"/>
      <c r="ABY9" s="2"/>
      <c r="ABZ9" s="2"/>
      <c r="ACK9" s="29"/>
      <c r="ACL9" s="2"/>
      <c r="ACM9" s="2"/>
      <c r="ACX9" s="29"/>
      <c r="ACY9" s="2"/>
      <c r="ACZ9" s="2"/>
      <c r="ADK9" s="29"/>
      <c r="ADL9" s="2"/>
      <c r="ADM9" s="2"/>
      <c r="ADX9" s="29"/>
      <c r="ADY9" s="2"/>
      <c r="ADZ9" s="2"/>
      <c r="AEK9" s="29"/>
      <c r="AEL9" s="2"/>
      <c r="AEM9" s="2"/>
      <c r="AEX9" s="29"/>
      <c r="AEY9" s="2"/>
      <c r="AEZ9" s="2"/>
      <c r="AFK9" s="29"/>
      <c r="AFL9" s="2"/>
      <c r="AFM9" s="2"/>
      <c r="AFX9" s="29"/>
      <c r="AFY9" s="2"/>
      <c r="AFZ9" s="2"/>
      <c r="AGK9" s="29"/>
      <c r="AGL9" s="2"/>
      <c r="AGM9" s="2"/>
      <c r="AGX9" s="29"/>
      <c r="AGY9" s="2"/>
      <c r="AGZ9" s="2"/>
      <c r="AHK9" s="29"/>
      <c r="AHL9" s="2"/>
      <c r="AHM9" s="2"/>
      <c r="AHX9" s="29"/>
      <c r="AHY9" s="2"/>
      <c r="AHZ9" s="2"/>
      <c r="AIK9" s="29"/>
      <c r="AIL9" s="2"/>
      <c r="AIM9" s="2"/>
      <c r="AIX9" s="29"/>
      <c r="AIY9" s="2"/>
      <c r="AIZ9" s="2"/>
      <c r="AJK9" s="29"/>
      <c r="AJL9" s="2"/>
      <c r="AJM9" s="2"/>
      <c r="AJX9" s="29"/>
      <c r="AJY9" s="2"/>
      <c r="AJZ9" s="2"/>
      <c r="AKK9" s="29"/>
      <c r="AKL9" s="2"/>
      <c r="AKM9" s="2"/>
      <c r="AKX9" s="29"/>
      <c r="AKY9" s="2"/>
      <c r="AKZ9" s="2"/>
      <c r="ALK9" s="29"/>
      <c r="ALL9" s="2"/>
      <c r="ALM9" s="2"/>
      <c r="ALX9" s="29"/>
      <c r="ALY9" s="2"/>
      <c r="ALZ9" s="2"/>
      <c r="AMK9" s="29"/>
      <c r="AML9" s="2"/>
      <c r="AMM9" s="2"/>
      <c r="AMX9" s="29"/>
      <c r="AMY9" s="2"/>
      <c r="AMZ9" s="2"/>
      <c r="ANK9" s="29"/>
      <c r="ANL9" s="2"/>
      <c r="ANM9" s="2"/>
      <c r="ANX9" s="29"/>
      <c r="ANY9" s="2"/>
      <c r="ANZ9" s="2"/>
      <c r="AOK9" s="29"/>
      <c r="AOL9" s="2"/>
      <c r="AOM9" s="2"/>
      <c r="AOX9" s="29"/>
      <c r="AOY9" s="2"/>
      <c r="AOZ9" s="2"/>
      <c r="APK9" s="29"/>
      <c r="APL9" s="2"/>
      <c r="APM9" s="2"/>
      <c r="APX9" s="29"/>
      <c r="APY9" s="2"/>
      <c r="APZ9" s="2"/>
      <c r="AQK9" s="29"/>
      <c r="AQL9" s="2"/>
      <c r="AQM9" s="2"/>
      <c r="AQX9" s="29"/>
      <c r="AQY9" s="2"/>
      <c r="AQZ9" s="2"/>
      <c r="ARK9" s="29"/>
      <c r="ARL9" s="2"/>
      <c r="ARM9" s="2"/>
      <c r="ARX9" s="29"/>
      <c r="ARY9" s="2"/>
      <c r="ARZ9" s="2"/>
      <c r="ASK9" s="29"/>
      <c r="ASL9" s="2"/>
      <c r="ASM9" s="2"/>
      <c r="ASX9" s="29"/>
      <c r="ASY9" s="2"/>
      <c r="ASZ9" s="2"/>
      <c r="ATK9" s="29"/>
      <c r="ATL9" s="2"/>
      <c r="ATM9" s="2"/>
      <c r="ATX9" s="29"/>
      <c r="ATY9" s="2"/>
      <c r="ATZ9" s="2"/>
      <c r="AUK9" s="29"/>
      <c r="AUL9" s="2"/>
      <c r="AUM9" s="2"/>
      <c r="AUX9" s="29"/>
      <c r="AUY9" s="2"/>
      <c r="AUZ9" s="2"/>
      <c r="AVK9" s="29"/>
      <c r="AVL9" s="2"/>
      <c r="AVM9" s="2"/>
      <c r="AVX9" s="29"/>
      <c r="AVY9" s="2"/>
      <c r="AVZ9" s="2"/>
      <c r="AWK9" s="29"/>
      <c r="AWL9" s="2"/>
      <c r="AWM9" s="2"/>
      <c r="AWX9" s="29"/>
      <c r="AWY9" s="2"/>
      <c r="AWZ9" s="2"/>
      <c r="AXK9" s="29"/>
      <c r="AXL9" s="2"/>
      <c r="AXM9" s="2"/>
      <c r="AXX9" s="29"/>
      <c r="AXY9" s="2"/>
      <c r="AXZ9" s="2"/>
      <c r="AYK9" s="29"/>
      <c r="AYL9" s="2"/>
      <c r="AYM9" s="2"/>
      <c r="AYX9" s="29"/>
      <c r="AYY9" s="2"/>
      <c r="AYZ9" s="2"/>
      <c r="AZK9" s="29"/>
      <c r="AZL9" s="2"/>
      <c r="AZM9" s="2"/>
      <c r="AZX9" s="29"/>
      <c r="AZY9" s="2"/>
      <c r="AZZ9" s="2"/>
      <c r="BAK9" s="29"/>
      <c r="BAL9" s="2"/>
      <c r="BAM9" s="2"/>
      <c r="BAX9" s="29"/>
      <c r="BAY9" s="2"/>
      <c r="BAZ9" s="2"/>
      <c r="BBK9" s="29"/>
      <c r="BBL9" s="2"/>
      <c r="BBM9" s="2"/>
      <c r="BBX9" s="29"/>
      <c r="BBY9" s="2"/>
      <c r="BBZ9" s="2"/>
      <c r="BCK9" s="29"/>
      <c r="BCL9" s="2"/>
      <c r="BCM9" s="2"/>
      <c r="BCX9" s="29"/>
      <c r="BCY9" s="2"/>
      <c r="BCZ9" s="2"/>
      <c r="BDK9" s="29"/>
      <c r="BDL9" s="2"/>
      <c r="BDM9" s="2"/>
      <c r="BDX9" s="29"/>
      <c r="BDY9" s="2"/>
      <c r="BDZ9" s="2"/>
      <c r="BEK9" s="29"/>
      <c r="BEL9" s="2"/>
      <c r="BEM9" s="2"/>
      <c r="BEX9" s="29"/>
      <c r="BEY9" s="2"/>
      <c r="BEZ9" s="2"/>
      <c r="BFK9" s="29"/>
      <c r="BFL9" s="2"/>
      <c r="BFM9" s="2"/>
      <c r="BFX9" s="29"/>
      <c r="BFY9" s="2"/>
      <c r="BFZ9" s="2"/>
      <c r="BGK9" s="29"/>
      <c r="BGL9" s="2"/>
      <c r="BGM9" s="2"/>
      <c r="BGX9" s="29"/>
      <c r="BGY9" s="2"/>
      <c r="BGZ9" s="2"/>
      <c r="BHK9" s="29"/>
      <c r="BHL9" s="2"/>
      <c r="BHM9" s="2"/>
      <c r="BHX9" s="29"/>
      <c r="BHY9" s="2"/>
      <c r="BHZ9" s="2"/>
      <c r="BIK9" s="29"/>
      <c r="BIL9" s="2"/>
      <c r="BIM9" s="2"/>
      <c r="BIX9" s="29"/>
      <c r="BIY9" s="2"/>
      <c r="BIZ9" s="2"/>
      <c r="BJK9" s="29"/>
      <c r="BJL9" s="2"/>
      <c r="BJM9" s="2"/>
      <c r="BJX9" s="29"/>
      <c r="BJY9" s="2"/>
      <c r="BJZ9" s="2"/>
      <c r="BKK9" s="29"/>
      <c r="BKL9" s="2"/>
      <c r="BKM9" s="2"/>
      <c r="BKX9" s="29"/>
      <c r="BKY9" s="2"/>
      <c r="BKZ9" s="2"/>
      <c r="BLK9" s="29"/>
      <c r="BLL9" s="2"/>
      <c r="BLM9" s="2"/>
      <c r="BLX9" s="29"/>
      <c r="BLY9" s="2"/>
      <c r="BLZ9" s="2"/>
      <c r="BMK9" s="29"/>
      <c r="BML9" s="2"/>
      <c r="BMM9" s="2"/>
      <c r="BMX9" s="29"/>
      <c r="BMY9" s="2"/>
      <c r="BMZ9" s="2"/>
      <c r="BNK9" s="29"/>
      <c r="BNL9" s="2"/>
      <c r="BNM9" s="2"/>
      <c r="BNX9" s="29"/>
      <c r="BNY9" s="2"/>
      <c r="BNZ9" s="2"/>
      <c r="BOK9" s="29"/>
      <c r="BOL9" s="2"/>
      <c r="BOM9" s="2"/>
      <c r="BOX9" s="29"/>
      <c r="BOY9" s="2"/>
      <c r="BOZ9" s="2"/>
      <c r="BPK9" s="29"/>
      <c r="BPL9" s="2"/>
      <c r="BPM9" s="2"/>
      <c r="BPX9" s="29"/>
      <c r="BPY9" s="2"/>
      <c r="BPZ9" s="2"/>
      <c r="BQK9" s="29"/>
      <c r="BQL9" s="2"/>
      <c r="BQM9" s="2"/>
      <c r="BQX9" s="29"/>
      <c r="BQY9" s="2"/>
      <c r="BQZ9" s="2"/>
      <c r="BRK9" s="29"/>
      <c r="BRL9" s="2"/>
      <c r="BRM9" s="2"/>
      <c r="BRX9" s="29"/>
      <c r="BRY9" s="2"/>
      <c r="BRZ9" s="2"/>
      <c r="BSK9" s="29"/>
      <c r="BSL9" s="2"/>
      <c r="BSM9" s="2"/>
      <c r="BSX9" s="29"/>
      <c r="BSY9" s="2"/>
      <c r="BSZ9" s="2"/>
      <c r="BTK9" s="29"/>
      <c r="BTL9" s="2"/>
      <c r="BTM9" s="2"/>
      <c r="BTX9" s="29"/>
      <c r="BTY9" s="2"/>
      <c r="BTZ9" s="2"/>
      <c r="BUK9" s="29"/>
      <c r="BUL9" s="2"/>
      <c r="BUM9" s="2"/>
      <c r="BUX9" s="29"/>
      <c r="BUY9" s="2"/>
      <c r="BUZ9" s="2"/>
      <c r="BVK9" s="29"/>
      <c r="BVL9" s="2"/>
      <c r="BVM9" s="2"/>
      <c r="BVX9" s="29"/>
      <c r="BVY9" s="2"/>
      <c r="BVZ9" s="2"/>
      <c r="BWK9" s="29"/>
      <c r="BWL9" s="2"/>
      <c r="BWM9" s="2"/>
      <c r="BWX9" s="29"/>
      <c r="BWY9" s="2"/>
      <c r="BWZ9" s="2"/>
      <c r="BXK9" s="29"/>
      <c r="BXL9" s="2"/>
      <c r="BXM9" s="2"/>
      <c r="BXX9" s="29"/>
      <c r="BXY9" s="2"/>
      <c r="BXZ9" s="2"/>
      <c r="BYK9" s="29"/>
      <c r="BYL9" s="2"/>
      <c r="BYM9" s="2"/>
      <c r="BYX9" s="29"/>
      <c r="BYY9" s="2"/>
      <c r="BYZ9" s="2"/>
      <c r="BZK9" s="29"/>
      <c r="BZL9" s="2"/>
      <c r="BZM9" s="2"/>
      <c r="BZX9" s="29"/>
      <c r="BZY9" s="2"/>
      <c r="BZZ9" s="2"/>
      <c r="CAK9" s="29"/>
      <c r="CAL9" s="2"/>
      <c r="CAM9" s="2"/>
      <c r="CAX9" s="29"/>
      <c r="CAY9" s="2"/>
      <c r="CAZ9" s="2"/>
      <c r="CBK9" s="29"/>
      <c r="CBL9" s="2"/>
      <c r="CBM9" s="2"/>
      <c r="CBX9" s="29"/>
      <c r="CBY9" s="2"/>
      <c r="CBZ9" s="2"/>
      <c r="CCK9" s="29"/>
      <c r="CCL9" s="2"/>
      <c r="CCM9" s="2"/>
      <c r="CCX9" s="29"/>
      <c r="CCY9" s="2"/>
      <c r="CCZ9" s="2"/>
      <c r="CDK9" s="29"/>
      <c r="CDL9" s="2"/>
      <c r="CDM9" s="2"/>
      <c r="CDX9" s="29"/>
      <c r="CDY9" s="2"/>
      <c r="CDZ9" s="2"/>
      <c r="CEK9" s="29"/>
      <c r="CEL9" s="2"/>
      <c r="CEM9" s="2"/>
      <c r="CEX9" s="29"/>
      <c r="CEY9" s="2"/>
      <c r="CEZ9" s="2"/>
      <c r="CFK9" s="29"/>
      <c r="CFL9" s="2"/>
      <c r="CFM9" s="2"/>
      <c r="CFX9" s="29"/>
      <c r="CFY9" s="2"/>
      <c r="CFZ9" s="2"/>
      <c r="CGK9" s="29"/>
      <c r="CGL9" s="2"/>
      <c r="CGM9" s="2"/>
      <c r="CGX9" s="29"/>
      <c r="CGY9" s="2"/>
      <c r="CGZ9" s="2"/>
      <c r="CHK9" s="29"/>
      <c r="CHL9" s="2"/>
      <c r="CHM9" s="2"/>
      <c r="CHX9" s="29"/>
      <c r="CHY9" s="2"/>
      <c r="CHZ9" s="2"/>
      <c r="CIK9" s="29"/>
      <c r="CIL9" s="2"/>
      <c r="CIM9" s="2"/>
      <c r="CIX9" s="29"/>
      <c r="CIY9" s="2"/>
      <c r="CIZ9" s="2"/>
      <c r="CJK9" s="29"/>
      <c r="CJL9" s="2"/>
      <c r="CJM9" s="2"/>
      <c r="CJX9" s="29"/>
      <c r="CJY9" s="2"/>
      <c r="CJZ9" s="2"/>
      <c r="CKK9" s="29"/>
      <c r="CKL9" s="2"/>
      <c r="CKM9" s="2"/>
      <c r="CKX9" s="29"/>
      <c r="CKY9" s="2"/>
      <c r="CKZ9" s="2"/>
      <c r="CLK9" s="29"/>
      <c r="CLL9" s="2"/>
      <c r="CLM9" s="2"/>
      <c r="CLX9" s="29"/>
      <c r="CLY9" s="2"/>
      <c r="CLZ9" s="2"/>
      <c r="CMK9" s="29"/>
      <c r="CML9" s="2"/>
      <c r="CMM9" s="2"/>
      <c r="CMX9" s="29"/>
      <c r="CMY9" s="2"/>
      <c r="CMZ9" s="2"/>
      <c r="CNK9" s="29"/>
      <c r="CNL9" s="2"/>
      <c r="CNM9" s="2"/>
      <c r="CNX9" s="29"/>
      <c r="CNY9" s="2"/>
      <c r="CNZ9" s="2"/>
      <c r="COK9" s="29"/>
      <c r="COL9" s="2"/>
      <c r="COM9" s="2"/>
      <c r="COX9" s="29"/>
      <c r="COY9" s="2"/>
      <c r="COZ9" s="2"/>
      <c r="CPK9" s="29"/>
      <c r="CPL9" s="2"/>
      <c r="CPM9" s="2"/>
      <c r="CPX9" s="29"/>
      <c r="CPY9" s="2"/>
      <c r="CPZ9" s="2"/>
      <c r="CQK9" s="29"/>
      <c r="CQL9" s="2"/>
      <c r="CQM9" s="2"/>
      <c r="CQX9" s="29"/>
      <c r="CQY9" s="2"/>
      <c r="CQZ9" s="2"/>
      <c r="CRK9" s="29"/>
      <c r="CRL9" s="2"/>
      <c r="CRM9" s="2"/>
      <c r="CRX9" s="29"/>
      <c r="CRY9" s="2"/>
      <c r="CRZ9" s="2"/>
      <c r="CSK9" s="29"/>
      <c r="CSL9" s="2"/>
      <c r="CSM9" s="2"/>
      <c r="CSX9" s="29"/>
      <c r="CSY9" s="2"/>
      <c r="CSZ9" s="2"/>
      <c r="CTK9" s="29"/>
      <c r="CTL9" s="2"/>
      <c r="CTM9" s="2"/>
      <c r="CTX9" s="29"/>
      <c r="CTY9" s="2"/>
      <c r="CTZ9" s="2"/>
      <c r="CUK9" s="29"/>
      <c r="CUL9" s="2"/>
      <c r="CUM9" s="2"/>
      <c r="CUX9" s="29"/>
      <c r="CUY9" s="2"/>
      <c r="CUZ9" s="2"/>
      <c r="CVK9" s="29"/>
      <c r="CVL9" s="2"/>
      <c r="CVM9" s="2"/>
      <c r="CVX9" s="29"/>
      <c r="CVY9" s="2"/>
      <c r="CVZ9" s="2"/>
      <c r="CWK9" s="29"/>
      <c r="CWL9" s="2"/>
      <c r="CWM9" s="2"/>
      <c r="CWX9" s="29"/>
      <c r="CWY9" s="2"/>
      <c r="CWZ9" s="2"/>
      <c r="CXK9" s="29"/>
      <c r="CXL9" s="2"/>
      <c r="CXM9" s="2"/>
      <c r="CXX9" s="29"/>
      <c r="CXY9" s="2"/>
      <c r="CXZ9" s="2"/>
      <c r="CYK9" s="29"/>
      <c r="CYL9" s="2"/>
      <c r="CYM9" s="2"/>
      <c r="CYX9" s="29"/>
      <c r="CYY9" s="2"/>
      <c r="CYZ9" s="2"/>
      <c r="CZK9" s="29"/>
      <c r="CZL9" s="2"/>
      <c r="CZM9" s="2"/>
      <c r="CZX9" s="29"/>
      <c r="CZY9" s="2"/>
      <c r="CZZ9" s="2"/>
      <c r="DAK9" s="29"/>
      <c r="DAL9" s="2"/>
      <c r="DAM9" s="2"/>
      <c r="DAX9" s="29"/>
      <c r="DAY9" s="2"/>
      <c r="DAZ9" s="2"/>
      <c r="DBK9" s="29"/>
      <c r="DBL9" s="2"/>
      <c r="DBM9" s="2"/>
      <c r="DBX9" s="29"/>
      <c r="DBY9" s="2"/>
      <c r="DBZ9" s="2"/>
      <c r="DCK9" s="29"/>
      <c r="DCL9" s="2"/>
      <c r="DCM9" s="2"/>
      <c r="DCX9" s="29"/>
      <c r="DCY9" s="2"/>
      <c r="DCZ9" s="2"/>
      <c r="DDK9" s="29"/>
      <c r="DDL9" s="2"/>
      <c r="DDM9" s="2"/>
      <c r="DDX9" s="29"/>
      <c r="DDY9" s="2"/>
      <c r="DDZ9" s="2"/>
      <c r="DEK9" s="29"/>
      <c r="DEL9" s="2"/>
      <c r="DEM9" s="2"/>
      <c r="DEX9" s="29"/>
      <c r="DEY9" s="2"/>
      <c r="DEZ9" s="2"/>
      <c r="DFK9" s="29"/>
      <c r="DFL9" s="2"/>
      <c r="DFM9" s="2"/>
      <c r="DFX9" s="29"/>
      <c r="DFY9" s="2"/>
      <c r="DFZ9" s="2"/>
      <c r="DGK9" s="29"/>
      <c r="DGL9" s="2"/>
      <c r="DGM9" s="2"/>
      <c r="DGX9" s="29"/>
      <c r="DGY9" s="2"/>
      <c r="DGZ9" s="2"/>
      <c r="DHK9" s="29"/>
      <c r="DHL9" s="2"/>
      <c r="DHM9" s="2"/>
      <c r="DHX9" s="29"/>
      <c r="DHY9" s="2"/>
      <c r="DHZ9" s="2"/>
      <c r="DIK9" s="29"/>
      <c r="DIL9" s="2"/>
      <c r="DIM9" s="2"/>
      <c r="DIX9" s="29"/>
      <c r="DIY9" s="2"/>
      <c r="DIZ9" s="2"/>
      <c r="DJK9" s="29"/>
      <c r="DJL9" s="2"/>
      <c r="DJM9" s="2"/>
      <c r="DJX9" s="29"/>
      <c r="DJY9" s="2"/>
      <c r="DJZ9" s="2"/>
      <c r="DKK9" s="29"/>
      <c r="DKL9" s="2"/>
      <c r="DKM9" s="2"/>
      <c r="DKX9" s="29"/>
      <c r="DKY9" s="2"/>
      <c r="DKZ9" s="2"/>
      <c r="DLK9" s="29"/>
      <c r="DLL9" s="2"/>
      <c r="DLM9" s="2"/>
      <c r="DLX9" s="29"/>
      <c r="DLY9" s="2"/>
      <c r="DLZ9" s="2"/>
      <c r="DMK9" s="29"/>
      <c r="DML9" s="2"/>
      <c r="DMM9" s="2"/>
      <c r="DMX9" s="29"/>
      <c r="DMY9" s="2"/>
      <c r="DMZ9" s="2"/>
      <c r="DNK9" s="29"/>
      <c r="DNL9" s="2"/>
      <c r="DNM9" s="2"/>
      <c r="DNX9" s="29"/>
      <c r="DNY9" s="2"/>
      <c r="DNZ9" s="2"/>
      <c r="DOK9" s="29"/>
      <c r="DOL9" s="2"/>
      <c r="DOM9" s="2"/>
      <c r="DOX9" s="29"/>
      <c r="DOY9" s="2"/>
      <c r="DOZ9" s="2"/>
      <c r="DPK9" s="29"/>
      <c r="DPL9" s="2"/>
      <c r="DPM9" s="2"/>
      <c r="DPX9" s="29"/>
      <c r="DPY9" s="2"/>
      <c r="DPZ9" s="2"/>
      <c r="DQK9" s="29"/>
      <c r="DQL9" s="2"/>
      <c r="DQM9" s="2"/>
      <c r="DQX9" s="29"/>
      <c r="DQY9" s="2"/>
      <c r="DQZ9" s="2"/>
      <c r="DRK9" s="29"/>
      <c r="DRL9" s="2"/>
      <c r="DRM9" s="2"/>
      <c r="DRX9" s="29"/>
      <c r="DRY9" s="2"/>
      <c r="DRZ9" s="2"/>
      <c r="DSK9" s="29"/>
      <c r="DSL9" s="2"/>
      <c r="DSM9" s="2"/>
      <c r="DSX9" s="29"/>
      <c r="DSY9" s="2"/>
      <c r="DSZ9" s="2"/>
      <c r="DTK9" s="29"/>
      <c r="DTL9" s="2"/>
      <c r="DTM9" s="2"/>
      <c r="DTX9" s="29"/>
      <c r="DTY9" s="2"/>
      <c r="DTZ9" s="2"/>
      <c r="DUK9" s="29"/>
      <c r="DUL9" s="2"/>
      <c r="DUM9" s="2"/>
      <c r="DUX9" s="29"/>
      <c r="DUY9" s="2"/>
      <c r="DUZ9" s="2"/>
      <c r="DVK9" s="29"/>
      <c r="DVL9" s="2"/>
      <c r="DVM9" s="2"/>
      <c r="DVX9" s="29"/>
      <c r="DVY9" s="2"/>
      <c r="DVZ9" s="2"/>
      <c r="DWK9" s="29"/>
      <c r="DWL9" s="2"/>
      <c r="DWM9" s="2"/>
      <c r="DWX9" s="29"/>
      <c r="DWY9" s="2"/>
      <c r="DWZ9" s="2"/>
      <c r="DXK9" s="29"/>
      <c r="DXL9" s="2"/>
      <c r="DXM9" s="2"/>
      <c r="DXX9" s="29"/>
      <c r="DXY9" s="2"/>
      <c r="DXZ9" s="2"/>
      <c r="DYK9" s="29"/>
      <c r="DYL9" s="2"/>
      <c r="DYM9" s="2"/>
      <c r="DYX9" s="29"/>
      <c r="DYY9" s="2"/>
      <c r="DYZ9" s="2"/>
      <c r="DZK9" s="29"/>
      <c r="DZL9" s="2"/>
      <c r="DZM9" s="2"/>
      <c r="DZX9" s="29"/>
      <c r="DZY9" s="2"/>
      <c r="DZZ9" s="2"/>
      <c r="EAK9" s="29"/>
      <c r="EAL9" s="2"/>
      <c r="EAM9" s="2"/>
      <c r="EAX9" s="29"/>
      <c r="EAY9" s="2"/>
      <c r="EAZ9" s="2"/>
      <c r="EBK9" s="29"/>
      <c r="EBL9" s="2"/>
      <c r="EBM9" s="2"/>
      <c r="EBX9" s="29"/>
      <c r="EBY9" s="2"/>
      <c r="EBZ9" s="2"/>
      <c r="ECK9" s="29"/>
      <c r="ECL9" s="2"/>
      <c r="ECM9" s="2"/>
      <c r="ECX9" s="29"/>
      <c r="ECY9" s="2"/>
      <c r="ECZ9" s="2"/>
      <c r="EDK9" s="29"/>
      <c r="EDL9" s="2"/>
      <c r="EDM9" s="2"/>
      <c r="EDX9" s="29"/>
      <c r="EDY9" s="2"/>
      <c r="EDZ9" s="2"/>
      <c r="EEK9" s="29"/>
      <c r="EEL9" s="2"/>
      <c r="EEM9" s="2"/>
      <c r="EEX9" s="29"/>
      <c r="EEY9" s="2"/>
      <c r="EEZ9" s="2"/>
      <c r="EFK9" s="29"/>
      <c r="EFL9" s="2"/>
      <c r="EFM9" s="2"/>
      <c r="EFX9" s="29"/>
      <c r="EFY9" s="2"/>
      <c r="EFZ9" s="2"/>
      <c r="EGK9" s="29"/>
      <c r="EGL9" s="2"/>
      <c r="EGM9" s="2"/>
      <c r="EGX9" s="29"/>
      <c r="EGY9" s="2"/>
      <c r="EGZ9" s="2"/>
      <c r="EHK9" s="29"/>
      <c r="EHL9" s="2"/>
      <c r="EHM9" s="2"/>
      <c r="EHX9" s="29"/>
      <c r="EHY9" s="2"/>
      <c r="EHZ9" s="2"/>
      <c r="EIK9" s="29"/>
      <c r="EIL9" s="2"/>
      <c r="EIM9" s="2"/>
      <c r="EIX9" s="29"/>
      <c r="EIY9" s="2"/>
      <c r="EIZ9" s="2"/>
      <c r="EJK9" s="29"/>
      <c r="EJL9" s="2"/>
      <c r="EJM9" s="2"/>
      <c r="EJX9" s="29"/>
      <c r="EJY9" s="2"/>
      <c r="EJZ9" s="2"/>
      <c r="EKK9" s="29"/>
      <c r="EKL9" s="2"/>
      <c r="EKM9" s="2"/>
      <c r="EKX9" s="29"/>
      <c r="EKY9" s="2"/>
      <c r="EKZ9" s="2"/>
      <c r="ELK9" s="29"/>
      <c r="ELL9" s="2"/>
      <c r="ELM9" s="2"/>
      <c r="ELX9" s="29"/>
      <c r="ELY9" s="2"/>
      <c r="ELZ9" s="2"/>
      <c r="EMK9" s="29"/>
      <c r="EML9" s="2"/>
      <c r="EMM9" s="2"/>
      <c r="EMX9" s="29"/>
      <c r="EMY9" s="2"/>
      <c r="EMZ9" s="2"/>
      <c r="ENK9" s="29"/>
      <c r="ENL9" s="2"/>
      <c r="ENM9" s="2"/>
      <c r="ENX9" s="29"/>
      <c r="ENY9" s="2"/>
      <c r="ENZ9" s="2"/>
      <c r="EOK9" s="29"/>
      <c r="EOL9" s="2"/>
      <c r="EOM9" s="2"/>
      <c r="EOX9" s="29"/>
      <c r="EOY9" s="2"/>
      <c r="EOZ9" s="2"/>
      <c r="EPK9" s="29"/>
      <c r="EPL9" s="2"/>
      <c r="EPM9" s="2"/>
      <c r="EPX9" s="29"/>
      <c r="EPY9" s="2"/>
      <c r="EPZ9" s="2"/>
      <c r="EQK9" s="29"/>
      <c r="EQL9" s="2"/>
      <c r="EQM9" s="2"/>
      <c r="EQX9" s="29"/>
      <c r="EQY9" s="2"/>
      <c r="EQZ9" s="2"/>
      <c r="ERK9" s="29"/>
      <c r="ERL9" s="2"/>
      <c r="ERM9" s="2"/>
      <c r="ERX9" s="29"/>
      <c r="ERY9" s="2"/>
      <c r="ERZ9" s="2"/>
      <c r="ESK9" s="29"/>
      <c r="ESL9" s="2"/>
      <c r="ESM9" s="2"/>
      <c r="ESX9" s="29"/>
      <c r="ESY9" s="2"/>
      <c r="ESZ9" s="2"/>
      <c r="ETK9" s="29"/>
      <c r="ETL9" s="2"/>
      <c r="ETM9" s="2"/>
      <c r="ETX9" s="29"/>
      <c r="ETY9" s="2"/>
      <c r="ETZ9" s="2"/>
      <c r="EUK9" s="29"/>
      <c r="EUL9" s="2"/>
      <c r="EUM9" s="2"/>
      <c r="EUX9" s="29"/>
      <c r="EUY9" s="2"/>
      <c r="EUZ9" s="2"/>
      <c r="EVK9" s="29"/>
      <c r="EVL9" s="2"/>
      <c r="EVM9" s="2"/>
      <c r="EVX9" s="29"/>
      <c r="EVY9" s="2"/>
      <c r="EVZ9" s="2"/>
      <c r="EWK9" s="29"/>
      <c r="EWL9" s="2"/>
      <c r="EWM9" s="2"/>
      <c r="EWX9" s="29"/>
      <c r="EWY9" s="2"/>
      <c r="EWZ9" s="2"/>
      <c r="EXK9" s="29"/>
      <c r="EXL9" s="2"/>
      <c r="EXM9" s="2"/>
      <c r="EXX9" s="29"/>
      <c r="EXY9" s="2"/>
      <c r="EXZ9" s="2"/>
      <c r="EYK9" s="29"/>
      <c r="EYL9" s="2"/>
      <c r="EYM9" s="2"/>
      <c r="EYX9" s="29"/>
      <c r="EYY9" s="2"/>
      <c r="EYZ9" s="2"/>
      <c r="EZK9" s="29"/>
      <c r="EZL9" s="2"/>
      <c r="EZM9" s="2"/>
      <c r="EZX9" s="29"/>
      <c r="EZY9" s="2"/>
      <c r="EZZ9" s="2"/>
      <c r="FAK9" s="29"/>
      <c r="FAL9" s="2"/>
      <c r="FAM9" s="2"/>
      <c r="FAX9" s="29"/>
      <c r="FAY9" s="2"/>
      <c r="FAZ9" s="2"/>
      <c r="FBK9" s="29"/>
      <c r="FBL9" s="2"/>
      <c r="FBM9" s="2"/>
      <c r="FBX9" s="29"/>
      <c r="FBY9" s="2"/>
      <c r="FBZ9" s="2"/>
      <c r="FCK9" s="29"/>
      <c r="FCL9" s="2"/>
      <c r="FCM9" s="2"/>
      <c r="FCX9" s="29"/>
      <c r="FCY9" s="2"/>
      <c r="FCZ9" s="2"/>
      <c r="FDK9" s="29"/>
      <c r="FDL9" s="2"/>
      <c r="FDM9" s="2"/>
      <c r="FDX9" s="29"/>
      <c r="FDY9" s="2"/>
      <c r="FDZ9" s="2"/>
      <c r="FEK9" s="29"/>
      <c r="FEL9" s="2"/>
      <c r="FEM9" s="2"/>
      <c r="FEX9" s="29"/>
      <c r="FEY9" s="2"/>
      <c r="FEZ9" s="2"/>
      <c r="FFK9" s="29"/>
      <c r="FFL9" s="2"/>
      <c r="FFM9" s="2"/>
      <c r="FFX9" s="29"/>
      <c r="FFY9" s="2"/>
      <c r="FFZ9" s="2"/>
      <c r="FGK9" s="29"/>
      <c r="FGL9" s="2"/>
      <c r="FGM9" s="2"/>
      <c r="FGX9" s="29"/>
      <c r="FGY9" s="2"/>
      <c r="FGZ9" s="2"/>
      <c r="FHK9" s="29"/>
      <c r="FHL9" s="2"/>
      <c r="FHM9" s="2"/>
      <c r="FHX9" s="29"/>
      <c r="FHY9" s="2"/>
      <c r="FHZ9" s="2"/>
      <c r="FIK9" s="29"/>
      <c r="FIL9" s="2"/>
      <c r="FIM9" s="2"/>
      <c r="FIX9" s="29"/>
      <c r="FIY9" s="2"/>
      <c r="FIZ9" s="2"/>
      <c r="FJK9" s="29"/>
      <c r="FJL9" s="2"/>
      <c r="FJM9" s="2"/>
      <c r="FJX9" s="29"/>
      <c r="FJY9" s="2"/>
      <c r="FJZ9" s="2"/>
      <c r="FKK9" s="29"/>
      <c r="FKL9" s="2"/>
      <c r="FKM9" s="2"/>
      <c r="FKX9" s="29"/>
      <c r="FKY9" s="2"/>
      <c r="FKZ9" s="2"/>
      <c r="FLK9" s="29"/>
      <c r="FLL9" s="2"/>
      <c r="FLM9" s="2"/>
      <c r="FLX9" s="29"/>
      <c r="FLY9" s="2"/>
      <c r="FLZ9" s="2"/>
      <c r="FMK9" s="29"/>
      <c r="FML9" s="2"/>
      <c r="FMM9" s="2"/>
      <c r="FMX9" s="29"/>
      <c r="FMY9" s="2"/>
      <c r="FMZ9" s="2"/>
      <c r="FNK9" s="29"/>
      <c r="FNL9" s="2"/>
      <c r="FNM9" s="2"/>
      <c r="FNX9" s="29"/>
      <c r="FNY9" s="2"/>
      <c r="FNZ9" s="2"/>
      <c r="FOK9" s="29"/>
      <c r="FOL9" s="2"/>
      <c r="FOM9" s="2"/>
      <c r="FOX9" s="29"/>
      <c r="FOY9" s="2"/>
      <c r="FOZ9" s="2"/>
      <c r="FPK9" s="29"/>
      <c r="FPL9" s="2"/>
      <c r="FPM9" s="2"/>
      <c r="FPX9" s="29"/>
      <c r="FPY9" s="2"/>
      <c r="FPZ9" s="2"/>
      <c r="FQK9" s="29"/>
      <c r="FQL9" s="2"/>
      <c r="FQM9" s="2"/>
      <c r="FQX9" s="29"/>
      <c r="FQY9" s="2"/>
      <c r="FQZ9" s="2"/>
      <c r="FRK9" s="29"/>
      <c r="FRL9" s="2"/>
      <c r="FRM9" s="2"/>
      <c r="FRX9" s="29"/>
      <c r="FRY9" s="2"/>
      <c r="FRZ9" s="2"/>
      <c r="FSK9" s="29"/>
      <c r="FSL9" s="2"/>
      <c r="FSM9" s="2"/>
      <c r="FSX9" s="29"/>
      <c r="FSY9" s="2"/>
      <c r="FSZ9" s="2"/>
      <c r="FTK9" s="29"/>
      <c r="FTL9" s="2"/>
      <c r="FTM9" s="2"/>
      <c r="FTX9" s="29"/>
      <c r="FTY9" s="2"/>
      <c r="FTZ9" s="2"/>
      <c r="FUK9" s="29"/>
      <c r="FUL9" s="2"/>
      <c r="FUM9" s="2"/>
      <c r="FUX9" s="29"/>
      <c r="FUY9" s="2"/>
      <c r="FUZ9" s="2"/>
      <c r="FVK9" s="29"/>
      <c r="FVL9" s="2"/>
      <c r="FVM9" s="2"/>
      <c r="FVX9" s="29"/>
      <c r="FVY9" s="2"/>
      <c r="FVZ9" s="2"/>
      <c r="FWK9" s="29"/>
      <c r="FWL9" s="2"/>
      <c r="FWM9" s="2"/>
      <c r="FWX9" s="29"/>
      <c r="FWY9" s="2"/>
      <c r="FWZ9" s="2"/>
      <c r="FXK9" s="29"/>
      <c r="FXL9" s="2"/>
      <c r="FXM9" s="2"/>
      <c r="FXX9" s="29"/>
      <c r="FXY9" s="2"/>
      <c r="FXZ9" s="2"/>
      <c r="FYK9" s="29"/>
      <c r="FYL9" s="2"/>
      <c r="FYM9" s="2"/>
      <c r="FYX9" s="29"/>
      <c r="FYY9" s="2"/>
      <c r="FYZ9" s="2"/>
      <c r="FZK9" s="29"/>
      <c r="FZL9" s="2"/>
      <c r="FZM9" s="2"/>
      <c r="FZX9" s="29"/>
      <c r="FZY9" s="2"/>
      <c r="FZZ9" s="2"/>
      <c r="GAK9" s="29"/>
      <c r="GAL9" s="2"/>
      <c r="GAM9" s="2"/>
      <c r="GAX9" s="29"/>
      <c r="GAY9" s="2"/>
      <c r="GAZ9" s="2"/>
      <c r="GBK9" s="29"/>
      <c r="GBL9" s="2"/>
      <c r="GBM9" s="2"/>
      <c r="GBX9" s="29"/>
      <c r="GBY9" s="2"/>
      <c r="GBZ9" s="2"/>
      <c r="GCK9" s="29"/>
      <c r="GCL9" s="2"/>
      <c r="GCM9" s="2"/>
      <c r="GCX9" s="29"/>
      <c r="GCY9" s="2"/>
      <c r="GCZ9" s="2"/>
      <c r="GDK9" s="29"/>
      <c r="GDL9" s="2"/>
      <c r="GDM9" s="2"/>
      <c r="GDX9" s="29"/>
      <c r="GDY9" s="2"/>
      <c r="GDZ9" s="2"/>
      <c r="GEK9" s="29"/>
      <c r="GEL9" s="2"/>
      <c r="GEM9" s="2"/>
      <c r="GEX9" s="29"/>
      <c r="GEY9" s="2"/>
      <c r="GEZ9" s="2"/>
      <c r="GFK9" s="29"/>
      <c r="GFL9" s="2"/>
      <c r="GFM9" s="2"/>
      <c r="GFX9" s="29"/>
      <c r="GFY9" s="2"/>
      <c r="GFZ9" s="2"/>
      <c r="GGK9" s="29"/>
      <c r="GGL9" s="2"/>
      <c r="GGM9" s="2"/>
      <c r="GGX9" s="29"/>
      <c r="GGY9" s="2"/>
      <c r="GGZ9" s="2"/>
      <c r="GHK9" s="29"/>
      <c r="GHL9" s="2"/>
      <c r="GHM9" s="2"/>
      <c r="GHX9" s="29"/>
      <c r="GHY9" s="2"/>
      <c r="GHZ9" s="2"/>
      <c r="GIK9" s="29"/>
      <c r="GIL9" s="2"/>
      <c r="GIM9" s="2"/>
      <c r="GIX9" s="29"/>
      <c r="GIY9" s="2"/>
      <c r="GIZ9" s="2"/>
      <c r="GJK9" s="29"/>
      <c r="GJL9" s="2"/>
      <c r="GJM9" s="2"/>
      <c r="GJX9" s="29"/>
      <c r="GJY9" s="2"/>
      <c r="GJZ9" s="2"/>
      <c r="GKK9" s="29"/>
      <c r="GKL9" s="2"/>
      <c r="GKM9" s="2"/>
      <c r="GKX9" s="29"/>
      <c r="GKY9" s="2"/>
      <c r="GKZ9" s="2"/>
      <c r="GLK9" s="29"/>
      <c r="GLL9" s="2"/>
      <c r="GLM9" s="2"/>
      <c r="GLX9" s="29"/>
      <c r="GLY9" s="2"/>
      <c r="GLZ9" s="2"/>
      <c r="GMK9" s="29"/>
      <c r="GML9" s="2"/>
      <c r="GMM9" s="2"/>
      <c r="GMX9" s="29"/>
      <c r="GMY9" s="2"/>
      <c r="GMZ9" s="2"/>
      <c r="GNK9" s="29"/>
      <c r="GNL9" s="2"/>
      <c r="GNM9" s="2"/>
      <c r="GNX9" s="29"/>
      <c r="GNY9" s="2"/>
      <c r="GNZ9" s="2"/>
      <c r="GOK9" s="29"/>
      <c r="GOL9" s="2"/>
      <c r="GOM9" s="2"/>
      <c r="GOX9" s="29"/>
      <c r="GOY9" s="2"/>
      <c r="GOZ9" s="2"/>
      <c r="GPK9" s="29"/>
      <c r="GPL9" s="2"/>
      <c r="GPM9" s="2"/>
      <c r="GPX9" s="29"/>
      <c r="GPY9" s="2"/>
      <c r="GPZ9" s="2"/>
      <c r="GQK9" s="29"/>
      <c r="GQL9" s="2"/>
      <c r="GQM9" s="2"/>
      <c r="GQX9" s="29"/>
      <c r="GQY9" s="2"/>
      <c r="GQZ9" s="2"/>
      <c r="GRK9" s="29"/>
      <c r="GRL9" s="2"/>
      <c r="GRM9" s="2"/>
      <c r="GRX9" s="29"/>
      <c r="GRY9" s="2"/>
      <c r="GRZ9" s="2"/>
      <c r="GSK9" s="29"/>
      <c r="GSL9" s="2"/>
      <c r="GSM9" s="2"/>
      <c r="GSX9" s="29"/>
      <c r="GSY9" s="2"/>
      <c r="GSZ9" s="2"/>
      <c r="GTK9" s="29"/>
      <c r="GTL9" s="2"/>
      <c r="GTM9" s="2"/>
      <c r="GTX9" s="29"/>
      <c r="GTY9" s="2"/>
      <c r="GTZ9" s="2"/>
      <c r="GUK9" s="29"/>
      <c r="GUL9" s="2"/>
      <c r="GUM9" s="2"/>
      <c r="GUX9" s="29"/>
      <c r="GUY9" s="2"/>
      <c r="GUZ9" s="2"/>
      <c r="GVK9" s="29"/>
      <c r="GVL9" s="2"/>
      <c r="GVM9" s="2"/>
      <c r="GVX9" s="29"/>
      <c r="GVY9" s="2"/>
      <c r="GVZ9" s="2"/>
      <c r="GWK9" s="29"/>
      <c r="GWL9" s="2"/>
      <c r="GWM9" s="2"/>
      <c r="GWX9" s="29"/>
      <c r="GWY9" s="2"/>
      <c r="GWZ9" s="2"/>
      <c r="GXK9" s="29"/>
      <c r="GXL9" s="2"/>
      <c r="GXM9" s="2"/>
      <c r="GXX9" s="29"/>
      <c r="GXY9" s="2"/>
      <c r="GXZ9" s="2"/>
      <c r="GYK9" s="29"/>
      <c r="GYL9" s="2"/>
      <c r="GYM9" s="2"/>
      <c r="GYX9" s="29"/>
      <c r="GYY9" s="2"/>
      <c r="GYZ9" s="2"/>
      <c r="GZK9" s="29"/>
      <c r="GZL9" s="2"/>
      <c r="GZM9" s="2"/>
      <c r="GZX9" s="29"/>
      <c r="GZY9" s="2"/>
      <c r="GZZ9" s="2"/>
      <c r="HAK9" s="29"/>
      <c r="HAL9" s="2"/>
      <c r="HAM9" s="2"/>
      <c r="HAX9" s="29"/>
      <c r="HAY9" s="2"/>
      <c r="HAZ9" s="2"/>
      <c r="HBK9" s="29"/>
      <c r="HBL9" s="2"/>
      <c r="HBM9" s="2"/>
      <c r="HBX9" s="29"/>
      <c r="HBY9" s="2"/>
      <c r="HBZ9" s="2"/>
      <c r="HCK9" s="29"/>
      <c r="HCL9" s="2"/>
      <c r="HCM9" s="2"/>
      <c r="HCX9" s="29"/>
      <c r="HCY9" s="2"/>
      <c r="HCZ9" s="2"/>
      <c r="HDK9" s="29"/>
      <c r="HDL9" s="2"/>
      <c r="HDM9" s="2"/>
      <c r="HDX9" s="29"/>
      <c r="HDY9" s="2"/>
      <c r="HDZ9" s="2"/>
      <c r="HEK9" s="29"/>
      <c r="HEL9" s="2"/>
      <c r="HEM9" s="2"/>
      <c r="HEX9" s="29"/>
      <c r="HEY9" s="2"/>
      <c r="HEZ9" s="2"/>
      <c r="HFK9" s="29"/>
      <c r="HFL9" s="2"/>
      <c r="HFM9" s="2"/>
      <c r="HFX9" s="29"/>
      <c r="HFY9" s="2"/>
      <c r="HFZ9" s="2"/>
      <c r="HGK9" s="29"/>
      <c r="HGL9" s="2"/>
      <c r="HGM9" s="2"/>
      <c r="HGX9" s="29"/>
      <c r="HGY9" s="2"/>
      <c r="HGZ9" s="2"/>
      <c r="HHK9" s="29"/>
      <c r="HHL9" s="2"/>
      <c r="HHM9" s="2"/>
      <c r="HHX9" s="29"/>
      <c r="HHY9" s="2"/>
      <c r="HHZ9" s="2"/>
      <c r="HIK9" s="29"/>
      <c r="HIL9" s="2"/>
      <c r="HIM9" s="2"/>
      <c r="HIX9" s="29"/>
      <c r="HIY9" s="2"/>
      <c r="HIZ9" s="2"/>
      <c r="HJK9" s="29"/>
      <c r="HJL9" s="2"/>
      <c r="HJM9" s="2"/>
      <c r="HJX9" s="29"/>
      <c r="HJY9" s="2"/>
      <c r="HJZ9" s="2"/>
      <c r="HKK9" s="29"/>
      <c r="HKL9" s="2"/>
      <c r="HKM9" s="2"/>
      <c r="HKX9" s="29"/>
      <c r="HKY9" s="2"/>
      <c r="HKZ9" s="2"/>
      <c r="HLK9" s="29"/>
      <c r="HLL9" s="2"/>
      <c r="HLM9" s="2"/>
      <c r="HLX9" s="29"/>
      <c r="HLY9" s="2"/>
      <c r="HLZ9" s="2"/>
      <c r="HMK9" s="29"/>
      <c r="HML9" s="2"/>
      <c r="HMM9" s="2"/>
      <c r="HMX9" s="29"/>
      <c r="HMY9" s="2"/>
      <c r="HMZ9" s="2"/>
      <c r="HNK9" s="29"/>
      <c r="HNL9" s="2"/>
      <c r="HNM9" s="2"/>
      <c r="HNX9" s="29"/>
      <c r="HNY9" s="2"/>
      <c r="HNZ9" s="2"/>
      <c r="HOK9" s="29"/>
      <c r="HOL9" s="2"/>
      <c r="HOM9" s="2"/>
      <c r="HOX9" s="29"/>
      <c r="HOY9" s="2"/>
      <c r="HOZ9" s="2"/>
      <c r="HPK9" s="29"/>
      <c r="HPL9" s="2"/>
      <c r="HPM9" s="2"/>
      <c r="HPX9" s="29"/>
      <c r="HPY9" s="2"/>
      <c r="HPZ9" s="2"/>
      <c r="HQK9" s="29"/>
      <c r="HQL9" s="2"/>
      <c r="HQM9" s="2"/>
      <c r="HQX9" s="29"/>
      <c r="HQY9" s="2"/>
      <c r="HQZ9" s="2"/>
      <c r="HRK9" s="29"/>
      <c r="HRL9" s="2"/>
      <c r="HRM9" s="2"/>
      <c r="HRX9" s="29"/>
      <c r="HRY9" s="2"/>
      <c r="HRZ9" s="2"/>
      <c r="HSK9" s="29"/>
      <c r="HSL9" s="2"/>
      <c r="HSM9" s="2"/>
      <c r="HSX9" s="29"/>
      <c r="HSY9" s="2"/>
      <c r="HSZ9" s="2"/>
      <c r="HTK9" s="29"/>
      <c r="HTL9" s="2"/>
      <c r="HTM9" s="2"/>
      <c r="HTX9" s="29"/>
      <c r="HTY9" s="2"/>
      <c r="HTZ9" s="2"/>
      <c r="HUK9" s="29"/>
      <c r="HUL9" s="2"/>
      <c r="HUM9" s="2"/>
      <c r="HUX9" s="29"/>
      <c r="HUY9" s="2"/>
      <c r="HUZ9" s="2"/>
      <c r="HVK9" s="29"/>
      <c r="HVL9" s="2"/>
      <c r="HVM9" s="2"/>
      <c r="HVX9" s="29"/>
      <c r="HVY9" s="2"/>
      <c r="HVZ9" s="2"/>
      <c r="HWK9" s="29"/>
      <c r="HWL9" s="2"/>
      <c r="HWM9" s="2"/>
      <c r="HWX9" s="29"/>
      <c r="HWY9" s="2"/>
      <c r="HWZ9" s="2"/>
      <c r="HXK9" s="29"/>
      <c r="HXL9" s="2"/>
      <c r="HXM9" s="2"/>
      <c r="HXX9" s="29"/>
      <c r="HXY9" s="2"/>
      <c r="HXZ9" s="2"/>
      <c r="HYK9" s="29"/>
      <c r="HYL9" s="2"/>
      <c r="HYM9" s="2"/>
      <c r="HYX9" s="29"/>
      <c r="HYY9" s="2"/>
      <c r="HYZ9" s="2"/>
      <c r="HZK9" s="29"/>
      <c r="HZL9" s="2"/>
      <c r="HZM9" s="2"/>
      <c r="HZX9" s="29"/>
      <c r="HZY9" s="2"/>
      <c r="HZZ9" s="2"/>
      <c r="IAK9" s="29"/>
      <c r="IAL9" s="2"/>
      <c r="IAM9" s="2"/>
      <c r="IAX9" s="29"/>
      <c r="IAY9" s="2"/>
      <c r="IAZ9" s="2"/>
      <c r="IBK9" s="29"/>
      <c r="IBL9" s="2"/>
      <c r="IBM9" s="2"/>
      <c r="IBX9" s="29"/>
      <c r="IBY9" s="2"/>
      <c r="IBZ9" s="2"/>
      <c r="ICK9" s="29"/>
      <c r="ICL9" s="2"/>
      <c r="ICM9" s="2"/>
      <c r="ICX9" s="29"/>
      <c r="ICY9" s="2"/>
      <c r="ICZ9" s="2"/>
      <c r="IDK9" s="29"/>
      <c r="IDL9" s="2"/>
      <c r="IDM9" s="2"/>
      <c r="IDX9" s="29"/>
      <c r="IDY9" s="2"/>
      <c r="IDZ9" s="2"/>
      <c r="IEK9" s="29"/>
      <c r="IEL9" s="2"/>
      <c r="IEM9" s="2"/>
      <c r="IEX9" s="29"/>
      <c r="IEY9" s="2"/>
      <c r="IEZ9" s="2"/>
      <c r="IFK9" s="29"/>
      <c r="IFL9" s="2"/>
      <c r="IFM9" s="2"/>
      <c r="IFX9" s="29"/>
      <c r="IFY9" s="2"/>
      <c r="IFZ9" s="2"/>
      <c r="IGK9" s="29"/>
      <c r="IGL9" s="2"/>
      <c r="IGM9" s="2"/>
      <c r="IGX9" s="29"/>
      <c r="IGY9" s="2"/>
      <c r="IGZ9" s="2"/>
      <c r="IHK9" s="29"/>
      <c r="IHL9" s="2"/>
      <c r="IHM9" s="2"/>
      <c r="IHX9" s="29"/>
      <c r="IHY9" s="2"/>
      <c r="IHZ9" s="2"/>
      <c r="IIK9" s="29"/>
      <c r="IIL9" s="2"/>
      <c r="IIM9" s="2"/>
      <c r="IIX9" s="29"/>
      <c r="IIY9" s="2"/>
      <c r="IIZ9" s="2"/>
      <c r="IJK9" s="29"/>
      <c r="IJL9" s="2"/>
      <c r="IJM9" s="2"/>
      <c r="IJX9" s="29"/>
      <c r="IJY9" s="2"/>
      <c r="IJZ9" s="2"/>
      <c r="IKK9" s="29"/>
      <c r="IKL9" s="2"/>
      <c r="IKM9" s="2"/>
      <c r="IKX9" s="29"/>
      <c r="IKY9" s="2"/>
      <c r="IKZ9" s="2"/>
      <c r="ILK9" s="29"/>
      <c r="ILL9" s="2"/>
      <c r="ILM9" s="2"/>
      <c r="ILX9" s="29"/>
      <c r="ILY9" s="2"/>
      <c r="ILZ9" s="2"/>
      <c r="IMK9" s="29"/>
      <c r="IML9" s="2"/>
      <c r="IMM9" s="2"/>
      <c r="IMX9" s="29"/>
      <c r="IMY9" s="2"/>
      <c r="IMZ9" s="2"/>
      <c r="INK9" s="29"/>
      <c r="INL9" s="2"/>
      <c r="INM9" s="2"/>
      <c r="INX9" s="29"/>
      <c r="INY9" s="2"/>
      <c r="INZ9" s="2"/>
      <c r="IOK9" s="29"/>
      <c r="IOL9" s="2"/>
      <c r="IOM9" s="2"/>
      <c r="IOX9" s="29"/>
      <c r="IOY9" s="2"/>
      <c r="IOZ9" s="2"/>
      <c r="IPK9" s="29"/>
      <c r="IPL9" s="2"/>
      <c r="IPM9" s="2"/>
      <c r="IPX9" s="29"/>
      <c r="IPY9" s="2"/>
      <c r="IPZ9" s="2"/>
      <c r="IQK9" s="29"/>
      <c r="IQL9" s="2"/>
      <c r="IQM9" s="2"/>
      <c r="IQX9" s="29"/>
      <c r="IQY9" s="2"/>
      <c r="IQZ9" s="2"/>
      <c r="IRK9" s="29"/>
      <c r="IRL9" s="2"/>
      <c r="IRM9" s="2"/>
      <c r="IRX9" s="29"/>
      <c r="IRY9" s="2"/>
      <c r="IRZ9" s="2"/>
      <c r="ISK9" s="29"/>
      <c r="ISL9" s="2"/>
      <c r="ISM9" s="2"/>
      <c r="ISX9" s="29"/>
      <c r="ISY9" s="2"/>
      <c r="ISZ9" s="2"/>
      <c r="ITK9" s="29"/>
      <c r="ITL9" s="2"/>
      <c r="ITM9" s="2"/>
      <c r="ITX9" s="29"/>
      <c r="ITY9" s="2"/>
      <c r="ITZ9" s="2"/>
      <c r="IUK9" s="29"/>
      <c r="IUL9" s="2"/>
      <c r="IUM9" s="2"/>
      <c r="IUX9" s="29"/>
      <c r="IUY9" s="2"/>
      <c r="IUZ9" s="2"/>
      <c r="IVK9" s="29"/>
      <c r="IVL9" s="2"/>
      <c r="IVM9" s="2"/>
      <c r="IVX9" s="29"/>
      <c r="IVY9" s="2"/>
      <c r="IVZ9" s="2"/>
      <c r="IWK9" s="29"/>
      <c r="IWL9" s="2"/>
      <c r="IWM9" s="2"/>
      <c r="IWX9" s="29"/>
      <c r="IWY9" s="2"/>
      <c r="IWZ9" s="2"/>
      <c r="IXK9" s="29"/>
      <c r="IXL9" s="2"/>
      <c r="IXM9" s="2"/>
      <c r="IXX9" s="29"/>
      <c r="IXY9" s="2"/>
      <c r="IXZ9" s="2"/>
      <c r="IYK9" s="29"/>
      <c r="IYL9" s="2"/>
      <c r="IYM9" s="2"/>
      <c r="IYX9" s="29"/>
      <c r="IYY9" s="2"/>
      <c r="IYZ9" s="2"/>
      <c r="IZK9" s="29"/>
      <c r="IZL9" s="2"/>
      <c r="IZM9" s="2"/>
      <c r="IZX9" s="29"/>
      <c r="IZY9" s="2"/>
      <c r="IZZ9" s="2"/>
      <c r="JAK9" s="29"/>
      <c r="JAL9" s="2"/>
      <c r="JAM9" s="2"/>
      <c r="JAX9" s="29"/>
      <c r="JAY9" s="2"/>
      <c r="JAZ9" s="2"/>
      <c r="JBK9" s="29"/>
      <c r="JBL9" s="2"/>
      <c r="JBM9" s="2"/>
      <c r="JBX9" s="29"/>
      <c r="JBY9" s="2"/>
      <c r="JBZ9" s="2"/>
      <c r="JCK9" s="29"/>
      <c r="JCL9" s="2"/>
      <c r="JCM9" s="2"/>
      <c r="JCX9" s="29"/>
      <c r="JCY9" s="2"/>
      <c r="JCZ9" s="2"/>
      <c r="JDK9" s="29"/>
      <c r="JDL9" s="2"/>
      <c r="JDM9" s="2"/>
      <c r="JDX9" s="29"/>
      <c r="JDY9" s="2"/>
      <c r="JDZ9" s="2"/>
      <c r="JEK9" s="29"/>
      <c r="JEL9" s="2"/>
      <c r="JEM9" s="2"/>
      <c r="JEX9" s="29"/>
      <c r="JEY9" s="2"/>
      <c r="JEZ9" s="2"/>
      <c r="JFK9" s="29"/>
      <c r="JFL9" s="2"/>
      <c r="JFM9" s="2"/>
      <c r="JFX9" s="29"/>
      <c r="JFY9" s="2"/>
      <c r="JFZ9" s="2"/>
      <c r="JGK9" s="29"/>
      <c r="JGL9" s="2"/>
      <c r="JGM9" s="2"/>
      <c r="JGX9" s="29"/>
      <c r="JGY9" s="2"/>
      <c r="JGZ9" s="2"/>
      <c r="JHK9" s="29"/>
      <c r="JHL9" s="2"/>
      <c r="JHM9" s="2"/>
      <c r="JHX9" s="29"/>
      <c r="JHY9" s="2"/>
      <c r="JHZ9" s="2"/>
      <c r="JIK9" s="29"/>
      <c r="JIL9" s="2"/>
      <c r="JIM9" s="2"/>
      <c r="JIX9" s="29"/>
      <c r="JIY9" s="2"/>
      <c r="JIZ9" s="2"/>
      <c r="JJK9" s="29"/>
      <c r="JJL9" s="2"/>
      <c r="JJM9" s="2"/>
      <c r="JJX9" s="29"/>
      <c r="JJY9" s="2"/>
      <c r="JJZ9" s="2"/>
      <c r="JKK9" s="29"/>
      <c r="JKL9" s="2"/>
      <c r="JKM9" s="2"/>
      <c r="JKX9" s="29"/>
      <c r="JKY9" s="2"/>
      <c r="JKZ9" s="2"/>
      <c r="JLK9" s="29"/>
      <c r="JLL9" s="2"/>
      <c r="JLM9" s="2"/>
      <c r="JLX9" s="29"/>
      <c r="JLY9" s="2"/>
      <c r="JLZ9" s="2"/>
      <c r="JMK9" s="29"/>
      <c r="JML9" s="2"/>
      <c r="JMM9" s="2"/>
      <c r="JMX9" s="29"/>
      <c r="JMY9" s="2"/>
      <c r="JMZ9" s="2"/>
      <c r="JNK9" s="29"/>
      <c r="JNL9" s="2"/>
      <c r="JNM9" s="2"/>
      <c r="JNX9" s="29"/>
      <c r="JNY9" s="2"/>
      <c r="JNZ9" s="2"/>
      <c r="JOK9" s="29"/>
      <c r="JOL9" s="2"/>
      <c r="JOM9" s="2"/>
      <c r="JOX9" s="29"/>
      <c r="JOY9" s="2"/>
      <c r="JOZ9" s="2"/>
      <c r="JPK9" s="29"/>
      <c r="JPL9" s="2"/>
      <c r="JPM9" s="2"/>
      <c r="JPX9" s="29"/>
      <c r="JPY9" s="2"/>
      <c r="JPZ9" s="2"/>
      <c r="JQK9" s="29"/>
      <c r="JQL9" s="2"/>
      <c r="JQM9" s="2"/>
      <c r="JQX9" s="29"/>
      <c r="JQY9" s="2"/>
      <c r="JQZ9" s="2"/>
      <c r="JRK9" s="29"/>
      <c r="JRL9" s="2"/>
      <c r="JRM9" s="2"/>
      <c r="JRX9" s="29"/>
      <c r="JRY9" s="2"/>
      <c r="JRZ9" s="2"/>
      <c r="JSK9" s="29"/>
      <c r="JSL9" s="2"/>
      <c r="JSM9" s="2"/>
      <c r="JSX9" s="29"/>
      <c r="JSY9" s="2"/>
      <c r="JSZ9" s="2"/>
      <c r="JTK9" s="29"/>
      <c r="JTL9" s="2"/>
      <c r="JTM9" s="2"/>
      <c r="JTX9" s="29"/>
      <c r="JTY9" s="2"/>
      <c r="JTZ9" s="2"/>
      <c r="JUK9" s="29"/>
      <c r="JUL9" s="2"/>
      <c r="JUM9" s="2"/>
      <c r="JUX9" s="29"/>
      <c r="JUY9" s="2"/>
      <c r="JUZ9" s="2"/>
      <c r="JVK9" s="29"/>
      <c r="JVL9" s="2"/>
      <c r="JVM9" s="2"/>
      <c r="JVX9" s="29"/>
      <c r="JVY9" s="2"/>
      <c r="JVZ9" s="2"/>
      <c r="JWK9" s="29"/>
      <c r="JWL9" s="2"/>
      <c r="JWM9" s="2"/>
      <c r="JWX9" s="29"/>
      <c r="JWY9" s="2"/>
      <c r="JWZ9" s="2"/>
      <c r="JXK9" s="29"/>
      <c r="JXL9" s="2"/>
      <c r="JXM9" s="2"/>
      <c r="JXX9" s="29"/>
      <c r="JXY9" s="2"/>
      <c r="JXZ9" s="2"/>
      <c r="JYK9" s="29"/>
      <c r="JYL9" s="2"/>
      <c r="JYM9" s="2"/>
      <c r="JYX9" s="29"/>
      <c r="JYY9" s="2"/>
      <c r="JYZ9" s="2"/>
      <c r="JZK9" s="29"/>
      <c r="JZL9" s="2"/>
      <c r="JZM9" s="2"/>
      <c r="JZX9" s="29"/>
      <c r="JZY9" s="2"/>
      <c r="JZZ9" s="2"/>
      <c r="KAK9" s="29"/>
      <c r="KAL9" s="2"/>
      <c r="KAM9" s="2"/>
      <c r="KAX9" s="29"/>
      <c r="KAY9" s="2"/>
      <c r="KAZ9" s="2"/>
      <c r="KBK9" s="29"/>
      <c r="KBL9" s="2"/>
      <c r="KBM9" s="2"/>
      <c r="KBX9" s="29"/>
      <c r="KBY9" s="2"/>
      <c r="KBZ9" s="2"/>
      <c r="KCK9" s="29"/>
      <c r="KCL9" s="2"/>
      <c r="KCM9" s="2"/>
      <c r="KCX9" s="29"/>
      <c r="KCY9" s="2"/>
      <c r="KCZ9" s="2"/>
      <c r="KDK9" s="29"/>
      <c r="KDL9" s="2"/>
      <c r="KDM9" s="2"/>
      <c r="KDX9" s="29"/>
      <c r="KDY9" s="2"/>
      <c r="KDZ9" s="2"/>
      <c r="KEK9" s="29"/>
      <c r="KEL9" s="2"/>
      <c r="KEM9" s="2"/>
      <c r="KEX9" s="29"/>
      <c r="KEY9" s="2"/>
      <c r="KEZ9" s="2"/>
      <c r="KFK9" s="29"/>
      <c r="KFL9" s="2"/>
      <c r="KFM9" s="2"/>
      <c r="KFX9" s="29"/>
      <c r="KFY9" s="2"/>
      <c r="KFZ9" s="2"/>
      <c r="KGK9" s="29"/>
      <c r="KGL9" s="2"/>
      <c r="KGM9" s="2"/>
      <c r="KGX9" s="29"/>
      <c r="KGY9" s="2"/>
      <c r="KGZ9" s="2"/>
      <c r="KHK9" s="29"/>
      <c r="KHL9" s="2"/>
      <c r="KHM9" s="2"/>
      <c r="KHX9" s="29"/>
      <c r="KHY9" s="2"/>
      <c r="KHZ9" s="2"/>
      <c r="KIK9" s="29"/>
      <c r="KIL9" s="2"/>
      <c r="KIM9" s="2"/>
      <c r="KIX9" s="29"/>
      <c r="KIY9" s="2"/>
      <c r="KIZ9" s="2"/>
      <c r="KJK9" s="29"/>
      <c r="KJL9" s="2"/>
      <c r="KJM9" s="2"/>
      <c r="KJX9" s="29"/>
      <c r="KJY9" s="2"/>
      <c r="KJZ9" s="2"/>
      <c r="KKK9" s="29"/>
      <c r="KKL9" s="2"/>
      <c r="KKM9" s="2"/>
      <c r="KKX9" s="29"/>
      <c r="KKY9" s="2"/>
      <c r="KKZ9" s="2"/>
      <c r="KLK9" s="29"/>
      <c r="KLL9" s="2"/>
      <c r="KLM9" s="2"/>
      <c r="KLX9" s="29"/>
      <c r="KLY9" s="2"/>
      <c r="KLZ9" s="2"/>
      <c r="KMK9" s="29"/>
      <c r="KML9" s="2"/>
      <c r="KMM9" s="2"/>
      <c r="KMX9" s="29"/>
      <c r="KMY9" s="2"/>
      <c r="KMZ9" s="2"/>
      <c r="KNK9" s="29"/>
      <c r="KNL9" s="2"/>
      <c r="KNM9" s="2"/>
      <c r="KNX9" s="29"/>
      <c r="KNY9" s="2"/>
      <c r="KNZ9" s="2"/>
      <c r="KOK9" s="29"/>
      <c r="KOL9" s="2"/>
      <c r="KOM9" s="2"/>
      <c r="KOX9" s="29"/>
      <c r="KOY9" s="2"/>
      <c r="KOZ9" s="2"/>
      <c r="KPK9" s="29"/>
      <c r="KPL9" s="2"/>
      <c r="KPM9" s="2"/>
      <c r="KPX9" s="29"/>
      <c r="KPY9" s="2"/>
      <c r="KPZ9" s="2"/>
      <c r="KQK9" s="29"/>
      <c r="KQL9" s="2"/>
      <c r="KQM9" s="2"/>
      <c r="KQX9" s="29"/>
      <c r="KQY9" s="2"/>
      <c r="KQZ9" s="2"/>
      <c r="KRK9" s="29"/>
      <c r="KRL9" s="2"/>
      <c r="KRM9" s="2"/>
      <c r="KRX9" s="29"/>
      <c r="KRY9" s="2"/>
      <c r="KRZ9" s="2"/>
      <c r="KSK9" s="29"/>
      <c r="KSL9" s="2"/>
      <c r="KSM9" s="2"/>
      <c r="KSX9" s="29"/>
      <c r="KSY9" s="2"/>
      <c r="KSZ9" s="2"/>
      <c r="KTK9" s="29"/>
      <c r="KTL9" s="2"/>
      <c r="KTM9" s="2"/>
      <c r="KTX9" s="29"/>
      <c r="KTY9" s="2"/>
      <c r="KTZ9" s="2"/>
      <c r="KUK9" s="29"/>
      <c r="KUL9" s="2"/>
      <c r="KUM9" s="2"/>
      <c r="KUX9" s="29"/>
      <c r="KUY9" s="2"/>
      <c r="KUZ9" s="2"/>
      <c r="KVK9" s="29"/>
      <c r="KVL9" s="2"/>
      <c r="KVM9" s="2"/>
      <c r="KVX9" s="29"/>
      <c r="KVY9" s="2"/>
      <c r="KVZ9" s="2"/>
      <c r="KWK9" s="29"/>
      <c r="KWL9" s="2"/>
      <c r="KWM9" s="2"/>
      <c r="KWX9" s="29"/>
      <c r="KWY9" s="2"/>
      <c r="KWZ9" s="2"/>
      <c r="KXK9" s="29"/>
      <c r="KXL9" s="2"/>
      <c r="KXM9" s="2"/>
      <c r="KXX9" s="29"/>
      <c r="KXY9" s="2"/>
      <c r="KXZ9" s="2"/>
      <c r="KYK9" s="29"/>
      <c r="KYL9" s="2"/>
      <c r="KYM9" s="2"/>
      <c r="KYX9" s="29"/>
      <c r="KYY9" s="2"/>
      <c r="KYZ9" s="2"/>
      <c r="KZK9" s="29"/>
      <c r="KZL9" s="2"/>
      <c r="KZM9" s="2"/>
      <c r="KZX9" s="29"/>
      <c r="KZY9" s="2"/>
      <c r="KZZ9" s="2"/>
      <c r="LAK9" s="29"/>
      <c r="LAL9" s="2"/>
      <c r="LAM9" s="2"/>
      <c r="LAX9" s="29"/>
      <c r="LAY9" s="2"/>
      <c r="LAZ9" s="2"/>
      <c r="LBK9" s="29"/>
      <c r="LBL9" s="2"/>
      <c r="LBM9" s="2"/>
      <c r="LBX9" s="29"/>
      <c r="LBY9" s="2"/>
      <c r="LBZ9" s="2"/>
      <c r="LCK9" s="29"/>
      <c r="LCL9" s="2"/>
      <c r="LCM9" s="2"/>
      <c r="LCX9" s="29"/>
      <c r="LCY9" s="2"/>
      <c r="LCZ9" s="2"/>
      <c r="LDK9" s="29"/>
      <c r="LDL9" s="2"/>
      <c r="LDM9" s="2"/>
      <c r="LDX9" s="29"/>
      <c r="LDY9" s="2"/>
      <c r="LDZ9" s="2"/>
      <c r="LEK9" s="29"/>
      <c r="LEL9" s="2"/>
      <c r="LEM9" s="2"/>
      <c r="LEX9" s="29"/>
      <c r="LEY9" s="2"/>
      <c r="LEZ9" s="2"/>
      <c r="LFK9" s="29"/>
      <c r="LFL9" s="2"/>
      <c r="LFM9" s="2"/>
      <c r="LFX9" s="29"/>
      <c r="LFY9" s="2"/>
      <c r="LFZ9" s="2"/>
      <c r="LGK9" s="29"/>
      <c r="LGL9" s="2"/>
      <c r="LGM9" s="2"/>
      <c r="LGX9" s="29"/>
      <c r="LGY9" s="2"/>
      <c r="LGZ9" s="2"/>
      <c r="LHK9" s="29"/>
      <c r="LHL9" s="2"/>
      <c r="LHM9" s="2"/>
      <c r="LHX9" s="29"/>
      <c r="LHY9" s="2"/>
      <c r="LHZ9" s="2"/>
      <c r="LIK9" s="29"/>
      <c r="LIL9" s="2"/>
      <c r="LIM9" s="2"/>
      <c r="LIX9" s="29"/>
      <c r="LIY9" s="2"/>
      <c r="LIZ9" s="2"/>
      <c r="LJK9" s="29"/>
      <c r="LJL9" s="2"/>
      <c r="LJM9" s="2"/>
      <c r="LJX9" s="29"/>
      <c r="LJY9" s="2"/>
      <c r="LJZ9" s="2"/>
      <c r="LKK9" s="29"/>
      <c r="LKL9" s="2"/>
      <c r="LKM9" s="2"/>
      <c r="LKX9" s="29"/>
      <c r="LKY9" s="2"/>
      <c r="LKZ9" s="2"/>
      <c r="LLK9" s="29"/>
      <c r="LLL9" s="2"/>
      <c r="LLM9" s="2"/>
      <c r="LLX9" s="29"/>
      <c r="LLY9" s="2"/>
      <c r="LLZ9" s="2"/>
      <c r="LMK9" s="29"/>
      <c r="LML9" s="2"/>
      <c r="LMM9" s="2"/>
      <c r="LMX9" s="29"/>
      <c r="LMY9" s="2"/>
      <c r="LMZ9" s="2"/>
      <c r="LNK9" s="29"/>
      <c r="LNL9" s="2"/>
      <c r="LNM9" s="2"/>
      <c r="LNX9" s="29"/>
      <c r="LNY9" s="2"/>
      <c r="LNZ9" s="2"/>
      <c r="LOK9" s="29"/>
      <c r="LOL9" s="2"/>
      <c r="LOM9" s="2"/>
      <c r="LOX9" s="29"/>
      <c r="LOY9" s="2"/>
      <c r="LOZ9" s="2"/>
      <c r="LPK9" s="29"/>
      <c r="LPL9" s="2"/>
      <c r="LPM9" s="2"/>
      <c r="LPX9" s="29"/>
      <c r="LPY9" s="2"/>
      <c r="LPZ9" s="2"/>
      <c r="LQK9" s="29"/>
      <c r="LQL9" s="2"/>
      <c r="LQM9" s="2"/>
      <c r="LQX9" s="29"/>
      <c r="LQY9" s="2"/>
      <c r="LQZ9" s="2"/>
      <c r="LRK9" s="29"/>
      <c r="LRL9" s="2"/>
      <c r="LRM9" s="2"/>
      <c r="LRX9" s="29"/>
      <c r="LRY9" s="2"/>
      <c r="LRZ9" s="2"/>
      <c r="LSK9" s="29"/>
      <c r="LSL9" s="2"/>
      <c r="LSM9" s="2"/>
      <c r="LSX9" s="29"/>
      <c r="LSY9" s="2"/>
      <c r="LSZ9" s="2"/>
      <c r="LTK9" s="29"/>
      <c r="LTL9" s="2"/>
      <c r="LTM9" s="2"/>
      <c r="LTX9" s="29"/>
      <c r="LTY9" s="2"/>
      <c r="LTZ9" s="2"/>
      <c r="LUK9" s="29"/>
      <c r="LUL9" s="2"/>
      <c r="LUM9" s="2"/>
      <c r="LUX9" s="29"/>
      <c r="LUY9" s="2"/>
      <c r="LUZ9" s="2"/>
      <c r="LVK9" s="29"/>
      <c r="LVL9" s="2"/>
      <c r="LVM9" s="2"/>
      <c r="LVX9" s="29"/>
      <c r="LVY9" s="2"/>
      <c r="LVZ9" s="2"/>
      <c r="LWK9" s="29"/>
      <c r="LWL9" s="2"/>
      <c r="LWM9" s="2"/>
      <c r="LWX9" s="29"/>
      <c r="LWY9" s="2"/>
      <c r="LWZ9" s="2"/>
      <c r="LXK9" s="29"/>
      <c r="LXL9" s="2"/>
      <c r="LXM9" s="2"/>
      <c r="LXX9" s="29"/>
      <c r="LXY9" s="2"/>
      <c r="LXZ9" s="2"/>
      <c r="LYK9" s="29"/>
      <c r="LYL9" s="2"/>
      <c r="LYM9" s="2"/>
      <c r="LYX9" s="29"/>
      <c r="LYY9" s="2"/>
      <c r="LYZ9" s="2"/>
      <c r="LZK9" s="29"/>
      <c r="LZL9" s="2"/>
      <c r="LZM9" s="2"/>
      <c r="LZX9" s="29"/>
      <c r="LZY9" s="2"/>
      <c r="LZZ9" s="2"/>
      <c r="MAK9" s="29"/>
      <c r="MAL9" s="2"/>
      <c r="MAM9" s="2"/>
      <c r="MAX9" s="29"/>
      <c r="MAY9" s="2"/>
      <c r="MAZ9" s="2"/>
      <c r="MBK9" s="29"/>
      <c r="MBL9" s="2"/>
      <c r="MBM9" s="2"/>
      <c r="MBX9" s="29"/>
      <c r="MBY9" s="2"/>
      <c r="MBZ9" s="2"/>
      <c r="MCK9" s="29"/>
      <c r="MCL9" s="2"/>
      <c r="MCM9" s="2"/>
      <c r="MCX9" s="29"/>
      <c r="MCY9" s="2"/>
      <c r="MCZ9" s="2"/>
      <c r="MDK9" s="29"/>
      <c r="MDL9" s="2"/>
      <c r="MDM9" s="2"/>
      <c r="MDX9" s="29"/>
      <c r="MDY9" s="2"/>
      <c r="MDZ9" s="2"/>
      <c r="MEK9" s="29"/>
      <c r="MEL9" s="2"/>
      <c r="MEM9" s="2"/>
      <c r="MEX9" s="29"/>
      <c r="MEY9" s="2"/>
      <c r="MEZ9" s="2"/>
      <c r="MFK9" s="29"/>
      <c r="MFL9" s="2"/>
      <c r="MFM9" s="2"/>
      <c r="MFX9" s="29"/>
      <c r="MFY9" s="2"/>
      <c r="MFZ9" s="2"/>
      <c r="MGK9" s="29"/>
      <c r="MGL9" s="2"/>
      <c r="MGM9" s="2"/>
      <c r="MGX9" s="29"/>
      <c r="MGY9" s="2"/>
      <c r="MGZ9" s="2"/>
      <c r="MHK9" s="29"/>
      <c r="MHL9" s="2"/>
      <c r="MHM9" s="2"/>
      <c r="MHX9" s="29"/>
      <c r="MHY9" s="2"/>
      <c r="MHZ9" s="2"/>
      <c r="MIK9" s="29"/>
      <c r="MIL9" s="2"/>
      <c r="MIM9" s="2"/>
      <c r="MIX9" s="29"/>
      <c r="MIY9" s="2"/>
      <c r="MIZ9" s="2"/>
      <c r="MJK9" s="29"/>
      <c r="MJL9" s="2"/>
      <c r="MJM9" s="2"/>
      <c r="MJX9" s="29"/>
      <c r="MJY9" s="2"/>
      <c r="MJZ9" s="2"/>
      <c r="MKK9" s="29"/>
      <c r="MKL9" s="2"/>
      <c r="MKM9" s="2"/>
      <c r="MKX9" s="29"/>
      <c r="MKY9" s="2"/>
      <c r="MKZ9" s="2"/>
      <c r="MLK9" s="29"/>
      <c r="MLL9" s="2"/>
      <c r="MLM9" s="2"/>
      <c r="MLX9" s="29"/>
      <c r="MLY9" s="2"/>
      <c r="MLZ9" s="2"/>
      <c r="MMK9" s="29"/>
      <c r="MML9" s="2"/>
      <c r="MMM9" s="2"/>
      <c r="MMX9" s="29"/>
      <c r="MMY9" s="2"/>
      <c r="MMZ9" s="2"/>
      <c r="MNK9" s="29"/>
      <c r="MNL9" s="2"/>
      <c r="MNM9" s="2"/>
      <c r="MNX9" s="29"/>
      <c r="MNY9" s="2"/>
      <c r="MNZ9" s="2"/>
      <c r="MOK9" s="29"/>
      <c r="MOL9" s="2"/>
      <c r="MOM9" s="2"/>
      <c r="MOX9" s="29"/>
      <c r="MOY9" s="2"/>
      <c r="MOZ9" s="2"/>
      <c r="MPK9" s="29"/>
      <c r="MPL9" s="2"/>
      <c r="MPM9" s="2"/>
      <c r="MPX9" s="29"/>
      <c r="MPY9" s="2"/>
      <c r="MPZ9" s="2"/>
      <c r="MQK9" s="29"/>
      <c r="MQL9" s="2"/>
      <c r="MQM9" s="2"/>
      <c r="MQX9" s="29"/>
      <c r="MQY9" s="2"/>
      <c r="MQZ9" s="2"/>
      <c r="MRK9" s="29"/>
      <c r="MRL9" s="2"/>
      <c r="MRM9" s="2"/>
      <c r="MRX9" s="29"/>
      <c r="MRY9" s="2"/>
      <c r="MRZ9" s="2"/>
      <c r="MSK9" s="29"/>
      <c r="MSL9" s="2"/>
      <c r="MSM9" s="2"/>
      <c r="MSX9" s="29"/>
      <c r="MSY9" s="2"/>
      <c r="MSZ9" s="2"/>
      <c r="MTK9" s="29"/>
      <c r="MTL9" s="2"/>
      <c r="MTM9" s="2"/>
      <c r="MTX9" s="29"/>
      <c r="MTY9" s="2"/>
      <c r="MTZ9" s="2"/>
      <c r="MUK9" s="29"/>
      <c r="MUL9" s="2"/>
      <c r="MUM9" s="2"/>
      <c r="MUX9" s="29"/>
      <c r="MUY9" s="2"/>
      <c r="MUZ9" s="2"/>
      <c r="MVK9" s="29"/>
      <c r="MVL9" s="2"/>
      <c r="MVM9" s="2"/>
      <c r="MVX9" s="29"/>
      <c r="MVY9" s="2"/>
      <c r="MVZ9" s="2"/>
      <c r="MWK9" s="29"/>
      <c r="MWL9" s="2"/>
      <c r="MWM9" s="2"/>
      <c r="MWX9" s="29"/>
      <c r="MWY9" s="2"/>
      <c r="MWZ9" s="2"/>
      <c r="MXK9" s="29"/>
      <c r="MXL9" s="2"/>
      <c r="MXM9" s="2"/>
      <c r="MXX9" s="29"/>
      <c r="MXY9" s="2"/>
      <c r="MXZ9" s="2"/>
      <c r="MYK9" s="29"/>
      <c r="MYL9" s="2"/>
      <c r="MYM9" s="2"/>
      <c r="MYX9" s="29"/>
      <c r="MYY9" s="2"/>
      <c r="MYZ9" s="2"/>
      <c r="MZK9" s="29"/>
      <c r="MZL9" s="2"/>
      <c r="MZM9" s="2"/>
      <c r="MZX9" s="29"/>
      <c r="MZY9" s="2"/>
      <c r="MZZ9" s="2"/>
      <c r="NAK9" s="29"/>
      <c r="NAL9" s="2"/>
      <c r="NAM9" s="2"/>
      <c r="NAX9" s="29"/>
      <c r="NAY9" s="2"/>
      <c r="NAZ9" s="2"/>
      <c r="NBK9" s="29"/>
      <c r="NBL9" s="2"/>
      <c r="NBM9" s="2"/>
      <c r="NBX9" s="29"/>
      <c r="NBY9" s="2"/>
      <c r="NBZ9" s="2"/>
      <c r="NCK9" s="29"/>
      <c r="NCL9" s="2"/>
      <c r="NCM9" s="2"/>
      <c r="NCX9" s="29"/>
      <c r="NCY9" s="2"/>
      <c r="NCZ9" s="2"/>
      <c r="NDK9" s="29"/>
      <c r="NDL9" s="2"/>
      <c r="NDM9" s="2"/>
      <c r="NDX9" s="29"/>
      <c r="NDY9" s="2"/>
      <c r="NDZ9" s="2"/>
      <c r="NEK9" s="29"/>
      <c r="NEL9" s="2"/>
      <c r="NEM9" s="2"/>
      <c r="NEX9" s="29"/>
      <c r="NEY9" s="2"/>
      <c r="NEZ9" s="2"/>
      <c r="NFK9" s="29"/>
      <c r="NFL9" s="2"/>
      <c r="NFM9" s="2"/>
      <c r="NFX9" s="29"/>
      <c r="NFY9" s="2"/>
      <c r="NFZ9" s="2"/>
      <c r="NGK9" s="29"/>
      <c r="NGL9" s="2"/>
      <c r="NGM9" s="2"/>
      <c r="NGX9" s="29"/>
      <c r="NGY9" s="2"/>
      <c r="NGZ9" s="2"/>
      <c r="NHK9" s="29"/>
      <c r="NHL9" s="2"/>
      <c r="NHM9" s="2"/>
      <c r="NHX9" s="29"/>
      <c r="NHY9" s="2"/>
      <c r="NHZ9" s="2"/>
      <c r="NIK9" s="29"/>
      <c r="NIL9" s="2"/>
      <c r="NIM9" s="2"/>
      <c r="NIX9" s="29"/>
      <c r="NIY9" s="2"/>
      <c r="NIZ9" s="2"/>
      <c r="NJK9" s="29"/>
      <c r="NJL9" s="2"/>
      <c r="NJM9" s="2"/>
      <c r="NJX9" s="29"/>
      <c r="NJY9" s="2"/>
      <c r="NJZ9" s="2"/>
      <c r="NKK9" s="29"/>
      <c r="NKL9" s="2"/>
      <c r="NKM9" s="2"/>
      <c r="NKX9" s="29"/>
      <c r="NKY9" s="2"/>
      <c r="NKZ9" s="2"/>
      <c r="NLK9" s="29"/>
      <c r="NLL9" s="2"/>
      <c r="NLM9" s="2"/>
      <c r="NLX9" s="29"/>
      <c r="NLY9" s="2"/>
      <c r="NLZ9" s="2"/>
      <c r="NMK9" s="29"/>
      <c r="NML9" s="2"/>
      <c r="NMM9" s="2"/>
      <c r="NMX9" s="29"/>
      <c r="NMY9" s="2"/>
      <c r="NMZ9" s="2"/>
      <c r="NNK9" s="29"/>
      <c r="NNL9" s="2"/>
      <c r="NNM9" s="2"/>
      <c r="NNX9" s="29"/>
      <c r="NNY9" s="2"/>
      <c r="NNZ9" s="2"/>
      <c r="NOK9" s="29"/>
      <c r="NOL9" s="2"/>
      <c r="NOM9" s="2"/>
      <c r="NOX9" s="29"/>
      <c r="NOY9" s="2"/>
      <c r="NOZ9" s="2"/>
      <c r="NPK9" s="29"/>
      <c r="NPL9" s="2"/>
      <c r="NPM9" s="2"/>
      <c r="NPX9" s="29"/>
      <c r="NPY9" s="2"/>
      <c r="NPZ9" s="2"/>
      <c r="NQK9" s="29"/>
      <c r="NQL9" s="2"/>
      <c r="NQM9" s="2"/>
      <c r="NQX9" s="29"/>
      <c r="NQY9" s="2"/>
      <c r="NQZ9" s="2"/>
      <c r="NRK9" s="29"/>
      <c r="NRL9" s="2"/>
      <c r="NRM9" s="2"/>
      <c r="NRX9" s="29"/>
      <c r="NRY9" s="2"/>
      <c r="NRZ9" s="2"/>
      <c r="NSK9" s="29"/>
      <c r="NSL9" s="2"/>
      <c r="NSM9" s="2"/>
      <c r="NSX9" s="29"/>
      <c r="NSY9" s="2"/>
      <c r="NSZ9" s="2"/>
      <c r="NTK9" s="29"/>
      <c r="NTL9" s="2"/>
      <c r="NTM9" s="2"/>
      <c r="NTX9" s="29"/>
      <c r="NTY9" s="2"/>
      <c r="NTZ9" s="2"/>
      <c r="NUK9" s="29"/>
      <c r="NUL9" s="2"/>
      <c r="NUM9" s="2"/>
      <c r="NUX9" s="29"/>
      <c r="NUY9" s="2"/>
      <c r="NUZ9" s="2"/>
      <c r="NVK9" s="29"/>
      <c r="NVL9" s="2"/>
      <c r="NVM9" s="2"/>
      <c r="NVX9" s="29"/>
      <c r="NVY9" s="2"/>
      <c r="NVZ9" s="2"/>
      <c r="NWK9" s="29"/>
      <c r="NWL9" s="2"/>
      <c r="NWM9" s="2"/>
      <c r="NWX9" s="29"/>
      <c r="NWY9" s="2"/>
      <c r="NWZ9" s="2"/>
      <c r="NXK9" s="29"/>
      <c r="NXL9" s="2"/>
      <c r="NXM9" s="2"/>
      <c r="NXX9" s="29"/>
      <c r="NXY9" s="2"/>
      <c r="NXZ9" s="2"/>
      <c r="NYK9" s="29"/>
      <c r="NYL9" s="2"/>
      <c r="NYM9" s="2"/>
      <c r="NYX9" s="29"/>
      <c r="NYY9" s="2"/>
      <c r="NYZ9" s="2"/>
      <c r="NZK9" s="29"/>
      <c r="NZL9" s="2"/>
      <c r="NZM9" s="2"/>
      <c r="NZX9" s="29"/>
      <c r="NZY9" s="2"/>
      <c r="NZZ9" s="2"/>
      <c r="OAK9" s="29"/>
      <c r="OAL9" s="2"/>
      <c r="OAM9" s="2"/>
      <c r="OAX9" s="29"/>
      <c r="OAY9" s="2"/>
      <c r="OAZ9" s="2"/>
      <c r="OBK9" s="29"/>
      <c r="OBL9" s="2"/>
      <c r="OBM9" s="2"/>
      <c r="OBX9" s="29"/>
      <c r="OBY9" s="2"/>
      <c r="OBZ9" s="2"/>
      <c r="OCK9" s="29"/>
      <c r="OCL9" s="2"/>
      <c r="OCM9" s="2"/>
      <c r="OCX9" s="29"/>
      <c r="OCY9" s="2"/>
      <c r="OCZ9" s="2"/>
      <c r="ODK9" s="29"/>
      <c r="ODL9" s="2"/>
      <c r="ODM9" s="2"/>
      <c r="ODX9" s="29"/>
      <c r="ODY9" s="2"/>
      <c r="ODZ9" s="2"/>
      <c r="OEK9" s="29"/>
      <c r="OEL9" s="2"/>
      <c r="OEM9" s="2"/>
      <c r="OEX9" s="29"/>
      <c r="OEY9" s="2"/>
      <c r="OEZ9" s="2"/>
      <c r="OFK9" s="29"/>
      <c r="OFL9" s="2"/>
      <c r="OFM9" s="2"/>
      <c r="OFX9" s="29"/>
      <c r="OFY9" s="2"/>
      <c r="OFZ9" s="2"/>
      <c r="OGK9" s="29"/>
      <c r="OGL9" s="2"/>
      <c r="OGM9" s="2"/>
      <c r="OGX9" s="29"/>
      <c r="OGY9" s="2"/>
      <c r="OGZ9" s="2"/>
      <c r="OHK9" s="29"/>
      <c r="OHL9" s="2"/>
      <c r="OHM9" s="2"/>
      <c r="OHX9" s="29"/>
      <c r="OHY9" s="2"/>
      <c r="OHZ9" s="2"/>
      <c r="OIK9" s="29"/>
      <c r="OIL9" s="2"/>
      <c r="OIM9" s="2"/>
      <c r="OIX9" s="29"/>
      <c r="OIY9" s="2"/>
      <c r="OIZ9" s="2"/>
      <c r="OJK9" s="29"/>
      <c r="OJL9" s="2"/>
      <c r="OJM9" s="2"/>
      <c r="OJX9" s="29"/>
      <c r="OJY9" s="2"/>
      <c r="OJZ9" s="2"/>
      <c r="OKK9" s="29"/>
      <c r="OKL9" s="2"/>
      <c r="OKM9" s="2"/>
      <c r="OKX9" s="29"/>
      <c r="OKY9" s="2"/>
      <c r="OKZ9" s="2"/>
      <c r="OLK9" s="29"/>
      <c r="OLL9" s="2"/>
      <c r="OLM9" s="2"/>
      <c r="OLX9" s="29"/>
      <c r="OLY9" s="2"/>
      <c r="OLZ9" s="2"/>
      <c r="OMK9" s="29"/>
      <c r="OML9" s="2"/>
      <c r="OMM9" s="2"/>
      <c r="OMX9" s="29"/>
      <c r="OMY9" s="2"/>
      <c r="OMZ9" s="2"/>
      <c r="ONK9" s="29"/>
      <c r="ONL9" s="2"/>
      <c r="ONM9" s="2"/>
      <c r="ONX9" s="29"/>
      <c r="ONY9" s="2"/>
      <c r="ONZ9" s="2"/>
      <c r="OOK9" s="29"/>
      <c r="OOL9" s="2"/>
      <c r="OOM9" s="2"/>
      <c r="OOX9" s="29"/>
      <c r="OOY9" s="2"/>
      <c r="OOZ9" s="2"/>
      <c r="OPK9" s="29"/>
      <c r="OPL9" s="2"/>
      <c r="OPM9" s="2"/>
      <c r="OPX9" s="29"/>
      <c r="OPY9" s="2"/>
      <c r="OPZ9" s="2"/>
      <c r="OQK9" s="29"/>
      <c r="OQL9" s="2"/>
      <c r="OQM9" s="2"/>
      <c r="OQX9" s="29"/>
      <c r="OQY9" s="2"/>
      <c r="OQZ9" s="2"/>
      <c r="ORK9" s="29"/>
      <c r="ORL9" s="2"/>
      <c r="ORM9" s="2"/>
      <c r="ORX9" s="29"/>
      <c r="ORY9" s="2"/>
      <c r="ORZ9" s="2"/>
      <c r="OSK9" s="29"/>
      <c r="OSL9" s="2"/>
      <c r="OSM9" s="2"/>
      <c r="OSX9" s="29"/>
      <c r="OSY9" s="2"/>
      <c r="OSZ9" s="2"/>
      <c r="OTK9" s="29"/>
      <c r="OTL9" s="2"/>
      <c r="OTM9" s="2"/>
      <c r="OTX9" s="29"/>
      <c r="OTY9" s="2"/>
      <c r="OTZ9" s="2"/>
      <c r="OUK9" s="29"/>
      <c r="OUL9" s="2"/>
      <c r="OUM9" s="2"/>
      <c r="OUX9" s="29"/>
      <c r="OUY9" s="2"/>
      <c r="OUZ9" s="2"/>
      <c r="OVK9" s="29"/>
      <c r="OVL9" s="2"/>
      <c r="OVM9" s="2"/>
      <c r="OVX9" s="29"/>
      <c r="OVY9" s="2"/>
      <c r="OVZ9" s="2"/>
      <c r="OWK9" s="29"/>
      <c r="OWL9" s="2"/>
      <c r="OWM9" s="2"/>
      <c r="OWX9" s="29"/>
      <c r="OWY9" s="2"/>
      <c r="OWZ9" s="2"/>
      <c r="OXK9" s="29"/>
      <c r="OXL9" s="2"/>
      <c r="OXM9" s="2"/>
      <c r="OXX9" s="29"/>
      <c r="OXY9" s="2"/>
      <c r="OXZ9" s="2"/>
      <c r="OYK9" s="29"/>
      <c r="OYL9" s="2"/>
      <c r="OYM9" s="2"/>
      <c r="OYX9" s="29"/>
      <c r="OYY9" s="2"/>
      <c r="OYZ9" s="2"/>
      <c r="OZK9" s="29"/>
      <c r="OZL9" s="2"/>
      <c r="OZM9" s="2"/>
      <c r="OZX9" s="29"/>
      <c r="OZY9" s="2"/>
      <c r="OZZ9" s="2"/>
      <c r="PAK9" s="29"/>
      <c r="PAL9" s="2"/>
      <c r="PAM9" s="2"/>
      <c r="PAX9" s="29"/>
      <c r="PAY9" s="2"/>
      <c r="PAZ9" s="2"/>
      <c r="PBK9" s="29"/>
      <c r="PBL9" s="2"/>
      <c r="PBM9" s="2"/>
      <c r="PBX9" s="29"/>
      <c r="PBY9" s="2"/>
      <c r="PBZ9" s="2"/>
      <c r="PCK9" s="29"/>
      <c r="PCL9" s="2"/>
      <c r="PCM9" s="2"/>
      <c r="PCX9" s="29"/>
      <c r="PCY9" s="2"/>
      <c r="PCZ9" s="2"/>
      <c r="PDK9" s="29"/>
      <c r="PDL9" s="2"/>
      <c r="PDM9" s="2"/>
      <c r="PDX9" s="29"/>
      <c r="PDY9" s="2"/>
      <c r="PDZ9" s="2"/>
      <c r="PEK9" s="29"/>
      <c r="PEL9" s="2"/>
      <c r="PEM9" s="2"/>
      <c r="PEX9" s="29"/>
      <c r="PEY9" s="2"/>
      <c r="PEZ9" s="2"/>
      <c r="PFK9" s="29"/>
      <c r="PFL9" s="2"/>
      <c r="PFM9" s="2"/>
      <c r="PFX9" s="29"/>
      <c r="PFY9" s="2"/>
      <c r="PFZ9" s="2"/>
      <c r="PGK9" s="29"/>
      <c r="PGL9" s="2"/>
      <c r="PGM9" s="2"/>
      <c r="PGX9" s="29"/>
      <c r="PGY9" s="2"/>
      <c r="PGZ9" s="2"/>
      <c r="PHK9" s="29"/>
      <c r="PHL9" s="2"/>
      <c r="PHM9" s="2"/>
      <c r="PHX9" s="29"/>
      <c r="PHY9" s="2"/>
      <c r="PHZ9" s="2"/>
      <c r="PIK9" s="29"/>
      <c r="PIL9" s="2"/>
      <c r="PIM9" s="2"/>
      <c r="PIX9" s="29"/>
      <c r="PIY9" s="2"/>
      <c r="PIZ9" s="2"/>
      <c r="PJK9" s="29"/>
      <c r="PJL9" s="2"/>
      <c r="PJM9" s="2"/>
      <c r="PJX9" s="29"/>
      <c r="PJY9" s="2"/>
      <c r="PJZ9" s="2"/>
      <c r="PKK9" s="29"/>
      <c r="PKL9" s="2"/>
      <c r="PKM9" s="2"/>
      <c r="PKX9" s="29"/>
      <c r="PKY9" s="2"/>
      <c r="PKZ9" s="2"/>
      <c r="PLK9" s="29"/>
      <c r="PLL9" s="2"/>
      <c r="PLM9" s="2"/>
      <c r="PLX9" s="29"/>
      <c r="PLY9" s="2"/>
      <c r="PLZ9" s="2"/>
      <c r="PMK9" s="29"/>
      <c r="PML9" s="2"/>
      <c r="PMM9" s="2"/>
      <c r="PMX9" s="29"/>
      <c r="PMY9" s="2"/>
      <c r="PMZ9" s="2"/>
      <c r="PNK9" s="29"/>
      <c r="PNL9" s="2"/>
      <c r="PNM9" s="2"/>
      <c r="PNX9" s="29"/>
      <c r="PNY9" s="2"/>
      <c r="PNZ9" s="2"/>
      <c r="POK9" s="29"/>
      <c r="POL9" s="2"/>
      <c r="POM9" s="2"/>
      <c r="POX9" s="29"/>
      <c r="POY9" s="2"/>
      <c r="POZ9" s="2"/>
      <c r="PPK9" s="29"/>
      <c r="PPL9" s="2"/>
      <c r="PPM9" s="2"/>
      <c r="PPX9" s="29"/>
      <c r="PPY9" s="2"/>
      <c r="PPZ9" s="2"/>
      <c r="PQK9" s="29"/>
      <c r="PQL9" s="2"/>
      <c r="PQM9" s="2"/>
      <c r="PQX9" s="29"/>
      <c r="PQY9" s="2"/>
      <c r="PQZ9" s="2"/>
      <c r="PRK9" s="29"/>
      <c r="PRL9" s="2"/>
      <c r="PRM9" s="2"/>
      <c r="PRX9" s="29"/>
      <c r="PRY9" s="2"/>
      <c r="PRZ9" s="2"/>
      <c r="PSK9" s="29"/>
      <c r="PSL9" s="2"/>
      <c r="PSM9" s="2"/>
      <c r="PSX9" s="29"/>
      <c r="PSY9" s="2"/>
      <c r="PSZ9" s="2"/>
      <c r="PTK9" s="29"/>
      <c r="PTL9" s="2"/>
      <c r="PTM9" s="2"/>
      <c r="PTX9" s="29"/>
      <c r="PTY9" s="2"/>
      <c r="PTZ9" s="2"/>
      <c r="PUK9" s="29"/>
      <c r="PUL9" s="2"/>
      <c r="PUM9" s="2"/>
      <c r="PUX9" s="29"/>
      <c r="PUY9" s="2"/>
      <c r="PUZ9" s="2"/>
      <c r="PVK9" s="29"/>
      <c r="PVL9" s="2"/>
      <c r="PVM9" s="2"/>
      <c r="PVX9" s="29"/>
      <c r="PVY9" s="2"/>
      <c r="PVZ9" s="2"/>
      <c r="PWK9" s="29"/>
      <c r="PWL9" s="2"/>
      <c r="PWM9" s="2"/>
      <c r="PWX9" s="29"/>
      <c r="PWY9" s="2"/>
      <c r="PWZ9" s="2"/>
      <c r="PXK9" s="29"/>
      <c r="PXL9" s="2"/>
      <c r="PXM9" s="2"/>
      <c r="PXX9" s="29"/>
      <c r="PXY9" s="2"/>
      <c r="PXZ9" s="2"/>
      <c r="PYK9" s="29"/>
      <c r="PYL9" s="2"/>
      <c r="PYM9" s="2"/>
      <c r="PYX9" s="29"/>
      <c r="PYY9" s="2"/>
      <c r="PYZ9" s="2"/>
      <c r="PZK9" s="29"/>
      <c r="PZL9" s="2"/>
      <c r="PZM9" s="2"/>
      <c r="PZX9" s="29"/>
      <c r="PZY9" s="2"/>
      <c r="PZZ9" s="2"/>
      <c r="QAK9" s="29"/>
      <c r="QAL9" s="2"/>
      <c r="QAM9" s="2"/>
      <c r="QAX9" s="29"/>
      <c r="QAY9" s="2"/>
      <c r="QAZ9" s="2"/>
      <c r="QBK9" s="29"/>
      <c r="QBL9" s="2"/>
      <c r="QBM9" s="2"/>
      <c r="QBX9" s="29"/>
      <c r="QBY9" s="2"/>
      <c r="QBZ9" s="2"/>
      <c r="QCK9" s="29"/>
      <c r="QCL9" s="2"/>
      <c r="QCM9" s="2"/>
      <c r="QCX9" s="29"/>
      <c r="QCY9" s="2"/>
      <c r="QCZ9" s="2"/>
      <c r="QDK9" s="29"/>
      <c r="QDL9" s="2"/>
      <c r="QDM9" s="2"/>
      <c r="QDX9" s="29"/>
      <c r="QDY9" s="2"/>
      <c r="QDZ9" s="2"/>
      <c r="QEK9" s="29"/>
      <c r="QEL9" s="2"/>
      <c r="QEM9" s="2"/>
      <c r="QEX9" s="29"/>
      <c r="QEY9" s="2"/>
      <c r="QEZ9" s="2"/>
      <c r="QFK9" s="29"/>
      <c r="QFL9" s="2"/>
      <c r="QFM9" s="2"/>
      <c r="QFX9" s="29"/>
      <c r="QFY9" s="2"/>
      <c r="QFZ9" s="2"/>
      <c r="QGK9" s="29"/>
      <c r="QGL9" s="2"/>
      <c r="QGM9" s="2"/>
      <c r="QGX9" s="29"/>
      <c r="QGY9" s="2"/>
      <c r="QGZ9" s="2"/>
      <c r="QHK9" s="29"/>
      <c r="QHL9" s="2"/>
      <c r="QHM9" s="2"/>
      <c r="QHX9" s="29"/>
      <c r="QHY9" s="2"/>
      <c r="QHZ9" s="2"/>
      <c r="QIK9" s="29"/>
      <c r="QIL9" s="2"/>
      <c r="QIM9" s="2"/>
      <c r="QIX9" s="29"/>
      <c r="QIY9" s="2"/>
      <c r="QIZ9" s="2"/>
      <c r="QJK9" s="29"/>
      <c r="QJL9" s="2"/>
      <c r="QJM9" s="2"/>
      <c r="QJX9" s="29"/>
      <c r="QJY9" s="2"/>
      <c r="QJZ9" s="2"/>
      <c r="QKK9" s="29"/>
      <c r="QKL9" s="2"/>
      <c r="QKM9" s="2"/>
      <c r="QKX9" s="29"/>
      <c r="QKY9" s="2"/>
      <c r="QKZ9" s="2"/>
      <c r="QLK9" s="29"/>
      <c r="QLL9" s="2"/>
      <c r="QLM9" s="2"/>
      <c r="QLX9" s="29"/>
      <c r="QLY9" s="2"/>
      <c r="QLZ9" s="2"/>
      <c r="QMK9" s="29"/>
      <c r="QML9" s="2"/>
      <c r="QMM9" s="2"/>
      <c r="QMX9" s="29"/>
      <c r="QMY9" s="2"/>
      <c r="QMZ9" s="2"/>
      <c r="QNK9" s="29"/>
      <c r="QNL9" s="2"/>
      <c r="QNM9" s="2"/>
      <c r="QNX9" s="29"/>
      <c r="QNY9" s="2"/>
      <c r="QNZ9" s="2"/>
      <c r="QOK9" s="29"/>
      <c r="QOL9" s="2"/>
      <c r="QOM9" s="2"/>
      <c r="QOX9" s="29"/>
      <c r="QOY9" s="2"/>
      <c r="QOZ9" s="2"/>
      <c r="QPK9" s="29"/>
      <c r="QPL9" s="2"/>
      <c r="QPM9" s="2"/>
      <c r="QPX9" s="29"/>
      <c r="QPY9" s="2"/>
      <c r="QPZ9" s="2"/>
      <c r="QQK9" s="29"/>
      <c r="QQL9" s="2"/>
      <c r="QQM9" s="2"/>
      <c r="QQX9" s="29"/>
      <c r="QQY9" s="2"/>
      <c r="QQZ9" s="2"/>
      <c r="QRK9" s="29"/>
      <c r="QRL9" s="2"/>
      <c r="QRM9" s="2"/>
      <c r="QRX9" s="29"/>
      <c r="QRY9" s="2"/>
      <c r="QRZ9" s="2"/>
      <c r="QSK9" s="29"/>
      <c r="QSL9" s="2"/>
      <c r="QSM9" s="2"/>
      <c r="QSX9" s="29"/>
      <c r="QSY9" s="2"/>
      <c r="QSZ9" s="2"/>
      <c r="QTK9" s="29"/>
      <c r="QTL9" s="2"/>
      <c r="QTM9" s="2"/>
      <c r="QTX9" s="29"/>
      <c r="QTY9" s="2"/>
      <c r="QTZ9" s="2"/>
      <c r="QUK9" s="29"/>
      <c r="QUL9" s="2"/>
      <c r="QUM9" s="2"/>
      <c r="QUX9" s="29"/>
      <c r="QUY9" s="2"/>
      <c r="QUZ9" s="2"/>
      <c r="QVK9" s="29"/>
      <c r="QVL9" s="2"/>
      <c r="QVM9" s="2"/>
      <c r="QVX9" s="29"/>
      <c r="QVY9" s="2"/>
      <c r="QVZ9" s="2"/>
      <c r="QWK9" s="29"/>
      <c r="QWL9" s="2"/>
      <c r="QWM9" s="2"/>
      <c r="QWX9" s="29"/>
      <c r="QWY9" s="2"/>
      <c r="QWZ9" s="2"/>
      <c r="QXK9" s="29"/>
      <c r="QXL9" s="2"/>
      <c r="QXM9" s="2"/>
      <c r="QXX9" s="29"/>
      <c r="QXY9" s="2"/>
      <c r="QXZ9" s="2"/>
      <c r="QYK9" s="29"/>
      <c r="QYL9" s="2"/>
      <c r="QYM9" s="2"/>
      <c r="QYX9" s="29"/>
      <c r="QYY9" s="2"/>
      <c r="QYZ9" s="2"/>
      <c r="QZK9" s="29"/>
      <c r="QZL9" s="2"/>
      <c r="QZM9" s="2"/>
      <c r="QZX9" s="29"/>
      <c r="QZY9" s="2"/>
      <c r="QZZ9" s="2"/>
      <c r="RAK9" s="29"/>
      <c r="RAL9" s="2"/>
      <c r="RAM9" s="2"/>
      <c r="RAX9" s="29"/>
      <c r="RAY9" s="2"/>
      <c r="RAZ9" s="2"/>
      <c r="RBK9" s="29"/>
      <c r="RBL9" s="2"/>
      <c r="RBM9" s="2"/>
      <c r="RBX9" s="29"/>
      <c r="RBY9" s="2"/>
      <c r="RBZ9" s="2"/>
      <c r="RCK9" s="29"/>
      <c r="RCL9" s="2"/>
      <c r="RCM9" s="2"/>
      <c r="RCX9" s="29"/>
      <c r="RCY9" s="2"/>
      <c r="RCZ9" s="2"/>
      <c r="RDK9" s="29"/>
      <c r="RDL9" s="2"/>
      <c r="RDM9" s="2"/>
      <c r="RDX9" s="29"/>
      <c r="RDY9" s="2"/>
      <c r="RDZ9" s="2"/>
      <c r="REK9" s="29"/>
      <c r="REL9" s="2"/>
      <c r="REM9" s="2"/>
      <c r="REX9" s="29"/>
      <c r="REY9" s="2"/>
      <c r="REZ9" s="2"/>
      <c r="RFK9" s="29"/>
      <c r="RFL9" s="2"/>
      <c r="RFM9" s="2"/>
      <c r="RFX9" s="29"/>
      <c r="RFY9" s="2"/>
      <c r="RFZ9" s="2"/>
      <c r="RGK9" s="29"/>
      <c r="RGL9" s="2"/>
      <c r="RGM9" s="2"/>
      <c r="RGX9" s="29"/>
      <c r="RGY9" s="2"/>
      <c r="RGZ9" s="2"/>
      <c r="RHK9" s="29"/>
      <c r="RHL9" s="2"/>
      <c r="RHM9" s="2"/>
      <c r="RHX9" s="29"/>
      <c r="RHY9" s="2"/>
      <c r="RHZ9" s="2"/>
      <c r="RIK9" s="29"/>
      <c r="RIL9" s="2"/>
      <c r="RIM9" s="2"/>
      <c r="RIX9" s="29"/>
      <c r="RIY9" s="2"/>
      <c r="RIZ9" s="2"/>
      <c r="RJK9" s="29"/>
      <c r="RJL9" s="2"/>
      <c r="RJM9" s="2"/>
      <c r="RJX9" s="29"/>
      <c r="RJY9" s="2"/>
      <c r="RJZ9" s="2"/>
      <c r="RKK9" s="29"/>
      <c r="RKL9" s="2"/>
      <c r="RKM9" s="2"/>
      <c r="RKX9" s="29"/>
      <c r="RKY9" s="2"/>
      <c r="RKZ9" s="2"/>
      <c r="RLK9" s="29"/>
      <c r="RLL9" s="2"/>
      <c r="RLM9" s="2"/>
      <c r="RLX9" s="29"/>
      <c r="RLY9" s="2"/>
      <c r="RLZ9" s="2"/>
      <c r="RMK9" s="29"/>
      <c r="RML9" s="2"/>
      <c r="RMM9" s="2"/>
      <c r="RMX9" s="29"/>
      <c r="RMY9" s="2"/>
      <c r="RMZ9" s="2"/>
      <c r="RNK9" s="29"/>
      <c r="RNL9" s="2"/>
      <c r="RNM9" s="2"/>
      <c r="RNX9" s="29"/>
      <c r="RNY9" s="2"/>
      <c r="RNZ9" s="2"/>
      <c r="ROK9" s="29"/>
      <c r="ROL9" s="2"/>
      <c r="ROM9" s="2"/>
      <c r="ROX9" s="29"/>
      <c r="ROY9" s="2"/>
      <c r="ROZ9" s="2"/>
      <c r="RPK9" s="29"/>
      <c r="RPL9" s="2"/>
      <c r="RPM9" s="2"/>
      <c r="RPX9" s="29"/>
      <c r="RPY9" s="2"/>
      <c r="RPZ9" s="2"/>
      <c r="RQK9" s="29"/>
      <c r="RQL9" s="2"/>
      <c r="RQM9" s="2"/>
      <c r="RQX9" s="29"/>
      <c r="RQY9" s="2"/>
      <c r="RQZ9" s="2"/>
      <c r="RRK9" s="29"/>
      <c r="RRL9" s="2"/>
      <c r="RRM9" s="2"/>
      <c r="RRX9" s="29"/>
      <c r="RRY9" s="2"/>
      <c r="RRZ9" s="2"/>
      <c r="RSK9" s="29"/>
      <c r="RSL9" s="2"/>
      <c r="RSM9" s="2"/>
      <c r="RSX9" s="29"/>
      <c r="RSY9" s="2"/>
      <c r="RSZ9" s="2"/>
      <c r="RTK9" s="29"/>
      <c r="RTL9" s="2"/>
      <c r="RTM9" s="2"/>
      <c r="RTX9" s="29"/>
      <c r="RTY9" s="2"/>
      <c r="RTZ9" s="2"/>
      <c r="RUK9" s="29"/>
      <c r="RUL9" s="2"/>
      <c r="RUM9" s="2"/>
      <c r="RUX9" s="29"/>
      <c r="RUY9" s="2"/>
      <c r="RUZ9" s="2"/>
      <c r="RVK9" s="29"/>
      <c r="RVL9" s="2"/>
      <c r="RVM9" s="2"/>
      <c r="RVX9" s="29"/>
      <c r="RVY9" s="2"/>
      <c r="RVZ9" s="2"/>
      <c r="RWK9" s="29"/>
      <c r="RWL9" s="2"/>
      <c r="RWM9" s="2"/>
      <c r="RWX9" s="29"/>
      <c r="RWY9" s="2"/>
      <c r="RWZ9" s="2"/>
      <c r="RXK9" s="29"/>
      <c r="RXL9" s="2"/>
      <c r="RXM9" s="2"/>
      <c r="RXX9" s="29"/>
      <c r="RXY9" s="2"/>
      <c r="RXZ9" s="2"/>
      <c r="RYK9" s="29"/>
      <c r="RYL9" s="2"/>
      <c r="RYM9" s="2"/>
      <c r="RYX9" s="29"/>
      <c r="RYY9" s="2"/>
      <c r="RYZ9" s="2"/>
      <c r="RZK9" s="29"/>
      <c r="RZL9" s="2"/>
      <c r="RZM9" s="2"/>
      <c r="RZX9" s="29"/>
      <c r="RZY9" s="2"/>
      <c r="RZZ9" s="2"/>
      <c r="SAK9" s="29"/>
      <c r="SAL9" s="2"/>
      <c r="SAM9" s="2"/>
      <c r="SAX9" s="29"/>
      <c r="SAY9" s="2"/>
      <c r="SAZ9" s="2"/>
      <c r="SBK9" s="29"/>
      <c r="SBL9" s="2"/>
      <c r="SBM9" s="2"/>
      <c r="SBX9" s="29"/>
      <c r="SBY9" s="2"/>
      <c r="SBZ9" s="2"/>
      <c r="SCK9" s="29"/>
      <c r="SCL9" s="2"/>
      <c r="SCM9" s="2"/>
      <c r="SCX9" s="29"/>
      <c r="SCY9" s="2"/>
      <c r="SCZ9" s="2"/>
      <c r="SDK9" s="29"/>
      <c r="SDL9" s="2"/>
      <c r="SDM9" s="2"/>
      <c r="SDX9" s="29"/>
      <c r="SDY9" s="2"/>
      <c r="SDZ9" s="2"/>
      <c r="SEK9" s="29"/>
      <c r="SEL9" s="2"/>
      <c r="SEM9" s="2"/>
      <c r="SEX9" s="29"/>
      <c r="SEY9" s="2"/>
      <c r="SEZ9" s="2"/>
      <c r="SFK9" s="29"/>
      <c r="SFL9" s="2"/>
      <c r="SFM9" s="2"/>
      <c r="SFX9" s="29"/>
      <c r="SFY9" s="2"/>
      <c r="SFZ9" s="2"/>
      <c r="SGK9" s="29"/>
      <c r="SGL9" s="2"/>
      <c r="SGM9" s="2"/>
      <c r="SGX9" s="29"/>
      <c r="SGY9" s="2"/>
      <c r="SGZ9" s="2"/>
      <c r="SHK9" s="29"/>
      <c r="SHL9" s="2"/>
      <c r="SHM9" s="2"/>
      <c r="SHX9" s="29"/>
      <c r="SHY9" s="2"/>
      <c r="SHZ9" s="2"/>
      <c r="SIK9" s="29"/>
      <c r="SIL9" s="2"/>
      <c r="SIM9" s="2"/>
      <c r="SIX9" s="29"/>
      <c r="SIY9" s="2"/>
      <c r="SIZ9" s="2"/>
      <c r="SJK9" s="29"/>
      <c r="SJL9" s="2"/>
      <c r="SJM9" s="2"/>
      <c r="SJX9" s="29"/>
      <c r="SJY9" s="2"/>
      <c r="SJZ9" s="2"/>
      <c r="SKK9" s="29"/>
      <c r="SKL9" s="2"/>
      <c r="SKM9" s="2"/>
      <c r="SKX9" s="29"/>
      <c r="SKY9" s="2"/>
      <c r="SKZ9" s="2"/>
      <c r="SLK9" s="29"/>
      <c r="SLL9" s="2"/>
      <c r="SLM9" s="2"/>
      <c r="SLX9" s="29"/>
      <c r="SLY9" s="2"/>
      <c r="SLZ9" s="2"/>
      <c r="SMK9" s="29"/>
      <c r="SML9" s="2"/>
      <c r="SMM9" s="2"/>
      <c r="SMX9" s="29"/>
      <c r="SMY9" s="2"/>
      <c r="SMZ9" s="2"/>
      <c r="SNK9" s="29"/>
      <c r="SNL9" s="2"/>
      <c r="SNM9" s="2"/>
      <c r="SNX9" s="29"/>
      <c r="SNY9" s="2"/>
      <c r="SNZ9" s="2"/>
      <c r="SOK9" s="29"/>
      <c r="SOL9" s="2"/>
      <c r="SOM9" s="2"/>
      <c r="SOX9" s="29"/>
      <c r="SOY9" s="2"/>
      <c r="SOZ9" s="2"/>
      <c r="SPK9" s="29"/>
      <c r="SPL9" s="2"/>
      <c r="SPM9" s="2"/>
      <c r="SPX9" s="29"/>
      <c r="SPY9" s="2"/>
      <c r="SPZ9" s="2"/>
      <c r="SQK9" s="29"/>
      <c r="SQL9" s="2"/>
      <c r="SQM9" s="2"/>
      <c r="SQX9" s="29"/>
      <c r="SQY9" s="2"/>
      <c r="SQZ9" s="2"/>
      <c r="SRK9" s="29"/>
      <c r="SRL9" s="2"/>
      <c r="SRM9" s="2"/>
      <c r="SRX9" s="29"/>
      <c r="SRY9" s="2"/>
      <c r="SRZ9" s="2"/>
      <c r="SSK9" s="29"/>
      <c r="SSL9" s="2"/>
      <c r="SSM9" s="2"/>
      <c r="SSX9" s="29"/>
      <c r="SSY9" s="2"/>
      <c r="SSZ9" s="2"/>
      <c r="STK9" s="29"/>
      <c r="STL9" s="2"/>
      <c r="STM9" s="2"/>
      <c r="STX9" s="29"/>
      <c r="STY9" s="2"/>
      <c r="STZ9" s="2"/>
      <c r="SUK9" s="29"/>
      <c r="SUL9" s="2"/>
      <c r="SUM9" s="2"/>
      <c r="SUX9" s="29"/>
      <c r="SUY9" s="2"/>
      <c r="SUZ9" s="2"/>
      <c r="SVK9" s="29"/>
      <c r="SVL9" s="2"/>
      <c r="SVM9" s="2"/>
      <c r="SVX9" s="29"/>
      <c r="SVY9" s="2"/>
      <c r="SVZ9" s="2"/>
      <c r="SWK9" s="29"/>
      <c r="SWL9" s="2"/>
      <c r="SWM9" s="2"/>
      <c r="SWX9" s="29"/>
      <c r="SWY9" s="2"/>
      <c r="SWZ9" s="2"/>
      <c r="SXK9" s="29"/>
      <c r="SXL9" s="2"/>
      <c r="SXM9" s="2"/>
      <c r="SXX9" s="29"/>
      <c r="SXY9" s="2"/>
      <c r="SXZ9" s="2"/>
      <c r="SYK9" s="29"/>
      <c r="SYL9" s="2"/>
      <c r="SYM9" s="2"/>
      <c r="SYX9" s="29"/>
      <c r="SYY9" s="2"/>
      <c r="SYZ9" s="2"/>
      <c r="SZK9" s="29"/>
      <c r="SZL9" s="2"/>
      <c r="SZM9" s="2"/>
      <c r="SZX9" s="29"/>
      <c r="SZY9" s="2"/>
      <c r="SZZ9" s="2"/>
      <c r="TAK9" s="29"/>
      <c r="TAL9" s="2"/>
      <c r="TAM9" s="2"/>
      <c r="TAX9" s="29"/>
      <c r="TAY9" s="2"/>
      <c r="TAZ9" s="2"/>
      <c r="TBK9" s="29"/>
      <c r="TBL9" s="2"/>
      <c r="TBM9" s="2"/>
      <c r="TBX9" s="29"/>
      <c r="TBY9" s="2"/>
      <c r="TBZ9" s="2"/>
      <c r="TCK9" s="29"/>
      <c r="TCL9" s="2"/>
      <c r="TCM9" s="2"/>
      <c r="TCX9" s="29"/>
      <c r="TCY9" s="2"/>
      <c r="TCZ9" s="2"/>
      <c r="TDK9" s="29"/>
      <c r="TDL9" s="2"/>
      <c r="TDM9" s="2"/>
      <c r="TDX9" s="29"/>
      <c r="TDY9" s="2"/>
      <c r="TDZ9" s="2"/>
      <c r="TEK9" s="29"/>
      <c r="TEL9" s="2"/>
      <c r="TEM9" s="2"/>
      <c r="TEX9" s="29"/>
      <c r="TEY9" s="2"/>
      <c r="TEZ9" s="2"/>
      <c r="TFK9" s="29"/>
      <c r="TFL9" s="2"/>
      <c r="TFM9" s="2"/>
      <c r="TFX9" s="29"/>
      <c r="TFY9" s="2"/>
      <c r="TFZ9" s="2"/>
      <c r="TGK9" s="29"/>
      <c r="TGL9" s="2"/>
      <c r="TGM9" s="2"/>
      <c r="TGX9" s="29"/>
      <c r="TGY9" s="2"/>
      <c r="TGZ9" s="2"/>
      <c r="THK9" s="29"/>
      <c r="THL9" s="2"/>
      <c r="THM9" s="2"/>
      <c r="THX9" s="29"/>
      <c r="THY9" s="2"/>
      <c r="THZ9" s="2"/>
      <c r="TIK9" s="29"/>
      <c r="TIL9" s="2"/>
      <c r="TIM9" s="2"/>
      <c r="TIX9" s="29"/>
      <c r="TIY9" s="2"/>
      <c r="TIZ9" s="2"/>
      <c r="TJK9" s="29"/>
      <c r="TJL9" s="2"/>
      <c r="TJM9" s="2"/>
      <c r="TJX9" s="29"/>
      <c r="TJY9" s="2"/>
      <c r="TJZ9" s="2"/>
      <c r="TKK9" s="29"/>
      <c r="TKL9" s="2"/>
      <c r="TKM9" s="2"/>
      <c r="TKX9" s="29"/>
      <c r="TKY9" s="2"/>
      <c r="TKZ9" s="2"/>
      <c r="TLK9" s="29"/>
      <c r="TLL9" s="2"/>
      <c r="TLM9" s="2"/>
      <c r="TLX9" s="29"/>
      <c r="TLY9" s="2"/>
      <c r="TLZ9" s="2"/>
      <c r="TMK9" s="29"/>
      <c r="TML9" s="2"/>
      <c r="TMM9" s="2"/>
      <c r="TMX9" s="29"/>
      <c r="TMY9" s="2"/>
      <c r="TMZ9" s="2"/>
      <c r="TNK9" s="29"/>
      <c r="TNL9" s="2"/>
      <c r="TNM9" s="2"/>
      <c r="TNX9" s="29"/>
      <c r="TNY9" s="2"/>
      <c r="TNZ9" s="2"/>
      <c r="TOK9" s="29"/>
      <c r="TOL9" s="2"/>
      <c r="TOM9" s="2"/>
      <c r="TOX9" s="29"/>
      <c r="TOY9" s="2"/>
      <c r="TOZ9" s="2"/>
      <c r="TPK9" s="29"/>
      <c r="TPL9" s="2"/>
      <c r="TPM9" s="2"/>
      <c r="TPX9" s="29"/>
      <c r="TPY9" s="2"/>
      <c r="TPZ9" s="2"/>
      <c r="TQK9" s="29"/>
      <c r="TQL9" s="2"/>
      <c r="TQM9" s="2"/>
      <c r="TQX9" s="29"/>
      <c r="TQY9" s="2"/>
      <c r="TQZ9" s="2"/>
      <c r="TRK9" s="29"/>
      <c r="TRL9" s="2"/>
      <c r="TRM9" s="2"/>
      <c r="TRX9" s="29"/>
      <c r="TRY9" s="2"/>
      <c r="TRZ9" s="2"/>
      <c r="TSK9" s="29"/>
      <c r="TSL9" s="2"/>
      <c r="TSM9" s="2"/>
      <c r="TSX9" s="29"/>
      <c r="TSY9" s="2"/>
      <c r="TSZ9" s="2"/>
      <c r="TTK9" s="29"/>
      <c r="TTL9" s="2"/>
      <c r="TTM9" s="2"/>
      <c r="TTX9" s="29"/>
      <c r="TTY9" s="2"/>
      <c r="TTZ9" s="2"/>
      <c r="TUK9" s="29"/>
      <c r="TUL9" s="2"/>
      <c r="TUM9" s="2"/>
      <c r="TUX9" s="29"/>
      <c r="TUY9" s="2"/>
      <c r="TUZ9" s="2"/>
      <c r="TVK9" s="29"/>
      <c r="TVL9" s="2"/>
      <c r="TVM9" s="2"/>
      <c r="TVX9" s="29"/>
      <c r="TVY9" s="2"/>
      <c r="TVZ9" s="2"/>
      <c r="TWK9" s="29"/>
      <c r="TWL9" s="2"/>
      <c r="TWM9" s="2"/>
      <c r="TWX9" s="29"/>
      <c r="TWY9" s="2"/>
      <c r="TWZ9" s="2"/>
      <c r="TXK9" s="29"/>
      <c r="TXL9" s="2"/>
      <c r="TXM9" s="2"/>
      <c r="TXX9" s="29"/>
      <c r="TXY9" s="2"/>
      <c r="TXZ9" s="2"/>
      <c r="TYK9" s="29"/>
      <c r="TYL9" s="2"/>
      <c r="TYM9" s="2"/>
      <c r="TYX9" s="29"/>
      <c r="TYY9" s="2"/>
      <c r="TYZ9" s="2"/>
      <c r="TZK9" s="29"/>
      <c r="TZL9" s="2"/>
      <c r="TZM9" s="2"/>
      <c r="TZX9" s="29"/>
      <c r="TZY9" s="2"/>
      <c r="TZZ9" s="2"/>
      <c r="UAK9" s="29"/>
      <c r="UAL9" s="2"/>
      <c r="UAM9" s="2"/>
      <c r="UAX9" s="29"/>
      <c r="UAY9" s="2"/>
      <c r="UAZ9" s="2"/>
      <c r="UBK9" s="29"/>
      <c r="UBL9" s="2"/>
      <c r="UBM9" s="2"/>
      <c r="UBX9" s="29"/>
      <c r="UBY9" s="2"/>
      <c r="UBZ9" s="2"/>
      <c r="UCK9" s="29"/>
      <c r="UCL9" s="2"/>
      <c r="UCM9" s="2"/>
      <c r="UCX9" s="29"/>
      <c r="UCY9" s="2"/>
      <c r="UCZ9" s="2"/>
      <c r="UDK9" s="29"/>
      <c r="UDL9" s="2"/>
      <c r="UDM9" s="2"/>
      <c r="UDX9" s="29"/>
      <c r="UDY9" s="2"/>
      <c r="UDZ9" s="2"/>
      <c r="UEK9" s="29"/>
      <c r="UEL9" s="2"/>
      <c r="UEM9" s="2"/>
      <c r="UEX9" s="29"/>
      <c r="UEY9" s="2"/>
      <c r="UEZ9" s="2"/>
      <c r="UFK9" s="29"/>
      <c r="UFL9" s="2"/>
      <c r="UFM9" s="2"/>
      <c r="UFX9" s="29"/>
      <c r="UFY9" s="2"/>
      <c r="UFZ9" s="2"/>
      <c r="UGK9" s="29"/>
      <c r="UGL9" s="2"/>
      <c r="UGM9" s="2"/>
      <c r="UGX9" s="29"/>
      <c r="UGY9" s="2"/>
      <c r="UGZ9" s="2"/>
      <c r="UHK9" s="29"/>
      <c r="UHL9" s="2"/>
      <c r="UHM9" s="2"/>
      <c r="UHX9" s="29"/>
      <c r="UHY9" s="2"/>
      <c r="UHZ9" s="2"/>
      <c r="UIK9" s="29"/>
      <c r="UIL9" s="2"/>
      <c r="UIM9" s="2"/>
      <c r="UIX9" s="29"/>
      <c r="UIY9" s="2"/>
      <c r="UIZ9" s="2"/>
      <c r="UJK9" s="29"/>
      <c r="UJL9" s="2"/>
      <c r="UJM9" s="2"/>
      <c r="UJX9" s="29"/>
      <c r="UJY9" s="2"/>
      <c r="UJZ9" s="2"/>
      <c r="UKK9" s="29"/>
      <c r="UKL9" s="2"/>
      <c r="UKM9" s="2"/>
      <c r="UKX9" s="29"/>
      <c r="UKY9" s="2"/>
      <c r="UKZ9" s="2"/>
      <c r="ULK9" s="29"/>
      <c r="ULL9" s="2"/>
      <c r="ULM9" s="2"/>
      <c r="ULX9" s="29"/>
      <c r="ULY9" s="2"/>
      <c r="ULZ9" s="2"/>
      <c r="UMK9" s="29"/>
      <c r="UML9" s="2"/>
      <c r="UMM9" s="2"/>
      <c r="UMX9" s="29"/>
      <c r="UMY9" s="2"/>
      <c r="UMZ9" s="2"/>
      <c r="UNK9" s="29"/>
      <c r="UNL9" s="2"/>
      <c r="UNM9" s="2"/>
      <c r="UNX9" s="29"/>
      <c r="UNY9" s="2"/>
      <c r="UNZ9" s="2"/>
      <c r="UOK9" s="29"/>
      <c r="UOL9" s="2"/>
      <c r="UOM9" s="2"/>
      <c r="UOX9" s="29"/>
      <c r="UOY9" s="2"/>
      <c r="UOZ9" s="2"/>
      <c r="UPK9" s="29"/>
      <c r="UPL9" s="2"/>
      <c r="UPM9" s="2"/>
      <c r="UPX9" s="29"/>
      <c r="UPY9" s="2"/>
      <c r="UPZ9" s="2"/>
      <c r="UQK9" s="29"/>
      <c r="UQL9" s="2"/>
      <c r="UQM9" s="2"/>
      <c r="UQX9" s="29"/>
      <c r="UQY9" s="2"/>
      <c r="UQZ9" s="2"/>
      <c r="URK9" s="29"/>
      <c r="URL9" s="2"/>
      <c r="URM9" s="2"/>
      <c r="URX9" s="29"/>
      <c r="URY9" s="2"/>
      <c r="URZ9" s="2"/>
      <c r="USK9" s="29"/>
      <c r="USL9" s="2"/>
      <c r="USM9" s="2"/>
      <c r="USX9" s="29"/>
      <c r="USY9" s="2"/>
      <c r="USZ9" s="2"/>
      <c r="UTK9" s="29"/>
      <c r="UTL9" s="2"/>
      <c r="UTM9" s="2"/>
      <c r="UTX9" s="29"/>
      <c r="UTY9" s="2"/>
      <c r="UTZ9" s="2"/>
      <c r="UUK9" s="29"/>
      <c r="UUL9" s="2"/>
      <c r="UUM9" s="2"/>
      <c r="UUX9" s="29"/>
      <c r="UUY9" s="2"/>
      <c r="UUZ9" s="2"/>
      <c r="UVK9" s="29"/>
      <c r="UVL9" s="2"/>
      <c r="UVM9" s="2"/>
      <c r="UVX9" s="29"/>
      <c r="UVY9" s="2"/>
      <c r="UVZ9" s="2"/>
      <c r="UWK9" s="29"/>
      <c r="UWL9" s="2"/>
      <c r="UWM9" s="2"/>
      <c r="UWX9" s="29"/>
      <c r="UWY9" s="2"/>
      <c r="UWZ9" s="2"/>
      <c r="UXK9" s="29"/>
      <c r="UXL9" s="2"/>
      <c r="UXM9" s="2"/>
      <c r="UXX9" s="29"/>
      <c r="UXY9" s="2"/>
      <c r="UXZ9" s="2"/>
      <c r="UYK9" s="29"/>
      <c r="UYL9" s="2"/>
      <c r="UYM9" s="2"/>
      <c r="UYX9" s="29"/>
      <c r="UYY9" s="2"/>
      <c r="UYZ9" s="2"/>
      <c r="UZK9" s="29"/>
      <c r="UZL9" s="2"/>
      <c r="UZM9" s="2"/>
      <c r="UZX9" s="29"/>
      <c r="UZY9" s="2"/>
      <c r="UZZ9" s="2"/>
      <c r="VAK9" s="29"/>
      <c r="VAL9" s="2"/>
      <c r="VAM9" s="2"/>
      <c r="VAX9" s="29"/>
      <c r="VAY9" s="2"/>
      <c r="VAZ9" s="2"/>
      <c r="VBK9" s="29"/>
      <c r="VBL9" s="2"/>
      <c r="VBM9" s="2"/>
      <c r="VBX9" s="29"/>
      <c r="VBY9" s="2"/>
      <c r="VBZ9" s="2"/>
      <c r="VCK9" s="29"/>
      <c r="VCL9" s="2"/>
      <c r="VCM9" s="2"/>
      <c r="VCX9" s="29"/>
      <c r="VCY9" s="2"/>
      <c r="VCZ9" s="2"/>
      <c r="VDK9" s="29"/>
      <c r="VDL9" s="2"/>
      <c r="VDM9" s="2"/>
      <c r="VDX9" s="29"/>
      <c r="VDY9" s="2"/>
      <c r="VDZ9" s="2"/>
      <c r="VEK9" s="29"/>
      <c r="VEL9" s="2"/>
      <c r="VEM9" s="2"/>
      <c r="VEX9" s="29"/>
      <c r="VEY9" s="2"/>
      <c r="VEZ9" s="2"/>
      <c r="VFK9" s="29"/>
      <c r="VFL9" s="2"/>
      <c r="VFM9" s="2"/>
      <c r="VFX9" s="29"/>
      <c r="VFY9" s="2"/>
      <c r="VFZ9" s="2"/>
      <c r="VGK9" s="29"/>
      <c r="VGL9" s="2"/>
      <c r="VGM9" s="2"/>
      <c r="VGX9" s="29"/>
      <c r="VGY9" s="2"/>
      <c r="VGZ9" s="2"/>
      <c r="VHK9" s="29"/>
      <c r="VHL9" s="2"/>
      <c r="VHM9" s="2"/>
      <c r="VHX9" s="29"/>
      <c r="VHY9" s="2"/>
      <c r="VHZ9" s="2"/>
      <c r="VIK9" s="29"/>
      <c r="VIL9" s="2"/>
      <c r="VIM9" s="2"/>
      <c r="VIX9" s="29"/>
      <c r="VIY9" s="2"/>
      <c r="VIZ9" s="2"/>
      <c r="VJK9" s="29"/>
      <c r="VJL9" s="2"/>
      <c r="VJM9" s="2"/>
      <c r="VJX9" s="29"/>
      <c r="VJY9" s="2"/>
      <c r="VJZ9" s="2"/>
      <c r="VKK9" s="29"/>
      <c r="VKL9" s="2"/>
      <c r="VKM9" s="2"/>
      <c r="VKX9" s="29"/>
      <c r="VKY9" s="2"/>
      <c r="VKZ9" s="2"/>
      <c r="VLK9" s="29"/>
      <c r="VLL9" s="2"/>
      <c r="VLM9" s="2"/>
      <c r="VLX9" s="29"/>
      <c r="VLY9" s="2"/>
      <c r="VLZ9" s="2"/>
      <c r="VMK9" s="29"/>
      <c r="VML9" s="2"/>
      <c r="VMM9" s="2"/>
      <c r="VMX9" s="29"/>
      <c r="VMY9" s="2"/>
      <c r="VMZ9" s="2"/>
      <c r="VNK9" s="29"/>
      <c r="VNL9" s="2"/>
      <c r="VNM9" s="2"/>
      <c r="VNX9" s="29"/>
      <c r="VNY9" s="2"/>
      <c r="VNZ9" s="2"/>
      <c r="VOK9" s="29"/>
      <c r="VOL9" s="2"/>
      <c r="VOM9" s="2"/>
      <c r="VOX9" s="29"/>
      <c r="VOY9" s="2"/>
      <c r="VOZ9" s="2"/>
      <c r="VPK9" s="29"/>
      <c r="VPL9" s="2"/>
      <c r="VPM9" s="2"/>
      <c r="VPX9" s="29"/>
      <c r="VPY9" s="2"/>
      <c r="VPZ9" s="2"/>
      <c r="VQK9" s="29"/>
      <c r="VQL9" s="2"/>
      <c r="VQM9" s="2"/>
      <c r="VQX9" s="29"/>
      <c r="VQY9" s="2"/>
      <c r="VQZ9" s="2"/>
      <c r="VRK9" s="29"/>
      <c r="VRL9" s="2"/>
      <c r="VRM9" s="2"/>
      <c r="VRX9" s="29"/>
      <c r="VRY9" s="2"/>
      <c r="VRZ9" s="2"/>
      <c r="VSK9" s="29"/>
      <c r="VSL9" s="2"/>
      <c r="VSM9" s="2"/>
      <c r="VSX9" s="29"/>
      <c r="VSY9" s="2"/>
      <c r="VSZ9" s="2"/>
      <c r="VTK9" s="29"/>
      <c r="VTL9" s="2"/>
      <c r="VTM9" s="2"/>
      <c r="VTX9" s="29"/>
      <c r="VTY9" s="2"/>
      <c r="VTZ9" s="2"/>
      <c r="VUK9" s="29"/>
      <c r="VUL9" s="2"/>
      <c r="VUM9" s="2"/>
      <c r="VUX9" s="29"/>
      <c r="VUY9" s="2"/>
      <c r="VUZ9" s="2"/>
      <c r="VVK9" s="29"/>
      <c r="VVL9" s="2"/>
      <c r="VVM9" s="2"/>
      <c r="VVX9" s="29"/>
      <c r="VVY9" s="2"/>
      <c r="VVZ9" s="2"/>
      <c r="VWK9" s="29"/>
      <c r="VWL9" s="2"/>
      <c r="VWM9" s="2"/>
      <c r="VWX9" s="29"/>
      <c r="VWY9" s="2"/>
      <c r="VWZ9" s="2"/>
      <c r="VXK9" s="29"/>
      <c r="VXL9" s="2"/>
      <c r="VXM9" s="2"/>
      <c r="VXX9" s="29"/>
      <c r="VXY9" s="2"/>
      <c r="VXZ9" s="2"/>
      <c r="VYK9" s="29"/>
      <c r="VYL9" s="2"/>
      <c r="VYM9" s="2"/>
      <c r="VYX9" s="29"/>
      <c r="VYY9" s="2"/>
      <c r="VYZ9" s="2"/>
      <c r="VZK9" s="29"/>
      <c r="VZL9" s="2"/>
      <c r="VZM9" s="2"/>
      <c r="VZX9" s="29"/>
      <c r="VZY9" s="2"/>
      <c r="VZZ9" s="2"/>
      <c r="WAK9" s="29"/>
      <c r="WAL9" s="2"/>
      <c r="WAM9" s="2"/>
      <c r="WAX9" s="29"/>
      <c r="WAY9" s="2"/>
      <c r="WAZ9" s="2"/>
      <c r="WBK9" s="29"/>
      <c r="WBL9" s="2"/>
      <c r="WBM9" s="2"/>
      <c r="WBX9" s="29"/>
      <c r="WBY9" s="2"/>
      <c r="WBZ9" s="2"/>
      <c r="WCK9" s="29"/>
      <c r="WCL9" s="2"/>
      <c r="WCM9" s="2"/>
      <c r="WCX9" s="29"/>
      <c r="WCY9" s="2"/>
      <c r="WCZ9" s="2"/>
      <c r="WDK9" s="29"/>
      <c r="WDL9" s="2"/>
      <c r="WDM9" s="2"/>
      <c r="WDX9" s="29"/>
      <c r="WDY9" s="2"/>
      <c r="WDZ9" s="2"/>
      <c r="WEK9" s="29"/>
      <c r="WEL9" s="2"/>
      <c r="WEM9" s="2"/>
      <c r="WEX9" s="29"/>
      <c r="WEY9" s="2"/>
      <c r="WEZ9" s="2"/>
      <c r="WFK9" s="29"/>
      <c r="WFL9" s="2"/>
      <c r="WFM9" s="2"/>
      <c r="WFX9" s="29"/>
      <c r="WFY9" s="2"/>
      <c r="WFZ9" s="2"/>
      <c r="WGK9" s="29"/>
      <c r="WGL9" s="2"/>
      <c r="WGM9" s="2"/>
      <c r="WGX9" s="29"/>
      <c r="WGY9" s="2"/>
      <c r="WGZ9" s="2"/>
      <c r="WHK9" s="29"/>
      <c r="WHL9" s="2"/>
      <c r="WHM9" s="2"/>
      <c r="WHX9" s="29"/>
      <c r="WHY9" s="2"/>
      <c r="WHZ9" s="2"/>
      <c r="WIK9" s="29"/>
      <c r="WIL9" s="2"/>
      <c r="WIM9" s="2"/>
      <c r="WIX9" s="29"/>
      <c r="WIY9" s="2"/>
      <c r="WIZ9" s="2"/>
      <c r="WJK9" s="29"/>
      <c r="WJL9" s="2"/>
      <c r="WJM9" s="2"/>
      <c r="WJX9" s="29"/>
      <c r="WJY9" s="2"/>
      <c r="WJZ9" s="2"/>
      <c r="WKK9" s="29"/>
      <c r="WKL9" s="2"/>
      <c r="WKM9" s="2"/>
      <c r="WKX9" s="29"/>
      <c r="WKY9" s="2"/>
      <c r="WKZ9" s="2"/>
      <c r="WLK9" s="29"/>
      <c r="WLL9" s="2"/>
      <c r="WLM9" s="2"/>
      <c r="WLX9" s="29"/>
      <c r="WLY9" s="2"/>
      <c r="WLZ9" s="2"/>
      <c r="WMK9" s="29"/>
      <c r="WML9" s="2"/>
      <c r="WMM9" s="2"/>
      <c r="WMX9" s="29"/>
      <c r="WMY9" s="2"/>
      <c r="WMZ9" s="2"/>
      <c r="WNK9" s="29"/>
      <c r="WNL9" s="2"/>
      <c r="WNM9" s="2"/>
      <c r="WNX9" s="29"/>
      <c r="WNY9" s="2"/>
      <c r="WNZ9" s="2"/>
      <c r="WOK9" s="29"/>
      <c r="WOL9" s="2"/>
      <c r="WOM9" s="2"/>
      <c r="WOX9" s="29"/>
      <c r="WOY9" s="2"/>
      <c r="WOZ9" s="2"/>
      <c r="WPK9" s="29"/>
      <c r="WPL9" s="2"/>
      <c r="WPM9" s="2"/>
      <c r="WPX9" s="29"/>
      <c r="WPY9" s="2"/>
      <c r="WPZ9" s="2"/>
      <c r="WQK9" s="29"/>
      <c r="WQL9" s="2"/>
      <c r="WQM9" s="2"/>
      <c r="WQX9" s="29"/>
      <c r="WQY9" s="2"/>
      <c r="WQZ9" s="2"/>
      <c r="WRK9" s="29"/>
      <c r="WRL9" s="2"/>
      <c r="WRM9" s="2"/>
      <c r="WRX9" s="29"/>
      <c r="WRY9" s="2"/>
      <c r="WRZ9" s="2"/>
      <c r="WSK9" s="29"/>
      <c r="WSL9" s="2"/>
      <c r="WSM9" s="2"/>
      <c r="WSX9" s="29"/>
      <c r="WSY9" s="2"/>
      <c r="WSZ9" s="2"/>
      <c r="WTK9" s="29"/>
      <c r="WTL9" s="2"/>
      <c r="WTM9" s="2"/>
      <c r="WTX9" s="29"/>
      <c r="WTY9" s="2"/>
      <c r="WTZ9" s="2"/>
      <c r="WUK9" s="29"/>
      <c r="WUL9" s="2"/>
      <c r="WUM9" s="2"/>
      <c r="WUX9" s="29"/>
      <c r="WUY9" s="2"/>
      <c r="WUZ9" s="2"/>
      <c r="WVK9" s="29"/>
      <c r="WVL9" s="2"/>
      <c r="WVM9" s="2"/>
      <c r="WVX9" s="29"/>
      <c r="WVY9" s="2"/>
      <c r="WVZ9" s="2"/>
      <c r="WWK9" s="29"/>
      <c r="WWL9" s="2"/>
      <c r="WWM9" s="2"/>
      <c r="WWX9" s="29"/>
      <c r="WWY9" s="2"/>
      <c r="WWZ9" s="2"/>
      <c r="WXK9" s="29"/>
      <c r="WXL9" s="2"/>
      <c r="WXM9" s="2"/>
      <c r="WXX9" s="29"/>
      <c r="WXY9" s="2"/>
      <c r="WXZ9" s="2"/>
      <c r="WYK9" s="29"/>
      <c r="WYL9" s="2"/>
      <c r="WYM9" s="2"/>
      <c r="WYX9" s="29"/>
      <c r="WYY9" s="2"/>
      <c r="WYZ9" s="2"/>
      <c r="WZK9" s="29"/>
      <c r="WZL9" s="2"/>
      <c r="WZM9" s="2"/>
      <c r="WZX9" s="29"/>
      <c r="WZY9" s="2"/>
      <c r="WZZ9" s="2"/>
      <c r="XAK9" s="29"/>
      <c r="XAL9" s="2"/>
      <c r="XAM9" s="2"/>
      <c r="XAX9" s="29"/>
      <c r="XAY9" s="2"/>
      <c r="XAZ9" s="2"/>
      <c r="XBK9" s="29"/>
      <c r="XBL9" s="2"/>
      <c r="XBM9" s="2"/>
      <c r="XBX9" s="29"/>
      <c r="XBY9" s="2"/>
      <c r="XBZ9" s="2"/>
      <c r="XCK9" s="29"/>
      <c r="XCL9" s="2"/>
      <c r="XCM9" s="2"/>
      <c r="XCX9" s="29"/>
      <c r="XCY9" s="2"/>
      <c r="XCZ9" s="2"/>
      <c r="XDK9" s="29"/>
      <c r="XDL9" s="2"/>
      <c r="XDM9" s="2"/>
      <c r="XDX9" s="29"/>
      <c r="XDY9" s="2"/>
      <c r="XDZ9" s="2"/>
      <c r="XEK9" s="29"/>
      <c r="XEL9" s="2"/>
      <c r="XEM9" s="2"/>
      <c r="XEX9" s="29"/>
      <c r="XEY9" s="2"/>
      <c r="XEZ9" s="2"/>
    </row>
    <row r="10" spans="1:1014 1025:2041 2052:3068 3079:4095 4106:6136 6147:7163 7174:8190 8201:10231 10242:11258 11269:12285 12296:13312 13323:14326 14337:15353 15364:16380" s="63" customFormat="1" ht="15" customHeight="1" x14ac:dyDescent="0.2">
      <c r="A10" s="841"/>
      <c r="B10" s="581" t="s">
        <v>959</v>
      </c>
      <c r="D10" s="3"/>
      <c r="K10" s="2"/>
      <c r="L10" s="699"/>
      <c r="M10" s="2"/>
      <c r="N10" s="55"/>
      <c r="S10" s="155"/>
      <c r="T10" s="1"/>
      <c r="U10" s="1"/>
      <c r="V10" s="1"/>
      <c r="W10" s="1"/>
      <c r="X10" s="1"/>
      <c r="Y10" s="1"/>
      <c r="Z10" s="2"/>
      <c r="AD10" s="49"/>
      <c r="BK10" s="2"/>
      <c r="BL10" s="2"/>
      <c r="BM10" s="2"/>
      <c r="BX10" s="2"/>
      <c r="BY10" s="2"/>
      <c r="BZ10" s="2"/>
      <c r="CK10" s="2"/>
      <c r="CL10" s="2"/>
      <c r="CM10" s="2"/>
      <c r="CX10" s="2"/>
      <c r="CY10" s="2"/>
      <c r="CZ10" s="2"/>
      <c r="DK10" s="2"/>
      <c r="DL10" s="2"/>
      <c r="DM10" s="2"/>
      <c r="DX10" s="2"/>
      <c r="DY10" s="2"/>
      <c r="DZ10" s="2"/>
      <c r="EK10" s="2"/>
      <c r="EL10" s="2"/>
      <c r="EM10" s="2"/>
      <c r="EX10" s="2"/>
      <c r="EY10" s="2"/>
      <c r="EZ10" s="2"/>
      <c r="FK10" s="2"/>
      <c r="FL10" s="2"/>
      <c r="FM10" s="2"/>
      <c r="FX10" s="2"/>
      <c r="FY10" s="2"/>
      <c r="FZ10" s="2"/>
      <c r="GK10" s="2"/>
      <c r="GL10" s="2"/>
      <c r="GM10" s="2"/>
      <c r="GX10" s="2"/>
      <c r="GY10" s="2"/>
      <c r="GZ10" s="2"/>
      <c r="HK10" s="2"/>
      <c r="HL10" s="2"/>
      <c r="HM10" s="2"/>
      <c r="HX10" s="2"/>
      <c r="HY10" s="2"/>
      <c r="HZ10" s="2"/>
      <c r="IK10" s="2"/>
      <c r="IL10" s="2"/>
      <c r="IM10" s="2"/>
      <c r="IX10" s="2"/>
      <c r="IY10" s="2"/>
      <c r="IZ10" s="2"/>
      <c r="JK10" s="2"/>
      <c r="JL10" s="2"/>
      <c r="JM10" s="2"/>
      <c r="JX10" s="2"/>
      <c r="JY10" s="2"/>
      <c r="JZ10" s="2"/>
      <c r="KK10" s="2"/>
      <c r="KL10" s="2"/>
      <c r="KM10" s="2"/>
      <c r="KX10" s="2"/>
      <c r="KY10" s="2"/>
      <c r="KZ10" s="2"/>
      <c r="LK10" s="2"/>
      <c r="LL10" s="2"/>
      <c r="LM10" s="2"/>
      <c r="LX10" s="2"/>
      <c r="LY10" s="2"/>
      <c r="LZ10" s="2"/>
      <c r="MK10" s="2"/>
      <c r="ML10" s="2"/>
      <c r="MM10" s="2"/>
      <c r="MX10" s="2"/>
      <c r="MY10" s="2"/>
      <c r="MZ10" s="2"/>
      <c r="NK10" s="2"/>
      <c r="NL10" s="2"/>
      <c r="NM10" s="2"/>
      <c r="NX10" s="2"/>
      <c r="NY10" s="2"/>
      <c r="NZ10" s="2"/>
      <c r="OK10" s="2"/>
      <c r="OL10" s="2"/>
      <c r="OM10" s="2"/>
      <c r="OX10" s="2"/>
      <c r="OY10" s="2"/>
      <c r="OZ10" s="2"/>
      <c r="PK10" s="2"/>
      <c r="PL10" s="2"/>
      <c r="PM10" s="2"/>
      <c r="PX10" s="2"/>
      <c r="PY10" s="2"/>
      <c r="PZ10" s="2"/>
      <c r="QK10" s="2"/>
      <c r="QL10" s="2"/>
      <c r="QM10" s="2"/>
      <c r="QX10" s="2"/>
      <c r="QY10" s="2"/>
      <c r="QZ10" s="2"/>
      <c r="RK10" s="2"/>
      <c r="RL10" s="2"/>
      <c r="RM10" s="2"/>
      <c r="RX10" s="2"/>
      <c r="RY10" s="2"/>
      <c r="RZ10" s="2"/>
      <c r="SK10" s="2"/>
      <c r="SL10" s="2"/>
      <c r="SM10" s="2"/>
      <c r="SX10" s="2"/>
      <c r="SY10" s="2"/>
      <c r="SZ10" s="2"/>
      <c r="TK10" s="2"/>
      <c r="TL10" s="2"/>
      <c r="TM10" s="2"/>
      <c r="TX10" s="2"/>
      <c r="TY10" s="2"/>
      <c r="TZ10" s="2"/>
      <c r="UK10" s="2"/>
      <c r="UL10" s="2"/>
      <c r="UM10" s="2"/>
      <c r="UX10" s="2"/>
      <c r="UY10" s="2"/>
      <c r="UZ10" s="2"/>
      <c r="VK10" s="2"/>
      <c r="VL10" s="2"/>
      <c r="VM10" s="2"/>
      <c r="VX10" s="2"/>
      <c r="VY10" s="2"/>
      <c r="VZ10" s="2"/>
      <c r="WK10" s="2"/>
      <c r="WL10" s="2"/>
      <c r="WM10" s="2"/>
      <c r="WX10" s="2"/>
      <c r="WY10" s="2"/>
      <c r="WZ10" s="2"/>
      <c r="XK10" s="2"/>
      <c r="XL10" s="2"/>
      <c r="XM10" s="2"/>
      <c r="XX10" s="2"/>
      <c r="XY10" s="2"/>
      <c r="XZ10" s="2"/>
      <c r="YK10" s="2"/>
      <c r="YL10" s="2"/>
      <c r="YM10" s="2"/>
      <c r="YX10" s="2"/>
      <c r="YY10" s="2"/>
      <c r="YZ10" s="2"/>
      <c r="ZK10" s="2"/>
      <c r="ZL10" s="2"/>
      <c r="ZM10" s="2"/>
      <c r="ZX10" s="2"/>
      <c r="ZY10" s="2"/>
      <c r="ZZ10" s="2"/>
      <c r="AAK10" s="2"/>
      <c r="AAL10" s="2"/>
      <c r="AAM10" s="2"/>
      <c r="AAX10" s="2"/>
      <c r="AAY10" s="2"/>
      <c r="AAZ10" s="2"/>
      <c r="ABK10" s="2"/>
      <c r="ABL10" s="2"/>
      <c r="ABM10" s="2"/>
      <c r="ABX10" s="2"/>
      <c r="ABY10" s="2"/>
      <c r="ABZ10" s="2"/>
      <c r="ACK10" s="2"/>
      <c r="ACL10" s="2"/>
      <c r="ACM10" s="2"/>
      <c r="ACX10" s="2"/>
      <c r="ACY10" s="2"/>
      <c r="ACZ10" s="2"/>
      <c r="ADK10" s="2"/>
      <c r="ADL10" s="2"/>
      <c r="ADM10" s="2"/>
      <c r="ADX10" s="2"/>
      <c r="ADY10" s="2"/>
      <c r="ADZ10" s="2"/>
      <c r="AEK10" s="2"/>
      <c r="AEL10" s="2"/>
      <c r="AEM10" s="2"/>
      <c r="AEX10" s="2"/>
      <c r="AEY10" s="2"/>
      <c r="AEZ10" s="2"/>
      <c r="AFK10" s="2"/>
      <c r="AFL10" s="2"/>
      <c r="AFM10" s="2"/>
      <c r="AFX10" s="2"/>
      <c r="AFY10" s="2"/>
      <c r="AFZ10" s="2"/>
      <c r="AGK10" s="2"/>
      <c r="AGL10" s="2"/>
      <c r="AGM10" s="2"/>
      <c r="AGX10" s="2"/>
      <c r="AGY10" s="2"/>
      <c r="AGZ10" s="2"/>
      <c r="AHK10" s="2"/>
      <c r="AHL10" s="2"/>
      <c r="AHM10" s="2"/>
      <c r="AHX10" s="2"/>
      <c r="AHY10" s="2"/>
      <c r="AHZ10" s="2"/>
      <c r="AIK10" s="2"/>
      <c r="AIL10" s="2"/>
      <c r="AIM10" s="2"/>
      <c r="AIX10" s="2"/>
      <c r="AIY10" s="2"/>
      <c r="AIZ10" s="2"/>
      <c r="AJK10" s="2"/>
      <c r="AJL10" s="2"/>
      <c r="AJM10" s="2"/>
      <c r="AJX10" s="2"/>
      <c r="AJY10" s="2"/>
      <c r="AJZ10" s="2"/>
      <c r="AKK10" s="2"/>
      <c r="AKL10" s="2"/>
      <c r="AKM10" s="2"/>
      <c r="AKX10" s="2"/>
      <c r="AKY10" s="2"/>
      <c r="AKZ10" s="2"/>
      <c r="ALK10" s="2"/>
      <c r="ALL10" s="2"/>
      <c r="ALM10" s="2"/>
      <c r="ALX10" s="2"/>
      <c r="ALY10" s="2"/>
      <c r="ALZ10" s="2"/>
      <c r="AMK10" s="2"/>
      <c r="AML10" s="2"/>
      <c r="AMM10" s="2"/>
      <c r="AMX10" s="2"/>
      <c r="AMY10" s="2"/>
      <c r="AMZ10" s="2"/>
      <c r="ANK10" s="2"/>
      <c r="ANL10" s="2"/>
      <c r="ANM10" s="2"/>
      <c r="ANX10" s="2"/>
      <c r="ANY10" s="2"/>
      <c r="ANZ10" s="2"/>
      <c r="AOK10" s="2"/>
      <c r="AOL10" s="2"/>
      <c r="AOM10" s="2"/>
      <c r="AOX10" s="2"/>
      <c r="AOY10" s="2"/>
      <c r="AOZ10" s="2"/>
      <c r="APK10" s="2"/>
      <c r="APL10" s="2"/>
      <c r="APM10" s="2"/>
      <c r="APX10" s="2"/>
      <c r="APY10" s="2"/>
      <c r="APZ10" s="2"/>
      <c r="AQK10" s="2"/>
      <c r="AQL10" s="2"/>
      <c r="AQM10" s="2"/>
      <c r="AQX10" s="2"/>
      <c r="AQY10" s="2"/>
      <c r="AQZ10" s="2"/>
      <c r="ARK10" s="2"/>
      <c r="ARL10" s="2"/>
      <c r="ARM10" s="2"/>
      <c r="ARX10" s="2"/>
      <c r="ARY10" s="2"/>
      <c r="ARZ10" s="2"/>
      <c r="ASK10" s="2"/>
      <c r="ASL10" s="2"/>
      <c r="ASM10" s="2"/>
      <c r="ASX10" s="2"/>
      <c r="ASY10" s="2"/>
      <c r="ASZ10" s="2"/>
      <c r="ATK10" s="2"/>
      <c r="ATL10" s="2"/>
      <c r="ATM10" s="2"/>
      <c r="ATX10" s="2"/>
      <c r="ATY10" s="2"/>
      <c r="ATZ10" s="2"/>
      <c r="AUK10" s="2"/>
      <c r="AUL10" s="2"/>
      <c r="AUM10" s="2"/>
      <c r="AUX10" s="2"/>
      <c r="AUY10" s="2"/>
      <c r="AUZ10" s="2"/>
      <c r="AVK10" s="2"/>
      <c r="AVL10" s="2"/>
      <c r="AVM10" s="2"/>
      <c r="AVX10" s="2"/>
      <c r="AVY10" s="2"/>
      <c r="AVZ10" s="2"/>
      <c r="AWK10" s="2"/>
      <c r="AWL10" s="2"/>
      <c r="AWM10" s="2"/>
      <c r="AWX10" s="2"/>
      <c r="AWY10" s="2"/>
      <c r="AWZ10" s="2"/>
      <c r="AXK10" s="2"/>
      <c r="AXL10" s="2"/>
      <c r="AXM10" s="2"/>
      <c r="AXX10" s="2"/>
      <c r="AXY10" s="2"/>
      <c r="AXZ10" s="2"/>
      <c r="AYK10" s="2"/>
      <c r="AYL10" s="2"/>
      <c r="AYM10" s="2"/>
      <c r="AYX10" s="2"/>
      <c r="AYY10" s="2"/>
      <c r="AYZ10" s="2"/>
      <c r="AZK10" s="2"/>
      <c r="AZL10" s="2"/>
      <c r="AZM10" s="2"/>
      <c r="AZX10" s="2"/>
      <c r="AZY10" s="2"/>
      <c r="AZZ10" s="2"/>
      <c r="BAK10" s="2"/>
      <c r="BAL10" s="2"/>
      <c r="BAM10" s="2"/>
      <c r="BAX10" s="2"/>
      <c r="BAY10" s="2"/>
      <c r="BAZ10" s="2"/>
      <c r="BBK10" s="2"/>
      <c r="BBL10" s="2"/>
      <c r="BBM10" s="2"/>
      <c r="BBX10" s="2"/>
      <c r="BBY10" s="2"/>
      <c r="BBZ10" s="2"/>
      <c r="BCK10" s="2"/>
      <c r="BCL10" s="2"/>
      <c r="BCM10" s="2"/>
      <c r="BCX10" s="2"/>
      <c r="BCY10" s="2"/>
      <c r="BCZ10" s="2"/>
      <c r="BDK10" s="2"/>
      <c r="BDL10" s="2"/>
      <c r="BDM10" s="2"/>
      <c r="BDX10" s="2"/>
      <c r="BDY10" s="2"/>
      <c r="BDZ10" s="2"/>
      <c r="BEK10" s="2"/>
      <c r="BEL10" s="2"/>
      <c r="BEM10" s="2"/>
      <c r="BEX10" s="2"/>
      <c r="BEY10" s="2"/>
      <c r="BEZ10" s="2"/>
      <c r="BFK10" s="2"/>
      <c r="BFL10" s="2"/>
      <c r="BFM10" s="2"/>
      <c r="BFX10" s="2"/>
      <c r="BFY10" s="2"/>
      <c r="BFZ10" s="2"/>
      <c r="BGK10" s="2"/>
      <c r="BGL10" s="2"/>
      <c r="BGM10" s="2"/>
      <c r="BGX10" s="2"/>
      <c r="BGY10" s="2"/>
      <c r="BGZ10" s="2"/>
      <c r="BHK10" s="2"/>
      <c r="BHL10" s="2"/>
      <c r="BHM10" s="2"/>
      <c r="BHX10" s="2"/>
      <c r="BHY10" s="2"/>
      <c r="BHZ10" s="2"/>
      <c r="BIK10" s="2"/>
      <c r="BIL10" s="2"/>
      <c r="BIM10" s="2"/>
      <c r="BIX10" s="2"/>
      <c r="BIY10" s="2"/>
      <c r="BIZ10" s="2"/>
      <c r="BJK10" s="2"/>
      <c r="BJL10" s="2"/>
      <c r="BJM10" s="2"/>
      <c r="BJX10" s="2"/>
      <c r="BJY10" s="2"/>
      <c r="BJZ10" s="2"/>
      <c r="BKK10" s="2"/>
      <c r="BKL10" s="2"/>
      <c r="BKM10" s="2"/>
      <c r="BKX10" s="2"/>
      <c r="BKY10" s="2"/>
      <c r="BKZ10" s="2"/>
      <c r="BLK10" s="2"/>
      <c r="BLL10" s="2"/>
      <c r="BLM10" s="2"/>
      <c r="BLX10" s="2"/>
      <c r="BLY10" s="2"/>
      <c r="BLZ10" s="2"/>
      <c r="BMK10" s="2"/>
      <c r="BML10" s="2"/>
      <c r="BMM10" s="2"/>
      <c r="BMX10" s="2"/>
      <c r="BMY10" s="2"/>
      <c r="BMZ10" s="2"/>
      <c r="BNK10" s="2"/>
      <c r="BNL10" s="2"/>
      <c r="BNM10" s="2"/>
      <c r="BNX10" s="2"/>
      <c r="BNY10" s="2"/>
      <c r="BNZ10" s="2"/>
      <c r="BOK10" s="2"/>
      <c r="BOL10" s="2"/>
      <c r="BOM10" s="2"/>
      <c r="BOX10" s="2"/>
      <c r="BOY10" s="2"/>
      <c r="BOZ10" s="2"/>
      <c r="BPK10" s="2"/>
      <c r="BPL10" s="2"/>
      <c r="BPM10" s="2"/>
      <c r="BPX10" s="2"/>
      <c r="BPY10" s="2"/>
      <c r="BPZ10" s="2"/>
      <c r="BQK10" s="2"/>
      <c r="BQL10" s="2"/>
      <c r="BQM10" s="2"/>
      <c r="BQX10" s="2"/>
      <c r="BQY10" s="2"/>
      <c r="BQZ10" s="2"/>
      <c r="BRK10" s="2"/>
      <c r="BRL10" s="2"/>
      <c r="BRM10" s="2"/>
      <c r="BRX10" s="2"/>
      <c r="BRY10" s="2"/>
      <c r="BRZ10" s="2"/>
      <c r="BSK10" s="2"/>
      <c r="BSL10" s="2"/>
      <c r="BSM10" s="2"/>
      <c r="BSX10" s="2"/>
      <c r="BSY10" s="2"/>
      <c r="BSZ10" s="2"/>
      <c r="BTK10" s="2"/>
      <c r="BTL10" s="2"/>
      <c r="BTM10" s="2"/>
      <c r="BTX10" s="2"/>
      <c r="BTY10" s="2"/>
      <c r="BTZ10" s="2"/>
      <c r="BUK10" s="2"/>
      <c r="BUL10" s="2"/>
      <c r="BUM10" s="2"/>
      <c r="BUX10" s="2"/>
      <c r="BUY10" s="2"/>
      <c r="BUZ10" s="2"/>
      <c r="BVK10" s="2"/>
      <c r="BVL10" s="2"/>
      <c r="BVM10" s="2"/>
      <c r="BVX10" s="2"/>
      <c r="BVY10" s="2"/>
      <c r="BVZ10" s="2"/>
      <c r="BWK10" s="2"/>
      <c r="BWL10" s="2"/>
      <c r="BWM10" s="2"/>
      <c r="BWX10" s="2"/>
      <c r="BWY10" s="2"/>
      <c r="BWZ10" s="2"/>
      <c r="BXK10" s="2"/>
      <c r="BXL10" s="2"/>
      <c r="BXM10" s="2"/>
      <c r="BXX10" s="2"/>
      <c r="BXY10" s="2"/>
      <c r="BXZ10" s="2"/>
      <c r="BYK10" s="2"/>
      <c r="BYL10" s="2"/>
      <c r="BYM10" s="2"/>
      <c r="BYX10" s="2"/>
      <c r="BYY10" s="2"/>
      <c r="BYZ10" s="2"/>
      <c r="BZK10" s="2"/>
      <c r="BZL10" s="2"/>
      <c r="BZM10" s="2"/>
      <c r="BZX10" s="2"/>
      <c r="BZY10" s="2"/>
      <c r="BZZ10" s="2"/>
      <c r="CAK10" s="2"/>
      <c r="CAL10" s="2"/>
      <c r="CAM10" s="2"/>
      <c r="CAX10" s="2"/>
      <c r="CAY10" s="2"/>
      <c r="CAZ10" s="2"/>
      <c r="CBK10" s="2"/>
      <c r="CBL10" s="2"/>
      <c r="CBM10" s="2"/>
      <c r="CBX10" s="2"/>
      <c r="CBY10" s="2"/>
      <c r="CBZ10" s="2"/>
      <c r="CCK10" s="2"/>
      <c r="CCL10" s="2"/>
      <c r="CCM10" s="2"/>
      <c r="CCX10" s="2"/>
      <c r="CCY10" s="2"/>
      <c r="CCZ10" s="2"/>
      <c r="CDK10" s="2"/>
      <c r="CDL10" s="2"/>
      <c r="CDM10" s="2"/>
      <c r="CDX10" s="2"/>
      <c r="CDY10" s="2"/>
      <c r="CDZ10" s="2"/>
      <c r="CEK10" s="2"/>
      <c r="CEL10" s="2"/>
      <c r="CEM10" s="2"/>
      <c r="CEX10" s="2"/>
      <c r="CEY10" s="2"/>
      <c r="CEZ10" s="2"/>
      <c r="CFK10" s="2"/>
      <c r="CFL10" s="2"/>
      <c r="CFM10" s="2"/>
      <c r="CFX10" s="2"/>
      <c r="CFY10" s="2"/>
      <c r="CFZ10" s="2"/>
      <c r="CGK10" s="2"/>
      <c r="CGL10" s="2"/>
      <c r="CGM10" s="2"/>
      <c r="CGX10" s="2"/>
      <c r="CGY10" s="2"/>
      <c r="CGZ10" s="2"/>
      <c r="CHK10" s="2"/>
      <c r="CHL10" s="2"/>
      <c r="CHM10" s="2"/>
      <c r="CHX10" s="2"/>
      <c r="CHY10" s="2"/>
      <c r="CHZ10" s="2"/>
      <c r="CIK10" s="2"/>
      <c r="CIL10" s="2"/>
      <c r="CIM10" s="2"/>
      <c r="CIX10" s="2"/>
      <c r="CIY10" s="2"/>
      <c r="CIZ10" s="2"/>
      <c r="CJK10" s="2"/>
      <c r="CJL10" s="2"/>
      <c r="CJM10" s="2"/>
      <c r="CJX10" s="2"/>
      <c r="CJY10" s="2"/>
      <c r="CJZ10" s="2"/>
      <c r="CKK10" s="2"/>
      <c r="CKL10" s="2"/>
      <c r="CKM10" s="2"/>
      <c r="CKX10" s="2"/>
      <c r="CKY10" s="2"/>
      <c r="CKZ10" s="2"/>
      <c r="CLK10" s="2"/>
      <c r="CLL10" s="2"/>
      <c r="CLM10" s="2"/>
      <c r="CLX10" s="2"/>
      <c r="CLY10" s="2"/>
      <c r="CLZ10" s="2"/>
      <c r="CMK10" s="2"/>
      <c r="CML10" s="2"/>
      <c r="CMM10" s="2"/>
      <c r="CMX10" s="2"/>
      <c r="CMY10" s="2"/>
      <c r="CMZ10" s="2"/>
      <c r="CNK10" s="2"/>
      <c r="CNL10" s="2"/>
      <c r="CNM10" s="2"/>
      <c r="CNX10" s="2"/>
      <c r="CNY10" s="2"/>
      <c r="CNZ10" s="2"/>
      <c r="COK10" s="2"/>
      <c r="COL10" s="2"/>
      <c r="COM10" s="2"/>
      <c r="COX10" s="2"/>
      <c r="COY10" s="2"/>
      <c r="COZ10" s="2"/>
      <c r="CPK10" s="2"/>
      <c r="CPL10" s="2"/>
      <c r="CPM10" s="2"/>
      <c r="CPX10" s="2"/>
      <c r="CPY10" s="2"/>
      <c r="CPZ10" s="2"/>
      <c r="CQK10" s="2"/>
      <c r="CQL10" s="2"/>
      <c r="CQM10" s="2"/>
      <c r="CQX10" s="2"/>
      <c r="CQY10" s="2"/>
      <c r="CQZ10" s="2"/>
      <c r="CRK10" s="2"/>
      <c r="CRL10" s="2"/>
      <c r="CRM10" s="2"/>
      <c r="CRX10" s="2"/>
      <c r="CRY10" s="2"/>
      <c r="CRZ10" s="2"/>
      <c r="CSK10" s="2"/>
      <c r="CSL10" s="2"/>
      <c r="CSM10" s="2"/>
      <c r="CSX10" s="2"/>
      <c r="CSY10" s="2"/>
      <c r="CSZ10" s="2"/>
      <c r="CTK10" s="2"/>
      <c r="CTL10" s="2"/>
      <c r="CTM10" s="2"/>
      <c r="CTX10" s="2"/>
      <c r="CTY10" s="2"/>
      <c r="CTZ10" s="2"/>
      <c r="CUK10" s="2"/>
      <c r="CUL10" s="2"/>
      <c r="CUM10" s="2"/>
      <c r="CUX10" s="2"/>
      <c r="CUY10" s="2"/>
      <c r="CUZ10" s="2"/>
      <c r="CVK10" s="2"/>
      <c r="CVL10" s="2"/>
      <c r="CVM10" s="2"/>
      <c r="CVX10" s="2"/>
      <c r="CVY10" s="2"/>
      <c r="CVZ10" s="2"/>
      <c r="CWK10" s="2"/>
      <c r="CWL10" s="2"/>
      <c r="CWM10" s="2"/>
      <c r="CWX10" s="2"/>
      <c r="CWY10" s="2"/>
      <c r="CWZ10" s="2"/>
      <c r="CXK10" s="2"/>
      <c r="CXL10" s="2"/>
      <c r="CXM10" s="2"/>
      <c r="CXX10" s="2"/>
      <c r="CXY10" s="2"/>
      <c r="CXZ10" s="2"/>
      <c r="CYK10" s="2"/>
      <c r="CYL10" s="2"/>
      <c r="CYM10" s="2"/>
      <c r="CYX10" s="2"/>
      <c r="CYY10" s="2"/>
      <c r="CYZ10" s="2"/>
      <c r="CZK10" s="2"/>
      <c r="CZL10" s="2"/>
      <c r="CZM10" s="2"/>
      <c r="CZX10" s="2"/>
      <c r="CZY10" s="2"/>
      <c r="CZZ10" s="2"/>
      <c r="DAK10" s="2"/>
      <c r="DAL10" s="2"/>
      <c r="DAM10" s="2"/>
      <c r="DAX10" s="2"/>
      <c r="DAY10" s="2"/>
      <c r="DAZ10" s="2"/>
      <c r="DBK10" s="2"/>
      <c r="DBL10" s="2"/>
      <c r="DBM10" s="2"/>
      <c r="DBX10" s="2"/>
      <c r="DBY10" s="2"/>
      <c r="DBZ10" s="2"/>
      <c r="DCK10" s="2"/>
      <c r="DCL10" s="2"/>
      <c r="DCM10" s="2"/>
      <c r="DCX10" s="2"/>
      <c r="DCY10" s="2"/>
      <c r="DCZ10" s="2"/>
      <c r="DDK10" s="2"/>
      <c r="DDL10" s="2"/>
      <c r="DDM10" s="2"/>
      <c r="DDX10" s="2"/>
      <c r="DDY10" s="2"/>
      <c r="DDZ10" s="2"/>
      <c r="DEK10" s="2"/>
      <c r="DEL10" s="2"/>
      <c r="DEM10" s="2"/>
      <c r="DEX10" s="2"/>
      <c r="DEY10" s="2"/>
      <c r="DEZ10" s="2"/>
      <c r="DFK10" s="2"/>
      <c r="DFL10" s="2"/>
      <c r="DFM10" s="2"/>
      <c r="DFX10" s="2"/>
      <c r="DFY10" s="2"/>
      <c r="DFZ10" s="2"/>
      <c r="DGK10" s="2"/>
      <c r="DGL10" s="2"/>
      <c r="DGM10" s="2"/>
      <c r="DGX10" s="2"/>
      <c r="DGY10" s="2"/>
      <c r="DGZ10" s="2"/>
      <c r="DHK10" s="2"/>
      <c r="DHL10" s="2"/>
      <c r="DHM10" s="2"/>
      <c r="DHX10" s="2"/>
      <c r="DHY10" s="2"/>
      <c r="DHZ10" s="2"/>
      <c r="DIK10" s="2"/>
      <c r="DIL10" s="2"/>
      <c r="DIM10" s="2"/>
      <c r="DIX10" s="2"/>
      <c r="DIY10" s="2"/>
      <c r="DIZ10" s="2"/>
      <c r="DJK10" s="2"/>
      <c r="DJL10" s="2"/>
      <c r="DJM10" s="2"/>
      <c r="DJX10" s="2"/>
      <c r="DJY10" s="2"/>
      <c r="DJZ10" s="2"/>
      <c r="DKK10" s="2"/>
      <c r="DKL10" s="2"/>
      <c r="DKM10" s="2"/>
      <c r="DKX10" s="2"/>
      <c r="DKY10" s="2"/>
      <c r="DKZ10" s="2"/>
      <c r="DLK10" s="2"/>
      <c r="DLL10" s="2"/>
      <c r="DLM10" s="2"/>
      <c r="DLX10" s="2"/>
      <c r="DLY10" s="2"/>
      <c r="DLZ10" s="2"/>
      <c r="DMK10" s="2"/>
      <c r="DML10" s="2"/>
      <c r="DMM10" s="2"/>
      <c r="DMX10" s="2"/>
      <c r="DMY10" s="2"/>
      <c r="DMZ10" s="2"/>
      <c r="DNK10" s="2"/>
      <c r="DNL10" s="2"/>
      <c r="DNM10" s="2"/>
      <c r="DNX10" s="2"/>
      <c r="DNY10" s="2"/>
      <c r="DNZ10" s="2"/>
      <c r="DOK10" s="2"/>
      <c r="DOL10" s="2"/>
      <c r="DOM10" s="2"/>
      <c r="DOX10" s="2"/>
      <c r="DOY10" s="2"/>
      <c r="DOZ10" s="2"/>
      <c r="DPK10" s="2"/>
      <c r="DPL10" s="2"/>
      <c r="DPM10" s="2"/>
      <c r="DPX10" s="2"/>
      <c r="DPY10" s="2"/>
      <c r="DPZ10" s="2"/>
      <c r="DQK10" s="2"/>
      <c r="DQL10" s="2"/>
      <c r="DQM10" s="2"/>
      <c r="DQX10" s="2"/>
      <c r="DQY10" s="2"/>
      <c r="DQZ10" s="2"/>
      <c r="DRK10" s="2"/>
      <c r="DRL10" s="2"/>
      <c r="DRM10" s="2"/>
      <c r="DRX10" s="2"/>
      <c r="DRY10" s="2"/>
      <c r="DRZ10" s="2"/>
      <c r="DSK10" s="2"/>
      <c r="DSL10" s="2"/>
      <c r="DSM10" s="2"/>
      <c r="DSX10" s="2"/>
      <c r="DSY10" s="2"/>
      <c r="DSZ10" s="2"/>
      <c r="DTK10" s="2"/>
      <c r="DTL10" s="2"/>
      <c r="DTM10" s="2"/>
      <c r="DTX10" s="2"/>
      <c r="DTY10" s="2"/>
      <c r="DTZ10" s="2"/>
      <c r="DUK10" s="2"/>
      <c r="DUL10" s="2"/>
      <c r="DUM10" s="2"/>
      <c r="DUX10" s="2"/>
      <c r="DUY10" s="2"/>
      <c r="DUZ10" s="2"/>
      <c r="DVK10" s="2"/>
      <c r="DVL10" s="2"/>
      <c r="DVM10" s="2"/>
      <c r="DVX10" s="2"/>
      <c r="DVY10" s="2"/>
      <c r="DVZ10" s="2"/>
      <c r="DWK10" s="2"/>
      <c r="DWL10" s="2"/>
      <c r="DWM10" s="2"/>
      <c r="DWX10" s="2"/>
      <c r="DWY10" s="2"/>
      <c r="DWZ10" s="2"/>
      <c r="DXK10" s="2"/>
      <c r="DXL10" s="2"/>
      <c r="DXM10" s="2"/>
      <c r="DXX10" s="2"/>
      <c r="DXY10" s="2"/>
      <c r="DXZ10" s="2"/>
      <c r="DYK10" s="2"/>
      <c r="DYL10" s="2"/>
      <c r="DYM10" s="2"/>
      <c r="DYX10" s="2"/>
      <c r="DYY10" s="2"/>
      <c r="DYZ10" s="2"/>
      <c r="DZK10" s="2"/>
      <c r="DZL10" s="2"/>
      <c r="DZM10" s="2"/>
      <c r="DZX10" s="2"/>
      <c r="DZY10" s="2"/>
      <c r="DZZ10" s="2"/>
      <c r="EAK10" s="2"/>
      <c r="EAL10" s="2"/>
      <c r="EAM10" s="2"/>
      <c r="EAX10" s="2"/>
      <c r="EAY10" s="2"/>
      <c r="EAZ10" s="2"/>
      <c r="EBK10" s="2"/>
      <c r="EBL10" s="2"/>
      <c r="EBM10" s="2"/>
      <c r="EBX10" s="2"/>
      <c r="EBY10" s="2"/>
      <c r="EBZ10" s="2"/>
      <c r="ECK10" s="2"/>
      <c r="ECL10" s="2"/>
      <c r="ECM10" s="2"/>
      <c r="ECX10" s="2"/>
      <c r="ECY10" s="2"/>
      <c r="ECZ10" s="2"/>
      <c r="EDK10" s="2"/>
      <c r="EDL10" s="2"/>
      <c r="EDM10" s="2"/>
      <c r="EDX10" s="2"/>
      <c r="EDY10" s="2"/>
      <c r="EDZ10" s="2"/>
      <c r="EEK10" s="2"/>
      <c r="EEL10" s="2"/>
      <c r="EEM10" s="2"/>
      <c r="EEX10" s="2"/>
      <c r="EEY10" s="2"/>
      <c r="EEZ10" s="2"/>
      <c r="EFK10" s="2"/>
      <c r="EFL10" s="2"/>
      <c r="EFM10" s="2"/>
      <c r="EFX10" s="2"/>
      <c r="EFY10" s="2"/>
      <c r="EFZ10" s="2"/>
      <c r="EGK10" s="2"/>
      <c r="EGL10" s="2"/>
      <c r="EGM10" s="2"/>
      <c r="EGX10" s="2"/>
      <c r="EGY10" s="2"/>
      <c r="EGZ10" s="2"/>
      <c r="EHK10" s="2"/>
      <c r="EHL10" s="2"/>
      <c r="EHM10" s="2"/>
      <c r="EHX10" s="2"/>
      <c r="EHY10" s="2"/>
      <c r="EHZ10" s="2"/>
      <c r="EIK10" s="2"/>
      <c r="EIL10" s="2"/>
      <c r="EIM10" s="2"/>
      <c r="EIX10" s="2"/>
      <c r="EIY10" s="2"/>
      <c r="EIZ10" s="2"/>
      <c r="EJK10" s="2"/>
      <c r="EJL10" s="2"/>
      <c r="EJM10" s="2"/>
      <c r="EJX10" s="2"/>
      <c r="EJY10" s="2"/>
      <c r="EJZ10" s="2"/>
      <c r="EKK10" s="2"/>
      <c r="EKL10" s="2"/>
      <c r="EKM10" s="2"/>
      <c r="EKX10" s="2"/>
      <c r="EKY10" s="2"/>
      <c r="EKZ10" s="2"/>
      <c r="ELK10" s="2"/>
      <c r="ELL10" s="2"/>
      <c r="ELM10" s="2"/>
      <c r="ELX10" s="2"/>
      <c r="ELY10" s="2"/>
      <c r="ELZ10" s="2"/>
      <c r="EMK10" s="2"/>
      <c r="EML10" s="2"/>
      <c r="EMM10" s="2"/>
      <c r="EMX10" s="2"/>
      <c r="EMY10" s="2"/>
      <c r="EMZ10" s="2"/>
      <c r="ENK10" s="2"/>
      <c r="ENL10" s="2"/>
      <c r="ENM10" s="2"/>
      <c r="ENX10" s="2"/>
      <c r="ENY10" s="2"/>
      <c r="ENZ10" s="2"/>
      <c r="EOK10" s="2"/>
      <c r="EOL10" s="2"/>
      <c r="EOM10" s="2"/>
      <c r="EOX10" s="2"/>
      <c r="EOY10" s="2"/>
      <c r="EOZ10" s="2"/>
      <c r="EPK10" s="2"/>
      <c r="EPL10" s="2"/>
      <c r="EPM10" s="2"/>
      <c r="EPX10" s="2"/>
      <c r="EPY10" s="2"/>
      <c r="EPZ10" s="2"/>
      <c r="EQK10" s="2"/>
      <c r="EQL10" s="2"/>
      <c r="EQM10" s="2"/>
      <c r="EQX10" s="2"/>
      <c r="EQY10" s="2"/>
      <c r="EQZ10" s="2"/>
      <c r="ERK10" s="2"/>
      <c r="ERL10" s="2"/>
      <c r="ERM10" s="2"/>
      <c r="ERX10" s="2"/>
      <c r="ERY10" s="2"/>
      <c r="ERZ10" s="2"/>
      <c r="ESK10" s="2"/>
      <c r="ESL10" s="2"/>
      <c r="ESM10" s="2"/>
      <c r="ESX10" s="2"/>
      <c r="ESY10" s="2"/>
      <c r="ESZ10" s="2"/>
      <c r="ETK10" s="2"/>
      <c r="ETL10" s="2"/>
      <c r="ETM10" s="2"/>
      <c r="ETX10" s="2"/>
      <c r="ETY10" s="2"/>
      <c r="ETZ10" s="2"/>
      <c r="EUK10" s="2"/>
      <c r="EUL10" s="2"/>
      <c r="EUM10" s="2"/>
      <c r="EUX10" s="2"/>
      <c r="EUY10" s="2"/>
      <c r="EUZ10" s="2"/>
      <c r="EVK10" s="2"/>
      <c r="EVL10" s="2"/>
      <c r="EVM10" s="2"/>
      <c r="EVX10" s="2"/>
      <c r="EVY10" s="2"/>
      <c r="EVZ10" s="2"/>
      <c r="EWK10" s="2"/>
      <c r="EWL10" s="2"/>
      <c r="EWM10" s="2"/>
      <c r="EWX10" s="2"/>
      <c r="EWY10" s="2"/>
      <c r="EWZ10" s="2"/>
      <c r="EXK10" s="2"/>
      <c r="EXL10" s="2"/>
      <c r="EXM10" s="2"/>
      <c r="EXX10" s="2"/>
      <c r="EXY10" s="2"/>
      <c r="EXZ10" s="2"/>
      <c r="EYK10" s="2"/>
      <c r="EYL10" s="2"/>
      <c r="EYM10" s="2"/>
      <c r="EYX10" s="2"/>
      <c r="EYY10" s="2"/>
      <c r="EYZ10" s="2"/>
      <c r="EZK10" s="2"/>
      <c r="EZL10" s="2"/>
      <c r="EZM10" s="2"/>
      <c r="EZX10" s="2"/>
      <c r="EZY10" s="2"/>
      <c r="EZZ10" s="2"/>
      <c r="FAK10" s="2"/>
      <c r="FAL10" s="2"/>
      <c r="FAM10" s="2"/>
      <c r="FAX10" s="2"/>
      <c r="FAY10" s="2"/>
      <c r="FAZ10" s="2"/>
      <c r="FBK10" s="2"/>
      <c r="FBL10" s="2"/>
      <c r="FBM10" s="2"/>
      <c r="FBX10" s="2"/>
      <c r="FBY10" s="2"/>
      <c r="FBZ10" s="2"/>
      <c r="FCK10" s="2"/>
      <c r="FCL10" s="2"/>
      <c r="FCM10" s="2"/>
      <c r="FCX10" s="2"/>
      <c r="FCY10" s="2"/>
      <c r="FCZ10" s="2"/>
      <c r="FDK10" s="2"/>
      <c r="FDL10" s="2"/>
      <c r="FDM10" s="2"/>
      <c r="FDX10" s="2"/>
      <c r="FDY10" s="2"/>
      <c r="FDZ10" s="2"/>
      <c r="FEK10" s="2"/>
      <c r="FEL10" s="2"/>
      <c r="FEM10" s="2"/>
      <c r="FEX10" s="2"/>
      <c r="FEY10" s="2"/>
      <c r="FEZ10" s="2"/>
      <c r="FFK10" s="2"/>
      <c r="FFL10" s="2"/>
      <c r="FFM10" s="2"/>
      <c r="FFX10" s="2"/>
      <c r="FFY10" s="2"/>
      <c r="FFZ10" s="2"/>
      <c r="FGK10" s="2"/>
      <c r="FGL10" s="2"/>
      <c r="FGM10" s="2"/>
      <c r="FGX10" s="2"/>
      <c r="FGY10" s="2"/>
      <c r="FGZ10" s="2"/>
      <c r="FHK10" s="2"/>
      <c r="FHL10" s="2"/>
      <c r="FHM10" s="2"/>
      <c r="FHX10" s="2"/>
      <c r="FHY10" s="2"/>
      <c r="FHZ10" s="2"/>
      <c r="FIK10" s="2"/>
      <c r="FIL10" s="2"/>
      <c r="FIM10" s="2"/>
      <c r="FIX10" s="2"/>
      <c r="FIY10" s="2"/>
      <c r="FIZ10" s="2"/>
      <c r="FJK10" s="2"/>
      <c r="FJL10" s="2"/>
      <c r="FJM10" s="2"/>
      <c r="FJX10" s="2"/>
      <c r="FJY10" s="2"/>
      <c r="FJZ10" s="2"/>
      <c r="FKK10" s="2"/>
      <c r="FKL10" s="2"/>
      <c r="FKM10" s="2"/>
      <c r="FKX10" s="2"/>
      <c r="FKY10" s="2"/>
      <c r="FKZ10" s="2"/>
      <c r="FLK10" s="2"/>
      <c r="FLL10" s="2"/>
      <c r="FLM10" s="2"/>
      <c r="FLX10" s="2"/>
      <c r="FLY10" s="2"/>
      <c r="FLZ10" s="2"/>
      <c r="FMK10" s="2"/>
      <c r="FML10" s="2"/>
      <c r="FMM10" s="2"/>
      <c r="FMX10" s="2"/>
      <c r="FMY10" s="2"/>
      <c r="FMZ10" s="2"/>
      <c r="FNK10" s="2"/>
      <c r="FNL10" s="2"/>
      <c r="FNM10" s="2"/>
      <c r="FNX10" s="2"/>
      <c r="FNY10" s="2"/>
      <c r="FNZ10" s="2"/>
      <c r="FOK10" s="2"/>
      <c r="FOL10" s="2"/>
      <c r="FOM10" s="2"/>
      <c r="FOX10" s="2"/>
      <c r="FOY10" s="2"/>
      <c r="FOZ10" s="2"/>
      <c r="FPK10" s="2"/>
      <c r="FPL10" s="2"/>
      <c r="FPM10" s="2"/>
      <c r="FPX10" s="2"/>
      <c r="FPY10" s="2"/>
      <c r="FPZ10" s="2"/>
      <c r="FQK10" s="2"/>
      <c r="FQL10" s="2"/>
      <c r="FQM10" s="2"/>
      <c r="FQX10" s="2"/>
      <c r="FQY10" s="2"/>
      <c r="FQZ10" s="2"/>
      <c r="FRK10" s="2"/>
      <c r="FRL10" s="2"/>
      <c r="FRM10" s="2"/>
      <c r="FRX10" s="2"/>
      <c r="FRY10" s="2"/>
      <c r="FRZ10" s="2"/>
      <c r="FSK10" s="2"/>
      <c r="FSL10" s="2"/>
      <c r="FSM10" s="2"/>
      <c r="FSX10" s="2"/>
      <c r="FSY10" s="2"/>
      <c r="FSZ10" s="2"/>
      <c r="FTK10" s="2"/>
      <c r="FTL10" s="2"/>
      <c r="FTM10" s="2"/>
      <c r="FTX10" s="2"/>
      <c r="FTY10" s="2"/>
      <c r="FTZ10" s="2"/>
      <c r="FUK10" s="2"/>
      <c r="FUL10" s="2"/>
      <c r="FUM10" s="2"/>
      <c r="FUX10" s="2"/>
      <c r="FUY10" s="2"/>
      <c r="FUZ10" s="2"/>
      <c r="FVK10" s="2"/>
      <c r="FVL10" s="2"/>
      <c r="FVM10" s="2"/>
      <c r="FVX10" s="2"/>
      <c r="FVY10" s="2"/>
      <c r="FVZ10" s="2"/>
      <c r="FWK10" s="2"/>
      <c r="FWL10" s="2"/>
      <c r="FWM10" s="2"/>
      <c r="FWX10" s="2"/>
      <c r="FWY10" s="2"/>
      <c r="FWZ10" s="2"/>
      <c r="FXK10" s="2"/>
      <c r="FXL10" s="2"/>
      <c r="FXM10" s="2"/>
      <c r="FXX10" s="2"/>
      <c r="FXY10" s="2"/>
      <c r="FXZ10" s="2"/>
      <c r="FYK10" s="2"/>
      <c r="FYL10" s="2"/>
      <c r="FYM10" s="2"/>
      <c r="FYX10" s="2"/>
      <c r="FYY10" s="2"/>
      <c r="FYZ10" s="2"/>
      <c r="FZK10" s="2"/>
      <c r="FZL10" s="2"/>
      <c r="FZM10" s="2"/>
      <c r="FZX10" s="2"/>
      <c r="FZY10" s="2"/>
      <c r="FZZ10" s="2"/>
      <c r="GAK10" s="2"/>
      <c r="GAL10" s="2"/>
      <c r="GAM10" s="2"/>
      <c r="GAX10" s="2"/>
      <c r="GAY10" s="2"/>
      <c r="GAZ10" s="2"/>
      <c r="GBK10" s="2"/>
      <c r="GBL10" s="2"/>
      <c r="GBM10" s="2"/>
      <c r="GBX10" s="2"/>
      <c r="GBY10" s="2"/>
      <c r="GBZ10" s="2"/>
      <c r="GCK10" s="2"/>
      <c r="GCL10" s="2"/>
      <c r="GCM10" s="2"/>
      <c r="GCX10" s="2"/>
      <c r="GCY10" s="2"/>
      <c r="GCZ10" s="2"/>
      <c r="GDK10" s="2"/>
      <c r="GDL10" s="2"/>
      <c r="GDM10" s="2"/>
      <c r="GDX10" s="2"/>
      <c r="GDY10" s="2"/>
      <c r="GDZ10" s="2"/>
      <c r="GEK10" s="2"/>
      <c r="GEL10" s="2"/>
      <c r="GEM10" s="2"/>
      <c r="GEX10" s="2"/>
      <c r="GEY10" s="2"/>
      <c r="GEZ10" s="2"/>
      <c r="GFK10" s="2"/>
      <c r="GFL10" s="2"/>
      <c r="GFM10" s="2"/>
      <c r="GFX10" s="2"/>
      <c r="GFY10" s="2"/>
      <c r="GFZ10" s="2"/>
      <c r="GGK10" s="2"/>
      <c r="GGL10" s="2"/>
      <c r="GGM10" s="2"/>
      <c r="GGX10" s="2"/>
      <c r="GGY10" s="2"/>
      <c r="GGZ10" s="2"/>
      <c r="GHK10" s="2"/>
      <c r="GHL10" s="2"/>
      <c r="GHM10" s="2"/>
      <c r="GHX10" s="2"/>
      <c r="GHY10" s="2"/>
      <c r="GHZ10" s="2"/>
      <c r="GIK10" s="2"/>
      <c r="GIL10" s="2"/>
      <c r="GIM10" s="2"/>
      <c r="GIX10" s="2"/>
      <c r="GIY10" s="2"/>
      <c r="GIZ10" s="2"/>
      <c r="GJK10" s="2"/>
      <c r="GJL10" s="2"/>
      <c r="GJM10" s="2"/>
      <c r="GJX10" s="2"/>
      <c r="GJY10" s="2"/>
      <c r="GJZ10" s="2"/>
      <c r="GKK10" s="2"/>
      <c r="GKL10" s="2"/>
      <c r="GKM10" s="2"/>
      <c r="GKX10" s="2"/>
      <c r="GKY10" s="2"/>
      <c r="GKZ10" s="2"/>
      <c r="GLK10" s="2"/>
      <c r="GLL10" s="2"/>
      <c r="GLM10" s="2"/>
      <c r="GLX10" s="2"/>
      <c r="GLY10" s="2"/>
      <c r="GLZ10" s="2"/>
      <c r="GMK10" s="2"/>
      <c r="GML10" s="2"/>
      <c r="GMM10" s="2"/>
      <c r="GMX10" s="2"/>
      <c r="GMY10" s="2"/>
      <c r="GMZ10" s="2"/>
      <c r="GNK10" s="2"/>
      <c r="GNL10" s="2"/>
      <c r="GNM10" s="2"/>
      <c r="GNX10" s="2"/>
      <c r="GNY10" s="2"/>
      <c r="GNZ10" s="2"/>
      <c r="GOK10" s="2"/>
      <c r="GOL10" s="2"/>
      <c r="GOM10" s="2"/>
      <c r="GOX10" s="2"/>
      <c r="GOY10" s="2"/>
      <c r="GOZ10" s="2"/>
      <c r="GPK10" s="2"/>
      <c r="GPL10" s="2"/>
      <c r="GPM10" s="2"/>
      <c r="GPX10" s="2"/>
      <c r="GPY10" s="2"/>
      <c r="GPZ10" s="2"/>
      <c r="GQK10" s="2"/>
      <c r="GQL10" s="2"/>
      <c r="GQM10" s="2"/>
      <c r="GQX10" s="2"/>
      <c r="GQY10" s="2"/>
      <c r="GQZ10" s="2"/>
      <c r="GRK10" s="2"/>
      <c r="GRL10" s="2"/>
      <c r="GRM10" s="2"/>
      <c r="GRX10" s="2"/>
      <c r="GRY10" s="2"/>
      <c r="GRZ10" s="2"/>
      <c r="GSK10" s="2"/>
      <c r="GSL10" s="2"/>
      <c r="GSM10" s="2"/>
      <c r="GSX10" s="2"/>
      <c r="GSY10" s="2"/>
      <c r="GSZ10" s="2"/>
      <c r="GTK10" s="2"/>
      <c r="GTL10" s="2"/>
      <c r="GTM10" s="2"/>
      <c r="GTX10" s="2"/>
      <c r="GTY10" s="2"/>
      <c r="GTZ10" s="2"/>
      <c r="GUK10" s="2"/>
      <c r="GUL10" s="2"/>
      <c r="GUM10" s="2"/>
      <c r="GUX10" s="2"/>
      <c r="GUY10" s="2"/>
      <c r="GUZ10" s="2"/>
      <c r="GVK10" s="2"/>
      <c r="GVL10" s="2"/>
      <c r="GVM10" s="2"/>
      <c r="GVX10" s="2"/>
      <c r="GVY10" s="2"/>
      <c r="GVZ10" s="2"/>
      <c r="GWK10" s="2"/>
      <c r="GWL10" s="2"/>
      <c r="GWM10" s="2"/>
      <c r="GWX10" s="2"/>
      <c r="GWY10" s="2"/>
      <c r="GWZ10" s="2"/>
      <c r="GXK10" s="2"/>
      <c r="GXL10" s="2"/>
      <c r="GXM10" s="2"/>
      <c r="GXX10" s="2"/>
      <c r="GXY10" s="2"/>
      <c r="GXZ10" s="2"/>
      <c r="GYK10" s="2"/>
      <c r="GYL10" s="2"/>
      <c r="GYM10" s="2"/>
      <c r="GYX10" s="2"/>
      <c r="GYY10" s="2"/>
      <c r="GYZ10" s="2"/>
      <c r="GZK10" s="2"/>
      <c r="GZL10" s="2"/>
      <c r="GZM10" s="2"/>
      <c r="GZX10" s="2"/>
      <c r="GZY10" s="2"/>
      <c r="GZZ10" s="2"/>
      <c r="HAK10" s="2"/>
      <c r="HAL10" s="2"/>
      <c r="HAM10" s="2"/>
      <c r="HAX10" s="2"/>
      <c r="HAY10" s="2"/>
      <c r="HAZ10" s="2"/>
      <c r="HBK10" s="2"/>
      <c r="HBL10" s="2"/>
      <c r="HBM10" s="2"/>
      <c r="HBX10" s="2"/>
      <c r="HBY10" s="2"/>
      <c r="HBZ10" s="2"/>
      <c r="HCK10" s="2"/>
      <c r="HCL10" s="2"/>
      <c r="HCM10" s="2"/>
      <c r="HCX10" s="2"/>
      <c r="HCY10" s="2"/>
      <c r="HCZ10" s="2"/>
      <c r="HDK10" s="2"/>
      <c r="HDL10" s="2"/>
      <c r="HDM10" s="2"/>
      <c r="HDX10" s="2"/>
      <c r="HDY10" s="2"/>
      <c r="HDZ10" s="2"/>
      <c r="HEK10" s="2"/>
      <c r="HEL10" s="2"/>
      <c r="HEM10" s="2"/>
      <c r="HEX10" s="2"/>
      <c r="HEY10" s="2"/>
      <c r="HEZ10" s="2"/>
      <c r="HFK10" s="2"/>
      <c r="HFL10" s="2"/>
      <c r="HFM10" s="2"/>
      <c r="HFX10" s="2"/>
      <c r="HFY10" s="2"/>
      <c r="HFZ10" s="2"/>
      <c r="HGK10" s="2"/>
      <c r="HGL10" s="2"/>
      <c r="HGM10" s="2"/>
      <c r="HGX10" s="2"/>
      <c r="HGY10" s="2"/>
      <c r="HGZ10" s="2"/>
      <c r="HHK10" s="2"/>
      <c r="HHL10" s="2"/>
      <c r="HHM10" s="2"/>
      <c r="HHX10" s="2"/>
      <c r="HHY10" s="2"/>
      <c r="HHZ10" s="2"/>
      <c r="HIK10" s="2"/>
      <c r="HIL10" s="2"/>
      <c r="HIM10" s="2"/>
      <c r="HIX10" s="2"/>
      <c r="HIY10" s="2"/>
      <c r="HIZ10" s="2"/>
      <c r="HJK10" s="2"/>
      <c r="HJL10" s="2"/>
      <c r="HJM10" s="2"/>
      <c r="HJX10" s="2"/>
      <c r="HJY10" s="2"/>
      <c r="HJZ10" s="2"/>
      <c r="HKK10" s="2"/>
      <c r="HKL10" s="2"/>
      <c r="HKM10" s="2"/>
      <c r="HKX10" s="2"/>
      <c r="HKY10" s="2"/>
      <c r="HKZ10" s="2"/>
      <c r="HLK10" s="2"/>
      <c r="HLL10" s="2"/>
      <c r="HLM10" s="2"/>
      <c r="HLX10" s="2"/>
      <c r="HLY10" s="2"/>
      <c r="HLZ10" s="2"/>
      <c r="HMK10" s="2"/>
      <c r="HML10" s="2"/>
      <c r="HMM10" s="2"/>
      <c r="HMX10" s="2"/>
      <c r="HMY10" s="2"/>
      <c r="HMZ10" s="2"/>
      <c r="HNK10" s="2"/>
      <c r="HNL10" s="2"/>
      <c r="HNM10" s="2"/>
      <c r="HNX10" s="2"/>
      <c r="HNY10" s="2"/>
      <c r="HNZ10" s="2"/>
      <c r="HOK10" s="2"/>
      <c r="HOL10" s="2"/>
      <c r="HOM10" s="2"/>
      <c r="HOX10" s="2"/>
      <c r="HOY10" s="2"/>
      <c r="HOZ10" s="2"/>
      <c r="HPK10" s="2"/>
      <c r="HPL10" s="2"/>
      <c r="HPM10" s="2"/>
      <c r="HPX10" s="2"/>
      <c r="HPY10" s="2"/>
      <c r="HPZ10" s="2"/>
      <c r="HQK10" s="2"/>
      <c r="HQL10" s="2"/>
      <c r="HQM10" s="2"/>
      <c r="HQX10" s="2"/>
      <c r="HQY10" s="2"/>
      <c r="HQZ10" s="2"/>
      <c r="HRK10" s="2"/>
      <c r="HRL10" s="2"/>
      <c r="HRM10" s="2"/>
      <c r="HRX10" s="2"/>
      <c r="HRY10" s="2"/>
      <c r="HRZ10" s="2"/>
      <c r="HSK10" s="2"/>
      <c r="HSL10" s="2"/>
      <c r="HSM10" s="2"/>
      <c r="HSX10" s="2"/>
      <c r="HSY10" s="2"/>
      <c r="HSZ10" s="2"/>
      <c r="HTK10" s="2"/>
      <c r="HTL10" s="2"/>
      <c r="HTM10" s="2"/>
      <c r="HTX10" s="2"/>
      <c r="HTY10" s="2"/>
      <c r="HTZ10" s="2"/>
      <c r="HUK10" s="2"/>
      <c r="HUL10" s="2"/>
      <c r="HUM10" s="2"/>
      <c r="HUX10" s="2"/>
      <c r="HUY10" s="2"/>
      <c r="HUZ10" s="2"/>
      <c r="HVK10" s="2"/>
      <c r="HVL10" s="2"/>
      <c r="HVM10" s="2"/>
      <c r="HVX10" s="2"/>
      <c r="HVY10" s="2"/>
      <c r="HVZ10" s="2"/>
      <c r="HWK10" s="2"/>
      <c r="HWL10" s="2"/>
      <c r="HWM10" s="2"/>
      <c r="HWX10" s="2"/>
      <c r="HWY10" s="2"/>
      <c r="HWZ10" s="2"/>
      <c r="HXK10" s="2"/>
      <c r="HXL10" s="2"/>
      <c r="HXM10" s="2"/>
      <c r="HXX10" s="2"/>
      <c r="HXY10" s="2"/>
      <c r="HXZ10" s="2"/>
      <c r="HYK10" s="2"/>
      <c r="HYL10" s="2"/>
      <c r="HYM10" s="2"/>
      <c r="HYX10" s="2"/>
      <c r="HYY10" s="2"/>
      <c r="HYZ10" s="2"/>
      <c r="HZK10" s="2"/>
      <c r="HZL10" s="2"/>
      <c r="HZM10" s="2"/>
      <c r="HZX10" s="2"/>
      <c r="HZY10" s="2"/>
      <c r="HZZ10" s="2"/>
      <c r="IAK10" s="2"/>
      <c r="IAL10" s="2"/>
      <c r="IAM10" s="2"/>
      <c r="IAX10" s="2"/>
      <c r="IAY10" s="2"/>
      <c r="IAZ10" s="2"/>
      <c r="IBK10" s="2"/>
      <c r="IBL10" s="2"/>
      <c r="IBM10" s="2"/>
      <c r="IBX10" s="2"/>
      <c r="IBY10" s="2"/>
      <c r="IBZ10" s="2"/>
      <c r="ICK10" s="2"/>
      <c r="ICL10" s="2"/>
      <c r="ICM10" s="2"/>
      <c r="ICX10" s="2"/>
      <c r="ICY10" s="2"/>
      <c r="ICZ10" s="2"/>
      <c r="IDK10" s="2"/>
      <c r="IDL10" s="2"/>
      <c r="IDM10" s="2"/>
      <c r="IDX10" s="2"/>
      <c r="IDY10" s="2"/>
      <c r="IDZ10" s="2"/>
      <c r="IEK10" s="2"/>
      <c r="IEL10" s="2"/>
      <c r="IEM10" s="2"/>
      <c r="IEX10" s="2"/>
      <c r="IEY10" s="2"/>
      <c r="IEZ10" s="2"/>
      <c r="IFK10" s="2"/>
      <c r="IFL10" s="2"/>
      <c r="IFM10" s="2"/>
      <c r="IFX10" s="2"/>
      <c r="IFY10" s="2"/>
      <c r="IFZ10" s="2"/>
      <c r="IGK10" s="2"/>
      <c r="IGL10" s="2"/>
      <c r="IGM10" s="2"/>
      <c r="IGX10" s="2"/>
      <c r="IGY10" s="2"/>
      <c r="IGZ10" s="2"/>
      <c r="IHK10" s="2"/>
      <c r="IHL10" s="2"/>
      <c r="IHM10" s="2"/>
      <c r="IHX10" s="2"/>
      <c r="IHY10" s="2"/>
      <c r="IHZ10" s="2"/>
      <c r="IIK10" s="2"/>
      <c r="IIL10" s="2"/>
      <c r="IIM10" s="2"/>
      <c r="IIX10" s="2"/>
      <c r="IIY10" s="2"/>
      <c r="IIZ10" s="2"/>
      <c r="IJK10" s="2"/>
      <c r="IJL10" s="2"/>
      <c r="IJM10" s="2"/>
      <c r="IJX10" s="2"/>
      <c r="IJY10" s="2"/>
      <c r="IJZ10" s="2"/>
      <c r="IKK10" s="2"/>
      <c r="IKL10" s="2"/>
      <c r="IKM10" s="2"/>
      <c r="IKX10" s="2"/>
      <c r="IKY10" s="2"/>
      <c r="IKZ10" s="2"/>
      <c r="ILK10" s="2"/>
      <c r="ILL10" s="2"/>
      <c r="ILM10" s="2"/>
      <c r="ILX10" s="2"/>
      <c r="ILY10" s="2"/>
      <c r="ILZ10" s="2"/>
      <c r="IMK10" s="2"/>
      <c r="IML10" s="2"/>
      <c r="IMM10" s="2"/>
      <c r="IMX10" s="2"/>
      <c r="IMY10" s="2"/>
      <c r="IMZ10" s="2"/>
      <c r="INK10" s="2"/>
      <c r="INL10" s="2"/>
      <c r="INM10" s="2"/>
      <c r="INX10" s="2"/>
      <c r="INY10" s="2"/>
      <c r="INZ10" s="2"/>
      <c r="IOK10" s="2"/>
      <c r="IOL10" s="2"/>
      <c r="IOM10" s="2"/>
      <c r="IOX10" s="2"/>
      <c r="IOY10" s="2"/>
      <c r="IOZ10" s="2"/>
      <c r="IPK10" s="2"/>
      <c r="IPL10" s="2"/>
      <c r="IPM10" s="2"/>
      <c r="IPX10" s="2"/>
      <c r="IPY10" s="2"/>
      <c r="IPZ10" s="2"/>
      <c r="IQK10" s="2"/>
      <c r="IQL10" s="2"/>
      <c r="IQM10" s="2"/>
      <c r="IQX10" s="2"/>
      <c r="IQY10" s="2"/>
      <c r="IQZ10" s="2"/>
      <c r="IRK10" s="2"/>
      <c r="IRL10" s="2"/>
      <c r="IRM10" s="2"/>
      <c r="IRX10" s="2"/>
      <c r="IRY10" s="2"/>
      <c r="IRZ10" s="2"/>
      <c r="ISK10" s="2"/>
      <c r="ISL10" s="2"/>
      <c r="ISM10" s="2"/>
      <c r="ISX10" s="2"/>
      <c r="ISY10" s="2"/>
      <c r="ISZ10" s="2"/>
      <c r="ITK10" s="2"/>
      <c r="ITL10" s="2"/>
      <c r="ITM10" s="2"/>
      <c r="ITX10" s="2"/>
      <c r="ITY10" s="2"/>
      <c r="ITZ10" s="2"/>
      <c r="IUK10" s="2"/>
      <c r="IUL10" s="2"/>
      <c r="IUM10" s="2"/>
      <c r="IUX10" s="2"/>
      <c r="IUY10" s="2"/>
      <c r="IUZ10" s="2"/>
      <c r="IVK10" s="2"/>
      <c r="IVL10" s="2"/>
      <c r="IVM10" s="2"/>
      <c r="IVX10" s="2"/>
      <c r="IVY10" s="2"/>
      <c r="IVZ10" s="2"/>
      <c r="IWK10" s="2"/>
      <c r="IWL10" s="2"/>
      <c r="IWM10" s="2"/>
      <c r="IWX10" s="2"/>
      <c r="IWY10" s="2"/>
      <c r="IWZ10" s="2"/>
      <c r="IXK10" s="2"/>
      <c r="IXL10" s="2"/>
      <c r="IXM10" s="2"/>
      <c r="IXX10" s="2"/>
      <c r="IXY10" s="2"/>
      <c r="IXZ10" s="2"/>
      <c r="IYK10" s="2"/>
      <c r="IYL10" s="2"/>
      <c r="IYM10" s="2"/>
      <c r="IYX10" s="2"/>
      <c r="IYY10" s="2"/>
      <c r="IYZ10" s="2"/>
      <c r="IZK10" s="2"/>
      <c r="IZL10" s="2"/>
      <c r="IZM10" s="2"/>
      <c r="IZX10" s="2"/>
      <c r="IZY10" s="2"/>
      <c r="IZZ10" s="2"/>
      <c r="JAK10" s="2"/>
      <c r="JAL10" s="2"/>
      <c r="JAM10" s="2"/>
      <c r="JAX10" s="2"/>
      <c r="JAY10" s="2"/>
      <c r="JAZ10" s="2"/>
      <c r="JBK10" s="2"/>
      <c r="JBL10" s="2"/>
      <c r="JBM10" s="2"/>
      <c r="JBX10" s="2"/>
      <c r="JBY10" s="2"/>
      <c r="JBZ10" s="2"/>
      <c r="JCK10" s="2"/>
      <c r="JCL10" s="2"/>
      <c r="JCM10" s="2"/>
      <c r="JCX10" s="2"/>
      <c r="JCY10" s="2"/>
      <c r="JCZ10" s="2"/>
      <c r="JDK10" s="2"/>
      <c r="JDL10" s="2"/>
      <c r="JDM10" s="2"/>
      <c r="JDX10" s="2"/>
      <c r="JDY10" s="2"/>
      <c r="JDZ10" s="2"/>
      <c r="JEK10" s="2"/>
      <c r="JEL10" s="2"/>
      <c r="JEM10" s="2"/>
      <c r="JEX10" s="2"/>
      <c r="JEY10" s="2"/>
      <c r="JEZ10" s="2"/>
      <c r="JFK10" s="2"/>
      <c r="JFL10" s="2"/>
      <c r="JFM10" s="2"/>
      <c r="JFX10" s="2"/>
      <c r="JFY10" s="2"/>
      <c r="JFZ10" s="2"/>
      <c r="JGK10" s="2"/>
      <c r="JGL10" s="2"/>
      <c r="JGM10" s="2"/>
      <c r="JGX10" s="2"/>
      <c r="JGY10" s="2"/>
      <c r="JGZ10" s="2"/>
      <c r="JHK10" s="2"/>
      <c r="JHL10" s="2"/>
      <c r="JHM10" s="2"/>
      <c r="JHX10" s="2"/>
      <c r="JHY10" s="2"/>
      <c r="JHZ10" s="2"/>
      <c r="JIK10" s="2"/>
      <c r="JIL10" s="2"/>
      <c r="JIM10" s="2"/>
      <c r="JIX10" s="2"/>
      <c r="JIY10" s="2"/>
      <c r="JIZ10" s="2"/>
      <c r="JJK10" s="2"/>
      <c r="JJL10" s="2"/>
      <c r="JJM10" s="2"/>
      <c r="JJX10" s="2"/>
      <c r="JJY10" s="2"/>
      <c r="JJZ10" s="2"/>
      <c r="JKK10" s="2"/>
      <c r="JKL10" s="2"/>
      <c r="JKM10" s="2"/>
      <c r="JKX10" s="2"/>
      <c r="JKY10" s="2"/>
      <c r="JKZ10" s="2"/>
      <c r="JLK10" s="2"/>
      <c r="JLL10" s="2"/>
      <c r="JLM10" s="2"/>
      <c r="JLX10" s="2"/>
      <c r="JLY10" s="2"/>
      <c r="JLZ10" s="2"/>
      <c r="JMK10" s="2"/>
      <c r="JML10" s="2"/>
      <c r="JMM10" s="2"/>
      <c r="JMX10" s="2"/>
      <c r="JMY10" s="2"/>
      <c r="JMZ10" s="2"/>
      <c r="JNK10" s="2"/>
      <c r="JNL10" s="2"/>
      <c r="JNM10" s="2"/>
      <c r="JNX10" s="2"/>
      <c r="JNY10" s="2"/>
      <c r="JNZ10" s="2"/>
      <c r="JOK10" s="2"/>
      <c r="JOL10" s="2"/>
      <c r="JOM10" s="2"/>
      <c r="JOX10" s="2"/>
      <c r="JOY10" s="2"/>
      <c r="JOZ10" s="2"/>
      <c r="JPK10" s="2"/>
      <c r="JPL10" s="2"/>
      <c r="JPM10" s="2"/>
      <c r="JPX10" s="2"/>
      <c r="JPY10" s="2"/>
      <c r="JPZ10" s="2"/>
      <c r="JQK10" s="2"/>
      <c r="JQL10" s="2"/>
      <c r="JQM10" s="2"/>
      <c r="JQX10" s="2"/>
      <c r="JQY10" s="2"/>
      <c r="JQZ10" s="2"/>
      <c r="JRK10" s="2"/>
      <c r="JRL10" s="2"/>
      <c r="JRM10" s="2"/>
      <c r="JRX10" s="2"/>
      <c r="JRY10" s="2"/>
      <c r="JRZ10" s="2"/>
      <c r="JSK10" s="2"/>
      <c r="JSL10" s="2"/>
      <c r="JSM10" s="2"/>
      <c r="JSX10" s="2"/>
      <c r="JSY10" s="2"/>
      <c r="JSZ10" s="2"/>
      <c r="JTK10" s="2"/>
      <c r="JTL10" s="2"/>
      <c r="JTM10" s="2"/>
      <c r="JTX10" s="2"/>
      <c r="JTY10" s="2"/>
      <c r="JTZ10" s="2"/>
      <c r="JUK10" s="2"/>
      <c r="JUL10" s="2"/>
      <c r="JUM10" s="2"/>
      <c r="JUX10" s="2"/>
      <c r="JUY10" s="2"/>
      <c r="JUZ10" s="2"/>
      <c r="JVK10" s="2"/>
      <c r="JVL10" s="2"/>
      <c r="JVM10" s="2"/>
      <c r="JVX10" s="2"/>
      <c r="JVY10" s="2"/>
      <c r="JVZ10" s="2"/>
      <c r="JWK10" s="2"/>
      <c r="JWL10" s="2"/>
      <c r="JWM10" s="2"/>
      <c r="JWX10" s="2"/>
      <c r="JWY10" s="2"/>
      <c r="JWZ10" s="2"/>
      <c r="JXK10" s="2"/>
      <c r="JXL10" s="2"/>
      <c r="JXM10" s="2"/>
      <c r="JXX10" s="2"/>
      <c r="JXY10" s="2"/>
      <c r="JXZ10" s="2"/>
      <c r="JYK10" s="2"/>
      <c r="JYL10" s="2"/>
      <c r="JYM10" s="2"/>
      <c r="JYX10" s="2"/>
      <c r="JYY10" s="2"/>
      <c r="JYZ10" s="2"/>
      <c r="JZK10" s="2"/>
      <c r="JZL10" s="2"/>
      <c r="JZM10" s="2"/>
      <c r="JZX10" s="2"/>
      <c r="JZY10" s="2"/>
      <c r="JZZ10" s="2"/>
      <c r="KAK10" s="2"/>
      <c r="KAL10" s="2"/>
      <c r="KAM10" s="2"/>
      <c r="KAX10" s="2"/>
      <c r="KAY10" s="2"/>
      <c r="KAZ10" s="2"/>
      <c r="KBK10" s="2"/>
      <c r="KBL10" s="2"/>
      <c r="KBM10" s="2"/>
      <c r="KBX10" s="2"/>
      <c r="KBY10" s="2"/>
      <c r="KBZ10" s="2"/>
      <c r="KCK10" s="2"/>
      <c r="KCL10" s="2"/>
      <c r="KCM10" s="2"/>
      <c r="KCX10" s="2"/>
      <c r="KCY10" s="2"/>
      <c r="KCZ10" s="2"/>
      <c r="KDK10" s="2"/>
      <c r="KDL10" s="2"/>
      <c r="KDM10" s="2"/>
      <c r="KDX10" s="2"/>
      <c r="KDY10" s="2"/>
      <c r="KDZ10" s="2"/>
      <c r="KEK10" s="2"/>
      <c r="KEL10" s="2"/>
      <c r="KEM10" s="2"/>
      <c r="KEX10" s="2"/>
      <c r="KEY10" s="2"/>
      <c r="KEZ10" s="2"/>
      <c r="KFK10" s="2"/>
      <c r="KFL10" s="2"/>
      <c r="KFM10" s="2"/>
      <c r="KFX10" s="2"/>
      <c r="KFY10" s="2"/>
      <c r="KFZ10" s="2"/>
      <c r="KGK10" s="2"/>
      <c r="KGL10" s="2"/>
      <c r="KGM10" s="2"/>
      <c r="KGX10" s="2"/>
      <c r="KGY10" s="2"/>
      <c r="KGZ10" s="2"/>
      <c r="KHK10" s="2"/>
      <c r="KHL10" s="2"/>
      <c r="KHM10" s="2"/>
      <c r="KHX10" s="2"/>
      <c r="KHY10" s="2"/>
      <c r="KHZ10" s="2"/>
      <c r="KIK10" s="2"/>
      <c r="KIL10" s="2"/>
      <c r="KIM10" s="2"/>
      <c r="KIX10" s="2"/>
      <c r="KIY10" s="2"/>
      <c r="KIZ10" s="2"/>
      <c r="KJK10" s="2"/>
      <c r="KJL10" s="2"/>
      <c r="KJM10" s="2"/>
      <c r="KJX10" s="2"/>
      <c r="KJY10" s="2"/>
      <c r="KJZ10" s="2"/>
      <c r="KKK10" s="2"/>
      <c r="KKL10" s="2"/>
      <c r="KKM10" s="2"/>
      <c r="KKX10" s="2"/>
      <c r="KKY10" s="2"/>
      <c r="KKZ10" s="2"/>
      <c r="KLK10" s="2"/>
      <c r="KLL10" s="2"/>
      <c r="KLM10" s="2"/>
      <c r="KLX10" s="2"/>
      <c r="KLY10" s="2"/>
      <c r="KLZ10" s="2"/>
      <c r="KMK10" s="2"/>
      <c r="KML10" s="2"/>
      <c r="KMM10" s="2"/>
      <c r="KMX10" s="2"/>
      <c r="KMY10" s="2"/>
      <c r="KMZ10" s="2"/>
      <c r="KNK10" s="2"/>
      <c r="KNL10" s="2"/>
      <c r="KNM10" s="2"/>
      <c r="KNX10" s="2"/>
      <c r="KNY10" s="2"/>
      <c r="KNZ10" s="2"/>
      <c r="KOK10" s="2"/>
      <c r="KOL10" s="2"/>
      <c r="KOM10" s="2"/>
      <c r="KOX10" s="2"/>
      <c r="KOY10" s="2"/>
      <c r="KOZ10" s="2"/>
      <c r="KPK10" s="2"/>
      <c r="KPL10" s="2"/>
      <c r="KPM10" s="2"/>
      <c r="KPX10" s="2"/>
      <c r="KPY10" s="2"/>
      <c r="KPZ10" s="2"/>
      <c r="KQK10" s="2"/>
      <c r="KQL10" s="2"/>
      <c r="KQM10" s="2"/>
      <c r="KQX10" s="2"/>
      <c r="KQY10" s="2"/>
      <c r="KQZ10" s="2"/>
      <c r="KRK10" s="2"/>
      <c r="KRL10" s="2"/>
      <c r="KRM10" s="2"/>
      <c r="KRX10" s="2"/>
      <c r="KRY10" s="2"/>
      <c r="KRZ10" s="2"/>
      <c r="KSK10" s="2"/>
      <c r="KSL10" s="2"/>
      <c r="KSM10" s="2"/>
      <c r="KSX10" s="2"/>
      <c r="KSY10" s="2"/>
      <c r="KSZ10" s="2"/>
      <c r="KTK10" s="2"/>
      <c r="KTL10" s="2"/>
      <c r="KTM10" s="2"/>
      <c r="KTX10" s="2"/>
      <c r="KTY10" s="2"/>
      <c r="KTZ10" s="2"/>
      <c r="KUK10" s="2"/>
      <c r="KUL10" s="2"/>
      <c r="KUM10" s="2"/>
      <c r="KUX10" s="2"/>
      <c r="KUY10" s="2"/>
      <c r="KUZ10" s="2"/>
      <c r="KVK10" s="2"/>
      <c r="KVL10" s="2"/>
      <c r="KVM10" s="2"/>
      <c r="KVX10" s="2"/>
      <c r="KVY10" s="2"/>
      <c r="KVZ10" s="2"/>
      <c r="KWK10" s="2"/>
      <c r="KWL10" s="2"/>
      <c r="KWM10" s="2"/>
      <c r="KWX10" s="2"/>
      <c r="KWY10" s="2"/>
      <c r="KWZ10" s="2"/>
      <c r="KXK10" s="2"/>
      <c r="KXL10" s="2"/>
      <c r="KXM10" s="2"/>
      <c r="KXX10" s="2"/>
      <c r="KXY10" s="2"/>
      <c r="KXZ10" s="2"/>
      <c r="KYK10" s="2"/>
      <c r="KYL10" s="2"/>
      <c r="KYM10" s="2"/>
      <c r="KYX10" s="2"/>
      <c r="KYY10" s="2"/>
      <c r="KYZ10" s="2"/>
      <c r="KZK10" s="2"/>
      <c r="KZL10" s="2"/>
      <c r="KZM10" s="2"/>
      <c r="KZX10" s="2"/>
      <c r="KZY10" s="2"/>
      <c r="KZZ10" s="2"/>
      <c r="LAK10" s="2"/>
      <c r="LAL10" s="2"/>
      <c r="LAM10" s="2"/>
      <c r="LAX10" s="2"/>
      <c r="LAY10" s="2"/>
      <c r="LAZ10" s="2"/>
      <c r="LBK10" s="2"/>
      <c r="LBL10" s="2"/>
      <c r="LBM10" s="2"/>
      <c r="LBX10" s="2"/>
      <c r="LBY10" s="2"/>
      <c r="LBZ10" s="2"/>
      <c r="LCK10" s="2"/>
      <c r="LCL10" s="2"/>
      <c r="LCM10" s="2"/>
      <c r="LCX10" s="2"/>
      <c r="LCY10" s="2"/>
      <c r="LCZ10" s="2"/>
      <c r="LDK10" s="2"/>
      <c r="LDL10" s="2"/>
      <c r="LDM10" s="2"/>
      <c r="LDX10" s="2"/>
      <c r="LDY10" s="2"/>
      <c r="LDZ10" s="2"/>
      <c r="LEK10" s="2"/>
      <c r="LEL10" s="2"/>
      <c r="LEM10" s="2"/>
      <c r="LEX10" s="2"/>
      <c r="LEY10" s="2"/>
      <c r="LEZ10" s="2"/>
      <c r="LFK10" s="2"/>
      <c r="LFL10" s="2"/>
      <c r="LFM10" s="2"/>
      <c r="LFX10" s="2"/>
      <c r="LFY10" s="2"/>
      <c r="LFZ10" s="2"/>
      <c r="LGK10" s="2"/>
      <c r="LGL10" s="2"/>
      <c r="LGM10" s="2"/>
      <c r="LGX10" s="2"/>
      <c r="LGY10" s="2"/>
      <c r="LGZ10" s="2"/>
      <c r="LHK10" s="2"/>
      <c r="LHL10" s="2"/>
      <c r="LHM10" s="2"/>
      <c r="LHX10" s="2"/>
      <c r="LHY10" s="2"/>
      <c r="LHZ10" s="2"/>
      <c r="LIK10" s="2"/>
      <c r="LIL10" s="2"/>
      <c r="LIM10" s="2"/>
      <c r="LIX10" s="2"/>
      <c r="LIY10" s="2"/>
      <c r="LIZ10" s="2"/>
      <c r="LJK10" s="2"/>
      <c r="LJL10" s="2"/>
      <c r="LJM10" s="2"/>
      <c r="LJX10" s="2"/>
      <c r="LJY10" s="2"/>
      <c r="LJZ10" s="2"/>
      <c r="LKK10" s="2"/>
      <c r="LKL10" s="2"/>
      <c r="LKM10" s="2"/>
      <c r="LKX10" s="2"/>
      <c r="LKY10" s="2"/>
      <c r="LKZ10" s="2"/>
      <c r="LLK10" s="2"/>
      <c r="LLL10" s="2"/>
      <c r="LLM10" s="2"/>
      <c r="LLX10" s="2"/>
      <c r="LLY10" s="2"/>
      <c r="LLZ10" s="2"/>
      <c r="LMK10" s="2"/>
      <c r="LML10" s="2"/>
      <c r="LMM10" s="2"/>
      <c r="LMX10" s="2"/>
      <c r="LMY10" s="2"/>
      <c r="LMZ10" s="2"/>
      <c r="LNK10" s="2"/>
      <c r="LNL10" s="2"/>
      <c r="LNM10" s="2"/>
      <c r="LNX10" s="2"/>
      <c r="LNY10" s="2"/>
      <c r="LNZ10" s="2"/>
      <c r="LOK10" s="2"/>
      <c r="LOL10" s="2"/>
      <c r="LOM10" s="2"/>
      <c r="LOX10" s="2"/>
      <c r="LOY10" s="2"/>
      <c r="LOZ10" s="2"/>
      <c r="LPK10" s="2"/>
      <c r="LPL10" s="2"/>
      <c r="LPM10" s="2"/>
      <c r="LPX10" s="2"/>
      <c r="LPY10" s="2"/>
      <c r="LPZ10" s="2"/>
      <c r="LQK10" s="2"/>
      <c r="LQL10" s="2"/>
      <c r="LQM10" s="2"/>
      <c r="LQX10" s="2"/>
      <c r="LQY10" s="2"/>
      <c r="LQZ10" s="2"/>
      <c r="LRK10" s="2"/>
      <c r="LRL10" s="2"/>
      <c r="LRM10" s="2"/>
      <c r="LRX10" s="2"/>
      <c r="LRY10" s="2"/>
      <c r="LRZ10" s="2"/>
      <c r="LSK10" s="2"/>
      <c r="LSL10" s="2"/>
      <c r="LSM10" s="2"/>
      <c r="LSX10" s="2"/>
      <c r="LSY10" s="2"/>
      <c r="LSZ10" s="2"/>
      <c r="LTK10" s="2"/>
      <c r="LTL10" s="2"/>
      <c r="LTM10" s="2"/>
      <c r="LTX10" s="2"/>
      <c r="LTY10" s="2"/>
      <c r="LTZ10" s="2"/>
      <c r="LUK10" s="2"/>
      <c r="LUL10" s="2"/>
      <c r="LUM10" s="2"/>
      <c r="LUX10" s="2"/>
      <c r="LUY10" s="2"/>
      <c r="LUZ10" s="2"/>
      <c r="LVK10" s="2"/>
      <c r="LVL10" s="2"/>
      <c r="LVM10" s="2"/>
      <c r="LVX10" s="2"/>
      <c r="LVY10" s="2"/>
      <c r="LVZ10" s="2"/>
      <c r="LWK10" s="2"/>
      <c r="LWL10" s="2"/>
      <c r="LWM10" s="2"/>
      <c r="LWX10" s="2"/>
      <c r="LWY10" s="2"/>
      <c r="LWZ10" s="2"/>
      <c r="LXK10" s="2"/>
      <c r="LXL10" s="2"/>
      <c r="LXM10" s="2"/>
      <c r="LXX10" s="2"/>
      <c r="LXY10" s="2"/>
      <c r="LXZ10" s="2"/>
      <c r="LYK10" s="2"/>
      <c r="LYL10" s="2"/>
      <c r="LYM10" s="2"/>
      <c r="LYX10" s="2"/>
      <c r="LYY10" s="2"/>
      <c r="LYZ10" s="2"/>
      <c r="LZK10" s="2"/>
      <c r="LZL10" s="2"/>
      <c r="LZM10" s="2"/>
      <c r="LZX10" s="2"/>
      <c r="LZY10" s="2"/>
      <c r="LZZ10" s="2"/>
      <c r="MAK10" s="2"/>
      <c r="MAL10" s="2"/>
      <c r="MAM10" s="2"/>
      <c r="MAX10" s="2"/>
      <c r="MAY10" s="2"/>
      <c r="MAZ10" s="2"/>
      <c r="MBK10" s="2"/>
      <c r="MBL10" s="2"/>
      <c r="MBM10" s="2"/>
      <c r="MBX10" s="2"/>
      <c r="MBY10" s="2"/>
      <c r="MBZ10" s="2"/>
      <c r="MCK10" s="2"/>
      <c r="MCL10" s="2"/>
      <c r="MCM10" s="2"/>
      <c r="MCX10" s="2"/>
      <c r="MCY10" s="2"/>
      <c r="MCZ10" s="2"/>
      <c r="MDK10" s="2"/>
      <c r="MDL10" s="2"/>
      <c r="MDM10" s="2"/>
      <c r="MDX10" s="2"/>
      <c r="MDY10" s="2"/>
      <c r="MDZ10" s="2"/>
      <c r="MEK10" s="2"/>
      <c r="MEL10" s="2"/>
      <c r="MEM10" s="2"/>
      <c r="MEX10" s="2"/>
      <c r="MEY10" s="2"/>
      <c r="MEZ10" s="2"/>
      <c r="MFK10" s="2"/>
      <c r="MFL10" s="2"/>
      <c r="MFM10" s="2"/>
      <c r="MFX10" s="2"/>
      <c r="MFY10" s="2"/>
      <c r="MFZ10" s="2"/>
      <c r="MGK10" s="2"/>
      <c r="MGL10" s="2"/>
      <c r="MGM10" s="2"/>
      <c r="MGX10" s="2"/>
      <c r="MGY10" s="2"/>
      <c r="MGZ10" s="2"/>
      <c r="MHK10" s="2"/>
      <c r="MHL10" s="2"/>
      <c r="MHM10" s="2"/>
      <c r="MHX10" s="2"/>
      <c r="MHY10" s="2"/>
      <c r="MHZ10" s="2"/>
      <c r="MIK10" s="2"/>
      <c r="MIL10" s="2"/>
      <c r="MIM10" s="2"/>
      <c r="MIX10" s="2"/>
      <c r="MIY10" s="2"/>
      <c r="MIZ10" s="2"/>
      <c r="MJK10" s="2"/>
      <c r="MJL10" s="2"/>
      <c r="MJM10" s="2"/>
      <c r="MJX10" s="2"/>
      <c r="MJY10" s="2"/>
      <c r="MJZ10" s="2"/>
      <c r="MKK10" s="2"/>
      <c r="MKL10" s="2"/>
      <c r="MKM10" s="2"/>
      <c r="MKX10" s="2"/>
      <c r="MKY10" s="2"/>
      <c r="MKZ10" s="2"/>
      <c r="MLK10" s="2"/>
      <c r="MLL10" s="2"/>
      <c r="MLM10" s="2"/>
      <c r="MLX10" s="2"/>
      <c r="MLY10" s="2"/>
      <c r="MLZ10" s="2"/>
      <c r="MMK10" s="2"/>
      <c r="MML10" s="2"/>
      <c r="MMM10" s="2"/>
      <c r="MMX10" s="2"/>
      <c r="MMY10" s="2"/>
      <c r="MMZ10" s="2"/>
      <c r="MNK10" s="2"/>
      <c r="MNL10" s="2"/>
      <c r="MNM10" s="2"/>
      <c r="MNX10" s="2"/>
      <c r="MNY10" s="2"/>
      <c r="MNZ10" s="2"/>
      <c r="MOK10" s="2"/>
      <c r="MOL10" s="2"/>
      <c r="MOM10" s="2"/>
      <c r="MOX10" s="2"/>
      <c r="MOY10" s="2"/>
      <c r="MOZ10" s="2"/>
      <c r="MPK10" s="2"/>
      <c r="MPL10" s="2"/>
      <c r="MPM10" s="2"/>
      <c r="MPX10" s="2"/>
      <c r="MPY10" s="2"/>
      <c r="MPZ10" s="2"/>
      <c r="MQK10" s="2"/>
      <c r="MQL10" s="2"/>
      <c r="MQM10" s="2"/>
      <c r="MQX10" s="2"/>
      <c r="MQY10" s="2"/>
      <c r="MQZ10" s="2"/>
      <c r="MRK10" s="2"/>
      <c r="MRL10" s="2"/>
      <c r="MRM10" s="2"/>
      <c r="MRX10" s="2"/>
      <c r="MRY10" s="2"/>
      <c r="MRZ10" s="2"/>
      <c r="MSK10" s="2"/>
      <c r="MSL10" s="2"/>
      <c r="MSM10" s="2"/>
      <c r="MSX10" s="2"/>
      <c r="MSY10" s="2"/>
      <c r="MSZ10" s="2"/>
      <c r="MTK10" s="2"/>
      <c r="MTL10" s="2"/>
      <c r="MTM10" s="2"/>
      <c r="MTX10" s="2"/>
      <c r="MTY10" s="2"/>
      <c r="MTZ10" s="2"/>
      <c r="MUK10" s="2"/>
      <c r="MUL10" s="2"/>
      <c r="MUM10" s="2"/>
      <c r="MUX10" s="2"/>
      <c r="MUY10" s="2"/>
      <c r="MUZ10" s="2"/>
      <c r="MVK10" s="2"/>
      <c r="MVL10" s="2"/>
      <c r="MVM10" s="2"/>
      <c r="MVX10" s="2"/>
      <c r="MVY10" s="2"/>
      <c r="MVZ10" s="2"/>
      <c r="MWK10" s="2"/>
      <c r="MWL10" s="2"/>
      <c r="MWM10" s="2"/>
      <c r="MWX10" s="2"/>
      <c r="MWY10" s="2"/>
      <c r="MWZ10" s="2"/>
      <c r="MXK10" s="2"/>
      <c r="MXL10" s="2"/>
      <c r="MXM10" s="2"/>
      <c r="MXX10" s="2"/>
      <c r="MXY10" s="2"/>
      <c r="MXZ10" s="2"/>
      <c r="MYK10" s="2"/>
      <c r="MYL10" s="2"/>
      <c r="MYM10" s="2"/>
      <c r="MYX10" s="2"/>
      <c r="MYY10" s="2"/>
      <c r="MYZ10" s="2"/>
      <c r="MZK10" s="2"/>
      <c r="MZL10" s="2"/>
      <c r="MZM10" s="2"/>
      <c r="MZX10" s="2"/>
      <c r="MZY10" s="2"/>
      <c r="MZZ10" s="2"/>
      <c r="NAK10" s="2"/>
      <c r="NAL10" s="2"/>
      <c r="NAM10" s="2"/>
      <c r="NAX10" s="2"/>
      <c r="NAY10" s="2"/>
      <c r="NAZ10" s="2"/>
      <c r="NBK10" s="2"/>
      <c r="NBL10" s="2"/>
      <c r="NBM10" s="2"/>
      <c r="NBX10" s="2"/>
      <c r="NBY10" s="2"/>
      <c r="NBZ10" s="2"/>
      <c r="NCK10" s="2"/>
      <c r="NCL10" s="2"/>
      <c r="NCM10" s="2"/>
      <c r="NCX10" s="2"/>
      <c r="NCY10" s="2"/>
      <c r="NCZ10" s="2"/>
      <c r="NDK10" s="2"/>
      <c r="NDL10" s="2"/>
      <c r="NDM10" s="2"/>
      <c r="NDX10" s="2"/>
      <c r="NDY10" s="2"/>
      <c r="NDZ10" s="2"/>
      <c r="NEK10" s="2"/>
      <c r="NEL10" s="2"/>
      <c r="NEM10" s="2"/>
      <c r="NEX10" s="2"/>
      <c r="NEY10" s="2"/>
      <c r="NEZ10" s="2"/>
      <c r="NFK10" s="2"/>
      <c r="NFL10" s="2"/>
      <c r="NFM10" s="2"/>
      <c r="NFX10" s="2"/>
      <c r="NFY10" s="2"/>
      <c r="NFZ10" s="2"/>
      <c r="NGK10" s="2"/>
      <c r="NGL10" s="2"/>
      <c r="NGM10" s="2"/>
      <c r="NGX10" s="2"/>
      <c r="NGY10" s="2"/>
      <c r="NGZ10" s="2"/>
      <c r="NHK10" s="2"/>
      <c r="NHL10" s="2"/>
      <c r="NHM10" s="2"/>
      <c r="NHX10" s="2"/>
      <c r="NHY10" s="2"/>
      <c r="NHZ10" s="2"/>
      <c r="NIK10" s="2"/>
      <c r="NIL10" s="2"/>
      <c r="NIM10" s="2"/>
      <c r="NIX10" s="2"/>
      <c r="NIY10" s="2"/>
      <c r="NIZ10" s="2"/>
      <c r="NJK10" s="2"/>
      <c r="NJL10" s="2"/>
      <c r="NJM10" s="2"/>
      <c r="NJX10" s="2"/>
      <c r="NJY10" s="2"/>
      <c r="NJZ10" s="2"/>
      <c r="NKK10" s="2"/>
      <c r="NKL10" s="2"/>
      <c r="NKM10" s="2"/>
      <c r="NKX10" s="2"/>
      <c r="NKY10" s="2"/>
      <c r="NKZ10" s="2"/>
      <c r="NLK10" s="2"/>
      <c r="NLL10" s="2"/>
      <c r="NLM10" s="2"/>
      <c r="NLX10" s="2"/>
      <c r="NLY10" s="2"/>
      <c r="NLZ10" s="2"/>
      <c r="NMK10" s="2"/>
      <c r="NML10" s="2"/>
      <c r="NMM10" s="2"/>
      <c r="NMX10" s="2"/>
      <c r="NMY10" s="2"/>
      <c r="NMZ10" s="2"/>
      <c r="NNK10" s="2"/>
      <c r="NNL10" s="2"/>
      <c r="NNM10" s="2"/>
      <c r="NNX10" s="2"/>
      <c r="NNY10" s="2"/>
      <c r="NNZ10" s="2"/>
      <c r="NOK10" s="2"/>
      <c r="NOL10" s="2"/>
      <c r="NOM10" s="2"/>
      <c r="NOX10" s="2"/>
      <c r="NOY10" s="2"/>
      <c r="NOZ10" s="2"/>
      <c r="NPK10" s="2"/>
      <c r="NPL10" s="2"/>
      <c r="NPM10" s="2"/>
      <c r="NPX10" s="2"/>
      <c r="NPY10" s="2"/>
      <c r="NPZ10" s="2"/>
      <c r="NQK10" s="2"/>
      <c r="NQL10" s="2"/>
      <c r="NQM10" s="2"/>
      <c r="NQX10" s="2"/>
      <c r="NQY10" s="2"/>
      <c r="NQZ10" s="2"/>
      <c r="NRK10" s="2"/>
      <c r="NRL10" s="2"/>
      <c r="NRM10" s="2"/>
      <c r="NRX10" s="2"/>
      <c r="NRY10" s="2"/>
      <c r="NRZ10" s="2"/>
      <c r="NSK10" s="2"/>
      <c r="NSL10" s="2"/>
      <c r="NSM10" s="2"/>
      <c r="NSX10" s="2"/>
      <c r="NSY10" s="2"/>
      <c r="NSZ10" s="2"/>
      <c r="NTK10" s="2"/>
      <c r="NTL10" s="2"/>
      <c r="NTM10" s="2"/>
      <c r="NTX10" s="2"/>
      <c r="NTY10" s="2"/>
      <c r="NTZ10" s="2"/>
      <c r="NUK10" s="2"/>
      <c r="NUL10" s="2"/>
      <c r="NUM10" s="2"/>
      <c r="NUX10" s="2"/>
      <c r="NUY10" s="2"/>
      <c r="NUZ10" s="2"/>
      <c r="NVK10" s="2"/>
      <c r="NVL10" s="2"/>
      <c r="NVM10" s="2"/>
      <c r="NVX10" s="2"/>
      <c r="NVY10" s="2"/>
      <c r="NVZ10" s="2"/>
      <c r="NWK10" s="2"/>
      <c r="NWL10" s="2"/>
      <c r="NWM10" s="2"/>
      <c r="NWX10" s="2"/>
      <c r="NWY10" s="2"/>
      <c r="NWZ10" s="2"/>
      <c r="NXK10" s="2"/>
      <c r="NXL10" s="2"/>
      <c r="NXM10" s="2"/>
      <c r="NXX10" s="2"/>
      <c r="NXY10" s="2"/>
      <c r="NXZ10" s="2"/>
      <c r="NYK10" s="2"/>
      <c r="NYL10" s="2"/>
      <c r="NYM10" s="2"/>
      <c r="NYX10" s="2"/>
      <c r="NYY10" s="2"/>
      <c r="NYZ10" s="2"/>
      <c r="NZK10" s="2"/>
      <c r="NZL10" s="2"/>
      <c r="NZM10" s="2"/>
      <c r="NZX10" s="2"/>
      <c r="NZY10" s="2"/>
      <c r="NZZ10" s="2"/>
      <c r="OAK10" s="2"/>
      <c r="OAL10" s="2"/>
      <c r="OAM10" s="2"/>
      <c r="OAX10" s="2"/>
      <c r="OAY10" s="2"/>
      <c r="OAZ10" s="2"/>
      <c r="OBK10" s="2"/>
      <c r="OBL10" s="2"/>
      <c r="OBM10" s="2"/>
      <c r="OBX10" s="2"/>
      <c r="OBY10" s="2"/>
      <c r="OBZ10" s="2"/>
      <c r="OCK10" s="2"/>
      <c r="OCL10" s="2"/>
      <c r="OCM10" s="2"/>
      <c r="OCX10" s="2"/>
      <c r="OCY10" s="2"/>
      <c r="OCZ10" s="2"/>
      <c r="ODK10" s="2"/>
      <c r="ODL10" s="2"/>
      <c r="ODM10" s="2"/>
      <c r="ODX10" s="2"/>
      <c r="ODY10" s="2"/>
      <c r="ODZ10" s="2"/>
      <c r="OEK10" s="2"/>
      <c r="OEL10" s="2"/>
      <c r="OEM10" s="2"/>
      <c r="OEX10" s="2"/>
      <c r="OEY10" s="2"/>
      <c r="OEZ10" s="2"/>
      <c r="OFK10" s="2"/>
      <c r="OFL10" s="2"/>
      <c r="OFM10" s="2"/>
      <c r="OFX10" s="2"/>
      <c r="OFY10" s="2"/>
      <c r="OFZ10" s="2"/>
      <c r="OGK10" s="2"/>
      <c r="OGL10" s="2"/>
      <c r="OGM10" s="2"/>
      <c r="OGX10" s="2"/>
      <c r="OGY10" s="2"/>
      <c r="OGZ10" s="2"/>
      <c r="OHK10" s="2"/>
      <c r="OHL10" s="2"/>
      <c r="OHM10" s="2"/>
      <c r="OHX10" s="2"/>
      <c r="OHY10" s="2"/>
      <c r="OHZ10" s="2"/>
      <c r="OIK10" s="2"/>
      <c r="OIL10" s="2"/>
      <c r="OIM10" s="2"/>
      <c r="OIX10" s="2"/>
      <c r="OIY10" s="2"/>
      <c r="OIZ10" s="2"/>
      <c r="OJK10" s="2"/>
      <c r="OJL10" s="2"/>
      <c r="OJM10" s="2"/>
      <c r="OJX10" s="2"/>
      <c r="OJY10" s="2"/>
      <c r="OJZ10" s="2"/>
      <c r="OKK10" s="2"/>
      <c r="OKL10" s="2"/>
      <c r="OKM10" s="2"/>
      <c r="OKX10" s="2"/>
      <c r="OKY10" s="2"/>
      <c r="OKZ10" s="2"/>
      <c r="OLK10" s="2"/>
      <c r="OLL10" s="2"/>
      <c r="OLM10" s="2"/>
      <c r="OLX10" s="2"/>
      <c r="OLY10" s="2"/>
      <c r="OLZ10" s="2"/>
      <c r="OMK10" s="2"/>
      <c r="OML10" s="2"/>
      <c r="OMM10" s="2"/>
      <c r="OMX10" s="2"/>
      <c r="OMY10" s="2"/>
      <c r="OMZ10" s="2"/>
      <c r="ONK10" s="2"/>
      <c r="ONL10" s="2"/>
      <c r="ONM10" s="2"/>
      <c r="ONX10" s="2"/>
      <c r="ONY10" s="2"/>
      <c r="ONZ10" s="2"/>
      <c r="OOK10" s="2"/>
      <c r="OOL10" s="2"/>
      <c r="OOM10" s="2"/>
      <c r="OOX10" s="2"/>
      <c r="OOY10" s="2"/>
      <c r="OOZ10" s="2"/>
      <c r="OPK10" s="2"/>
      <c r="OPL10" s="2"/>
      <c r="OPM10" s="2"/>
      <c r="OPX10" s="2"/>
      <c r="OPY10" s="2"/>
      <c r="OPZ10" s="2"/>
      <c r="OQK10" s="2"/>
      <c r="OQL10" s="2"/>
      <c r="OQM10" s="2"/>
      <c r="OQX10" s="2"/>
      <c r="OQY10" s="2"/>
      <c r="OQZ10" s="2"/>
      <c r="ORK10" s="2"/>
      <c r="ORL10" s="2"/>
      <c r="ORM10" s="2"/>
      <c r="ORX10" s="2"/>
      <c r="ORY10" s="2"/>
      <c r="ORZ10" s="2"/>
      <c r="OSK10" s="2"/>
      <c r="OSL10" s="2"/>
      <c r="OSM10" s="2"/>
      <c r="OSX10" s="2"/>
      <c r="OSY10" s="2"/>
      <c r="OSZ10" s="2"/>
      <c r="OTK10" s="2"/>
      <c r="OTL10" s="2"/>
      <c r="OTM10" s="2"/>
      <c r="OTX10" s="2"/>
      <c r="OTY10" s="2"/>
      <c r="OTZ10" s="2"/>
      <c r="OUK10" s="2"/>
      <c r="OUL10" s="2"/>
      <c r="OUM10" s="2"/>
      <c r="OUX10" s="2"/>
      <c r="OUY10" s="2"/>
      <c r="OUZ10" s="2"/>
      <c r="OVK10" s="2"/>
      <c r="OVL10" s="2"/>
      <c r="OVM10" s="2"/>
      <c r="OVX10" s="2"/>
      <c r="OVY10" s="2"/>
      <c r="OVZ10" s="2"/>
      <c r="OWK10" s="2"/>
      <c r="OWL10" s="2"/>
      <c r="OWM10" s="2"/>
      <c r="OWX10" s="2"/>
      <c r="OWY10" s="2"/>
      <c r="OWZ10" s="2"/>
      <c r="OXK10" s="2"/>
      <c r="OXL10" s="2"/>
      <c r="OXM10" s="2"/>
      <c r="OXX10" s="2"/>
      <c r="OXY10" s="2"/>
      <c r="OXZ10" s="2"/>
      <c r="OYK10" s="2"/>
      <c r="OYL10" s="2"/>
      <c r="OYM10" s="2"/>
      <c r="OYX10" s="2"/>
      <c r="OYY10" s="2"/>
      <c r="OYZ10" s="2"/>
      <c r="OZK10" s="2"/>
      <c r="OZL10" s="2"/>
      <c r="OZM10" s="2"/>
      <c r="OZX10" s="2"/>
      <c r="OZY10" s="2"/>
      <c r="OZZ10" s="2"/>
      <c r="PAK10" s="2"/>
      <c r="PAL10" s="2"/>
      <c r="PAM10" s="2"/>
      <c r="PAX10" s="2"/>
      <c r="PAY10" s="2"/>
      <c r="PAZ10" s="2"/>
      <c r="PBK10" s="2"/>
      <c r="PBL10" s="2"/>
      <c r="PBM10" s="2"/>
      <c r="PBX10" s="2"/>
      <c r="PBY10" s="2"/>
      <c r="PBZ10" s="2"/>
      <c r="PCK10" s="2"/>
      <c r="PCL10" s="2"/>
      <c r="PCM10" s="2"/>
      <c r="PCX10" s="2"/>
      <c r="PCY10" s="2"/>
      <c r="PCZ10" s="2"/>
      <c r="PDK10" s="2"/>
      <c r="PDL10" s="2"/>
      <c r="PDM10" s="2"/>
      <c r="PDX10" s="2"/>
      <c r="PDY10" s="2"/>
      <c r="PDZ10" s="2"/>
      <c r="PEK10" s="2"/>
      <c r="PEL10" s="2"/>
      <c r="PEM10" s="2"/>
      <c r="PEX10" s="2"/>
      <c r="PEY10" s="2"/>
      <c r="PEZ10" s="2"/>
      <c r="PFK10" s="2"/>
      <c r="PFL10" s="2"/>
      <c r="PFM10" s="2"/>
      <c r="PFX10" s="2"/>
      <c r="PFY10" s="2"/>
      <c r="PFZ10" s="2"/>
      <c r="PGK10" s="2"/>
      <c r="PGL10" s="2"/>
      <c r="PGM10" s="2"/>
      <c r="PGX10" s="2"/>
      <c r="PGY10" s="2"/>
      <c r="PGZ10" s="2"/>
      <c r="PHK10" s="2"/>
      <c r="PHL10" s="2"/>
      <c r="PHM10" s="2"/>
      <c r="PHX10" s="2"/>
      <c r="PHY10" s="2"/>
      <c r="PHZ10" s="2"/>
      <c r="PIK10" s="2"/>
      <c r="PIL10" s="2"/>
      <c r="PIM10" s="2"/>
      <c r="PIX10" s="2"/>
      <c r="PIY10" s="2"/>
      <c r="PIZ10" s="2"/>
      <c r="PJK10" s="2"/>
      <c r="PJL10" s="2"/>
      <c r="PJM10" s="2"/>
      <c r="PJX10" s="2"/>
      <c r="PJY10" s="2"/>
      <c r="PJZ10" s="2"/>
      <c r="PKK10" s="2"/>
      <c r="PKL10" s="2"/>
      <c r="PKM10" s="2"/>
      <c r="PKX10" s="2"/>
      <c r="PKY10" s="2"/>
      <c r="PKZ10" s="2"/>
      <c r="PLK10" s="2"/>
      <c r="PLL10" s="2"/>
      <c r="PLM10" s="2"/>
      <c r="PLX10" s="2"/>
      <c r="PLY10" s="2"/>
      <c r="PLZ10" s="2"/>
      <c r="PMK10" s="2"/>
      <c r="PML10" s="2"/>
      <c r="PMM10" s="2"/>
      <c r="PMX10" s="2"/>
      <c r="PMY10" s="2"/>
      <c r="PMZ10" s="2"/>
      <c r="PNK10" s="2"/>
      <c r="PNL10" s="2"/>
      <c r="PNM10" s="2"/>
      <c r="PNX10" s="2"/>
      <c r="PNY10" s="2"/>
      <c r="PNZ10" s="2"/>
      <c r="POK10" s="2"/>
      <c r="POL10" s="2"/>
      <c r="POM10" s="2"/>
      <c r="POX10" s="2"/>
      <c r="POY10" s="2"/>
      <c r="POZ10" s="2"/>
      <c r="PPK10" s="2"/>
      <c r="PPL10" s="2"/>
      <c r="PPM10" s="2"/>
      <c r="PPX10" s="2"/>
      <c r="PPY10" s="2"/>
      <c r="PPZ10" s="2"/>
      <c r="PQK10" s="2"/>
      <c r="PQL10" s="2"/>
      <c r="PQM10" s="2"/>
      <c r="PQX10" s="2"/>
      <c r="PQY10" s="2"/>
      <c r="PQZ10" s="2"/>
      <c r="PRK10" s="2"/>
      <c r="PRL10" s="2"/>
      <c r="PRM10" s="2"/>
      <c r="PRX10" s="2"/>
      <c r="PRY10" s="2"/>
      <c r="PRZ10" s="2"/>
      <c r="PSK10" s="2"/>
      <c r="PSL10" s="2"/>
      <c r="PSM10" s="2"/>
      <c r="PSX10" s="2"/>
      <c r="PSY10" s="2"/>
      <c r="PSZ10" s="2"/>
      <c r="PTK10" s="2"/>
      <c r="PTL10" s="2"/>
      <c r="PTM10" s="2"/>
      <c r="PTX10" s="2"/>
      <c r="PTY10" s="2"/>
      <c r="PTZ10" s="2"/>
      <c r="PUK10" s="2"/>
      <c r="PUL10" s="2"/>
      <c r="PUM10" s="2"/>
      <c r="PUX10" s="2"/>
      <c r="PUY10" s="2"/>
      <c r="PUZ10" s="2"/>
      <c r="PVK10" s="2"/>
      <c r="PVL10" s="2"/>
      <c r="PVM10" s="2"/>
      <c r="PVX10" s="2"/>
      <c r="PVY10" s="2"/>
      <c r="PVZ10" s="2"/>
      <c r="PWK10" s="2"/>
      <c r="PWL10" s="2"/>
      <c r="PWM10" s="2"/>
      <c r="PWX10" s="2"/>
      <c r="PWY10" s="2"/>
      <c r="PWZ10" s="2"/>
      <c r="PXK10" s="2"/>
      <c r="PXL10" s="2"/>
      <c r="PXM10" s="2"/>
      <c r="PXX10" s="2"/>
      <c r="PXY10" s="2"/>
      <c r="PXZ10" s="2"/>
      <c r="PYK10" s="2"/>
      <c r="PYL10" s="2"/>
      <c r="PYM10" s="2"/>
      <c r="PYX10" s="2"/>
      <c r="PYY10" s="2"/>
      <c r="PYZ10" s="2"/>
      <c r="PZK10" s="2"/>
      <c r="PZL10" s="2"/>
      <c r="PZM10" s="2"/>
      <c r="PZX10" s="2"/>
      <c r="PZY10" s="2"/>
      <c r="PZZ10" s="2"/>
      <c r="QAK10" s="2"/>
      <c r="QAL10" s="2"/>
      <c r="QAM10" s="2"/>
      <c r="QAX10" s="2"/>
      <c r="QAY10" s="2"/>
      <c r="QAZ10" s="2"/>
      <c r="QBK10" s="2"/>
      <c r="QBL10" s="2"/>
      <c r="QBM10" s="2"/>
      <c r="QBX10" s="2"/>
      <c r="QBY10" s="2"/>
      <c r="QBZ10" s="2"/>
      <c r="QCK10" s="2"/>
      <c r="QCL10" s="2"/>
      <c r="QCM10" s="2"/>
      <c r="QCX10" s="2"/>
      <c r="QCY10" s="2"/>
      <c r="QCZ10" s="2"/>
      <c r="QDK10" s="2"/>
      <c r="QDL10" s="2"/>
      <c r="QDM10" s="2"/>
      <c r="QDX10" s="2"/>
      <c r="QDY10" s="2"/>
      <c r="QDZ10" s="2"/>
      <c r="QEK10" s="2"/>
      <c r="QEL10" s="2"/>
      <c r="QEM10" s="2"/>
      <c r="QEX10" s="2"/>
      <c r="QEY10" s="2"/>
      <c r="QEZ10" s="2"/>
      <c r="QFK10" s="2"/>
      <c r="QFL10" s="2"/>
      <c r="QFM10" s="2"/>
      <c r="QFX10" s="2"/>
      <c r="QFY10" s="2"/>
      <c r="QFZ10" s="2"/>
      <c r="QGK10" s="2"/>
      <c r="QGL10" s="2"/>
      <c r="QGM10" s="2"/>
      <c r="QGX10" s="2"/>
      <c r="QGY10" s="2"/>
      <c r="QGZ10" s="2"/>
      <c r="QHK10" s="2"/>
      <c r="QHL10" s="2"/>
      <c r="QHM10" s="2"/>
      <c r="QHX10" s="2"/>
      <c r="QHY10" s="2"/>
      <c r="QHZ10" s="2"/>
      <c r="QIK10" s="2"/>
      <c r="QIL10" s="2"/>
      <c r="QIM10" s="2"/>
      <c r="QIX10" s="2"/>
      <c r="QIY10" s="2"/>
      <c r="QIZ10" s="2"/>
      <c r="QJK10" s="2"/>
      <c r="QJL10" s="2"/>
      <c r="QJM10" s="2"/>
      <c r="QJX10" s="2"/>
      <c r="QJY10" s="2"/>
      <c r="QJZ10" s="2"/>
      <c r="QKK10" s="2"/>
      <c r="QKL10" s="2"/>
      <c r="QKM10" s="2"/>
      <c r="QKX10" s="2"/>
      <c r="QKY10" s="2"/>
      <c r="QKZ10" s="2"/>
      <c r="QLK10" s="2"/>
      <c r="QLL10" s="2"/>
      <c r="QLM10" s="2"/>
      <c r="QLX10" s="2"/>
      <c r="QLY10" s="2"/>
      <c r="QLZ10" s="2"/>
      <c r="QMK10" s="2"/>
      <c r="QML10" s="2"/>
      <c r="QMM10" s="2"/>
      <c r="QMX10" s="2"/>
      <c r="QMY10" s="2"/>
      <c r="QMZ10" s="2"/>
      <c r="QNK10" s="2"/>
      <c r="QNL10" s="2"/>
      <c r="QNM10" s="2"/>
      <c r="QNX10" s="2"/>
      <c r="QNY10" s="2"/>
      <c r="QNZ10" s="2"/>
      <c r="QOK10" s="2"/>
      <c r="QOL10" s="2"/>
      <c r="QOM10" s="2"/>
      <c r="QOX10" s="2"/>
      <c r="QOY10" s="2"/>
      <c r="QOZ10" s="2"/>
      <c r="QPK10" s="2"/>
      <c r="QPL10" s="2"/>
      <c r="QPM10" s="2"/>
      <c r="QPX10" s="2"/>
      <c r="QPY10" s="2"/>
      <c r="QPZ10" s="2"/>
      <c r="QQK10" s="2"/>
      <c r="QQL10" s="2"/>
      <c r="QQM10" s="2"/>
      <c r="QQX10" s="2"/>
      <c r="QQY10" s="2"/>
      <c r="QQZ10" s="2"/>
      <c r="QRK10" s="2"/>
      <c r="QRL10" s="2"/>
      <c r="QRM10" s="2"/>
      <c r="QRX10" s="2"/>
      <c r="QRY10" s="2"/>
      <c r="QRZ10" s="2"/>
      <c r="QSK10" s="2"/>
      <c r="QSL10" s="2"/>
      <c r="QSM10" s="2"/>
      <c r="QSX10" s="2"/>
      <c r="QSY10" s="2"/>
      <c r="QSZ10" s="2"/>
      <c r="QTK10" s="2"/>
      <c r="QTL10" s="2"/>
      <c r="QTM10" s="2"/>
      <c r="QTX10" s="2"/>
      <c r="QTY10" s="2"/>
      <c r="QTZ10" s="2"/>
      <c r="QUK10" s="2"/>
      <c r="QUL10" s="2"/>
      <c r="QUM10" s="2"/>
      <c r="QUX10" s="2"/>
      <c r="QUY10" s="2"/>
      <c r="QUZ10" s="2"/>
      <c r="QVK10" s="2"/>
      <c r="QVL10" s="2"/>
      <c r="QVM10" s="2"/>
      <c r="QVX10" s="2"/>
      <c r="QVY10" s="2"/>
      <c r="QVZ10" s="2"/>
      <c r="QWK10" s="2"/>
      <c r="QWL10" s="2"/>
      <c r="QWM10" s="2"/>
      <c r="QWX10" s="2"/>
      <c r="QWY10" s="2"/>
      <c r="QWZ10" s="2"/>
      <c r="QXK10" s="2"/>
      <c r="QXL10" s="2"/>
      <c r="QXM10" s="2"/>
      <c r="QXX10" s="2"/>
      <c r="QXY10" s="2"/>
      <c r="QXZ10" s="2"/>
      <c r="QYK10" s="2"/>
      <c r="QYL10" s="2"/>
      <c r="QYM10" s="2"/>
      <c r="QYX10" s="2"/>
      <c r="QYY10" s="2"/>
      <c r="QYZ10" s="2"/>
      <c r="QZK10" s="2"/>
      <c r="QZL10" s="2"/>
      <c r="QZM10" s="2"/>
      <c r="QZX10" s="2"/>
      <c r="QZY10" s="2"/>
      <c r="QZZ10" s="2"/>
      <c r="RAK10" s="2"/>
      <c r="RAL10" s="2"/>
      <c r="RAM10" s="2"/>
      <c r="RAX10" s="2"/>
      <c r="RAY10" s="2"/>
      <c r="RAZ10" s="2"/>
      <c r="RBK10" s="2"/>
      <c r="RBL10" s="2"/>
      <c r="RBM10" s="2"/>
      <c r="RBX10" s="2"/>
      <c r="RBY10" s="2"/>
      <c r="RBZ10" s="2"/>
      <c r="RCK10" s="2"/>
      <c r="RCL10" s="2"/>
      <c r="RCM10" s="2"/>
      <c r="RCX10" s="2"/>
      <c r="RCY10" s="2"/>
      <c r="RCZ10" s="2"/>
      <c r="RDK10" s="2"/>
      <c r="RDL10" s="2"/>
      <c r="RDM10" s="2"/>
      <c r="RDX10" s="2"/>
      <c r="RDY10" s="2"/>
      <c r="RDZ10" s="2"/>
      <c r="REK10" s="2"/>
      <c r="REL10" s="2"/>
      <c r="REM10" s="2"/>
      <c r="REX10" s="2"/>
      <c r="REY10" s="2"/>
      <c r="REZ10" s="2"/>
      <c r="RFK10" s="2"/>
      <c r="RFL10" s="2"/>
      <c r="RFM10" s="2"/>
      <c r="RFX10" s="2"/>
      <c r="RFY10" s="2"/>
      <c r="RFZ10" s="2"/>
      <c r="RGK10" s="2"/>
      <c r="RGL10" s="2"/>
      <c r="RGM10" s="2"/>
      <c r="RGX10" s="2"/>
      <c r="RGY10" s="2"/>
      <c r="RGZ10" s="2"/>
      <c r="RHK10" s="2"/>
      <c r="RHL10" s="2"/>
      <c r="RHM10" s="2"/>
      <c r="RHX10" s="2"/>
      <c r="RHY10" s="2"/>
      <c r="RHZ10" s="2"/>
      <c r="RIK10" s="2"/>
      <c r="RIL10" s="2"/>
      <c r="RIM10" s="2"/>
      <c r="RIX10" s="2"/>
      <c r="RIY10" s="2"/>
      <c r="RIZ10" s="2"/>
      <c r="RJK10" s="2"/>
      <c r="RJL10" s="2"/>
      <c r="RJM10" s="2"/>
      <c r="RJX10" s="2"/>
      <c r="RJY10" s="2"/>
      <c r="RJZ10" s="2"/>
      <c r="RKK10" s="2"/>
      <c r="RKL10" s="2"/>
      <c r="RKM10" s="2"/>
      <c r="RKX10" s="2"/>
      <c r="RKY10" s="2"/>
      <c r="RKZ10" s="2"/>
      <c r="RLK10" s="2"/>
      <c r="RLL10" s="2"/>
      <c r="RLM10" s="2"/>
      <c r="RLX10" s="2"/>
      <c r="RLY10" s="2"/>
      <c r="RLZ10" s="2"/>
      <c r="RMK10" s="2"/>
      <c r="RML10" s="2"/>
      <c r="RMM10" s="2"/>
      <c r="RMX10" s="2"/>
      <c r="RMY10" s="2"/>
      <c r="RMZ10" s="2"/>
      <c r="RNK10" s="2"/>
      <c r="RNL10" s="2"/>
      <c r="RNM10" s="2"/>
      <c r="RNX10" s="2"/>
      <c r="RNY10" s="2"/>
      <c r="RNZ10" s="2"/>
      <c r="ROK10" s="2"/>
      <c r="ROL10" s="2"/>
      <c r="ROM10" s="2"/>
      <c r="ROX10" s="2"/>
      <c r="ROY10" s="2"/>
      <c r="ROZ10" s="2"/>
      <c r="RPK10" s="2"/>
      <c r="RPL10" s="2"/>
      <c r="RPM10" s="2"/>
      <c r="RPX10" s="2"/>
      <c r="RPY10" s="2"/>
      <c r="RPZ10" s="2"/>
      <c r="RQK10" s="2"/>
      <c r="RQL10" s="2"/>
      <c r="RQM10" s="2"/>
      <c r="RQX10" s="2"/>
      <c r="RQY10" s="2"/>
      <c r="RQZ10" s="2"/>
      <c r="RRK10" s="2"/>
      <c r="RRL10" s="2"/>
      <c r="RRM10" s="2"/>
      <c r="RRX10" s="2"/>
      <c r="RRY10" s="2"/>
      <c r="RRZ10" s="2"/>
      <c r="RSK10" s="2"/>
      <c r="RSL10" s="2"/>
      <c r="RSM10" s="2"/>
      <c r="RSX10" s="2"/>
      <c r="RSY10" s="2"/>
      <c r="RSZ10" s="2"/>
      <c r="RTK10" s="2"/>
      <c r="RTL10" s="2"/>
      <c r="RTM10" s="2"/>
      <c r="RTX10" s="2"/>
      <c r="RTY10" s="2"/>
      <c r="RTZ10" s="2"/>
      <c r="RUK10" s="2"/>
      <c r="RUL10" s="2"/>
      <c r="RUM10" s="2"/>
      <c r="RUX10" s="2"/>
      <c r="RUY10" s="2"/>
      <c r="RUZ10" s="2"/>
      <c r="RVK10" s="2"/>
      <c r="RVL10" s="2"/>
      <c r="RVM10" s="2"/>
      <c r="RVX10" s="2"/>
      <c r="RVY10" s="2"/>
      <c r="RVZ10" s="2"/>
      <c r="RWK10" s="2"/>
      <c r="RWL10" s="2"/>
      <c r="RWM10" s="2"/>
      <c r="RWX10" s="2"/>
      <c r="RWY10" s="2"/>
      <c r="RWZ10" s="2"/>
      <c r="RXK10" s="2"/>
      <c r="RXL10" s="2"/>
      <c r="RXM10" s="2"/>
      <c r="RXX10" s="2"/>
      <c r="RXY10" s="2"/>
      <c r="RXZ10" s="2"/>
      <c r="RYK10" s="2"/>
      <c r="RYL10" s="2"/>
      <c r="RYM10" s="2"/>
      <c r="RYX10" s="2"/>
      <c r="RYY10" s="2"/>
      <c r="RYZ10" s="2"/>
      <c r="RZK10" s="2"/>
      <c r="RZL10" s="2"/>
      <c r="RZM10" s="2"/>
      <c r="RZX10" s="2"/>
      <c r="RZY10" s="2"/>
      <c r="RZZ10" s="2"/>
      <c r="SAK10" s="2"/>
      <c r="SAL10" s="2"/>
      <c r="SAM10" s="2"/>
      <c r="SAX10" s="2"/>
      <c r="SAY10" s="2"/>
      <c r="SAZ10" s="2"/>
      <c r="SBK10" s="2"/>
      <c r="SBL10" s="2"/>
      <c r="SBM10" s="2"/>
      <c r="SBX10" s="2"/>
      <c r="SBY10" s="2"/>
      <c r="SBZ10" s="2"/>
      <c r="SCK10" s="2"/>
      <c r="SCL10" s="2"/>
      <c r="SCM10" s="2"/>
      <c r="SCX10" s="2"/>
      <c r="SCY10" s="2"/>
      <c r="SCZ10" s="2"/>
      <c r="SDK10" s="2"/>
      <c r="SDL10" s="2"/>
      <c r="SDM10" s="2"/>
      <c r="SDX10" s="2"/>
      <c r="SDY10" s="2"/>
      <c r="SDZ10" s="2"/>
      <c r="SEK10" s="2"/>
      <c r="SEL10" s="2"/>
      <c r="SEM10" s="2"/>
      <c r="SEX10" s="2"/>
      <c r="SEY10" s="2"/>
      <c r="SEZ10" s="2"/>
      <c r="SFK10" s="2"/>
      <c r="SFL10" s="2"/>
      <c r="SFM10" s="2"/>
      <c r="SFX10" s="2"/>
      <c r="SFY10" s="2"/>
      <c r="SFZ10" s="2"/>
      <c r="SGK10" s="2"/>
      <c r="SGL10" s="2"/>
      <c r="SGM10" s="2"/>
      <c r="SGX10" s="2"/>
      <c r="SGY10" s="2"/>
      <c r="SGZ10" s="2"/>
      <c r="SHK10" s="2"/>
      <c r="SHL10" s="2"/>
      <c r="SHM10" s="2"/>
      <c r="SHX10" s="2"/>
      <c r="SHY10" s="2"/>
      <c r="SHZ10" s="2"/>
      <c r="SIK10" s="2"/>
      <c r="SIL10" s="2"/>
      <c r="SIM10" s="2"/>
      <c r="SIX10" s="2"/>
      <c r="SIY10" s="2"/>
      <c r="SIZ10" s="2"/>
      <c r="SJK10" s="2"/>
      <c r="SJL10" s="2"/>
      <c r="SJM10" s="2"/>
      <c r="SJX10" s="2"/>
      <c r="SJY10" s="2"/>
      <c r="SJZ10" s="2"/>
      <c r="SKK10" s="2"/>
      <c r="SKL10" s="2"/>
      <c r="SKM10" s="2"/>
      <c r="SKX10" s="2"/>
      <c r="SKY10" s="2"/>
      <c r="SKZ10" s="2"/>
      <c r="SLK10" s="2"/>
      <c r="SLL10" s="2"/>
      <c r="SLM10" s="2"/>
      <c r="SLX10" s="2"/>
      <c r="SLY10" s="2"/>
      <c r="SLZ10" s="2"/>
      <c r="SMK10" s="2"/>
      <c r="SML10" s="2"/>
      <c r="SMM10" s="2"/>
      <c r="SMX10" s="2"/>
      <c r="SMY10" s="2"/>
      <c r="SMZ10" s="2"/>
      <c r="SNK10" s="2"/>
      <c r="SNL10" s="2"/>
      <c r="SNM10" s="2"/>
      <c r="SNX10" s="2"/>
      <c r="SNY10" s="2"/>
      <c r="SNZ10" s="2"/>
      <c r="SOK10" s="2"/>
      <c r="SOL10" s="2"/>
      <c r="SOM10" s="2"/>
      <c r="SOX10" s="2"/>
      <c r="SOY10" s="2"/>
      <c r="SOZ10" s="2"/>
      <c r="SPK10" s="2"/>
      <c r="SPL10" s="2"/>
      <c r="SPM10" s="2"/>
      <c r="SPX10" s="2"/>
      <c r="SPY10" s="2"/>
      <c r="SPZ10" s="2"/>
      <c r="SQK10" s="2"/>
      <c r="SQL10" s="2"/>
      <c r="SQM10" s="2"/>
      <c r="SQX10" s="2"/>
      <c r="SQY10" s="2"/>
      <c r="SQZ10" s="2"/>
      <c r="SRK10" s="2"/>
      <c r="SRL10" s="2"/>
      <c r="SRM10" s="2"/>
      <c r="SRX10" s="2"/>
      <c r="SRY10" s="2"/>
      <c r="SRZ10" s="2"/>
      <c r="SSK10" s="2"/>
      <c r="SSL10" s="2"/>
      <c r="SSM10" s="2"/>
      <c r="SSX10" s="2"/>
      <c r="SSY10" s="2"/>
      <c r="SSZ10" s="2"/>
      <c r="STK10" s="2"/>
      <c r="STL10" s="2"/>
      <c r="STM10" s="2"/>
      <c r="STX10" s="2"/>
      <c r="STY10" s="2"/>
      <c r="STZ10" s="2"/>
      <c r="SUK10" s="2"/>
      <c r="SUL10" s="2"/>
      <c r="SUM10" s="2"/>
      <c r="SUX10" s="2"/>
      <c r="SUY10" s="2"/>
      <c r="SUZ10" s="2"/>
      <c r="SVK10" s="2"/>
      <c r="SVL10" s="2"/>
      <c r="SVM10" s="2"/>
      <c r="SVX10" s="2"/>
      <c r="SVY10" s="2"/>
      <c r="SVZ10" s="2"/>
      <c r="SWK10" s="2"/>
      <c r="SWL10" s="2"/>
      <c r="SWM10" s="2"/>
      <c r="SWX10" s="2"/>
      <c r="SWY10" s="2"/>
      <c r="SWZ10" s="2"/>
      <c r="SXK10" s="2"/>
      <c r="SXL10" s="2"/>
      <c r="SXM10" s="2"/>
      <c r="SXX10" s="2"/>
      <c r="SXY10" s="2"/>
      <c r="SXZ10" s="2"/>
      <c r="SYK10" s="2"/>
      <c r="SYL10" s="2"/>
      <c r="SYM10" s="2"/>
      <c r="SYX10" s="2"/>
      <c r="SYY10" s="2"/>
      <c r="SYZ10" s="2"/>
      <c r="SZK10" s="2"/>
      <c r="SZL10" s="2"/>
      <c r="SZM10" s="2"/>
      <c r="SZX10" s="2"/>
      <c r="SZY10" s="2"/>
      <c r="SZZ10" s="2"/>
      <c r="TAK10" s="2"/>
      <c r="TAL10" s="2"/>
      <c r="TAM10" s="2"/>
      <c r="TAX10" s="2"/>
      <c r="TAY10" s="2"/>
      <c r="TAZ10" s="2"/>
      <c r="TBK10" s="2"/>
      <c r="TBL10" s="2"/>
      <c r="TBM10" s="2"/>
      <c r="TBX10" s="2"/>
      <c r="TBY10" s="2"/>
      <c r="TBZ10" s="2"/>
      <c r="TCK10" s="2"/>
      <c r="TCL10" s="2"/>
      <c r="TCM10" s="2"/>
      <c r="TCX10" s="2"/>
      <c r="TCY10" s="2"/>
      <c r="TCZ10" s="2"/>
      <c r="TDK10" s="2"/>
      <c r="TDL10" s="2"/>
      <c r="TDM10" s="2"/>
      <c r="TDX10" s="2"/>
      <c r="TDY10" s="2"/>
      <c r="TDZ10" s="2"/>
      <c r="TEK10" s="2"/>
      <c r="TEL10" s="2"/>
      <c r="TEM10" s="2"/>
      <c r="TEX10" s="2"/>
      <c r="TEY10" s="2"/>
      <c r="TEZ10" s="2"/>
      <c r="TFK10" s="2"/>
      <c r="TFL10" s="2"/>
      <c r="TFM10" s="2"/>
      <c r="TFX10" s="2"/>
      <c r="TFY10" s="2"/>
      <c r="TFZ10" s="2"/>
      <c r="TGK10" s="2"/>
      <c r="TGL10" s="2"/>
      <c r="TGM10" s="2"/>
      <c r="TGX10" s="2"/>
      <c r="TGY10" s="2"/>
      <c r="TGZ10" s="2"/>
      <c r="THK10" s="2"/>
      <c r="THL10" s="2"/>
      <c r="THM10" s="2"/>
      <c r="THX10" s="2"/>
      <c r="THY10" s="2"/>
      <c r="THZ10" s="2"/>
      <c r="TIK10" s="2"/>
      <c r="TIL10" s="2"/>
      <c r="TIM10" s="2"/>
      <c r="TIX10" s="2"/>
      <c r="TIY10" s="2"/>
      <c r="TIZ10" s="2"/>
      <c r="TJK10" s="2"/>
      <c r="TJL10" s="2"/>
      <c r="TJM10" s="2"/>
      <c r="TJX10" s="2"/>
      <c r="TJY10" s="2"/>
      <c r="TJZ10" s="2"/>
      <c r="TKK10" s="2"/>
      <c r="TKL10" s="2"/>
      <c r="TKM10" s="2"/>
      <c r="TKX10" s="2"/>
      <c r="TKY10" s="2"/>
      <c r="TKZ10" s="2"/>
      <c r="TLK10" s="2"/>
      <c r="TLL10" s="2"/>
      <c r="TLM10" s="2"/>
      <c r="TLX10" s="2"/>
      <c r="TLY10" s="2"/>
      <c r="TLZ10" s="2"/>
      <c r="TMK10" s="2"/>
      <c r="TML10" s="2"/>
      <c r="TMM10" s="2"/>
      <c r="TMX10" s="2"/>
      <c r="TMY10" s="2"/>
      <c r="TMZ10" s="2"/>
      <c r="TNK10" s="2"/>
      <c r="TNL10" s="2"/>
      <c r="TNM10" s="2"/>
      <c r="TNX10" s="2"/>
      <c r="TNY10" s="2"/>
      <c r="TNZ10" s="2"/>
      <c r="TOK10" s="2"/>
      <c r="TOL10" s="2"/>
      <c r="TOM10" s="2"/>
      <c r="TOX10" s="2"/>
      <c r="TOY10" s="2"/>
      <c r="TOZ10" s="2"/>
      <c r="TPK10" s="2"/>
      <c r="TPL10" s="2"/>
      <c r="TPM10" s="2"/>
      <c r="TPX10" s="2"/>
      <c r="TPY10" s="2"/>
      <c r="TPZ10" s="2"/>
      <c r="TQK10" s="2"/>
      <c r="TQL10" s="2"/>
      <c r="TQM10" s="2"/>
      <c r="TQX10" s="2"/>
      <c r="TQY10" s="2"/>
      <c r="TQZ10" s="2"/>
      <c r="TRK10" s="2"/>
      <c r="TRL10" s="2"/>
      <c r="TRM10" s="2"/>
      <c r="TRX10" s="2"/>
      <c r="TRY10" s="2"/>
      <c r="TRZ10" s="2"/>
      <c r="TSK10" s="2"/>
      <c r="TSL10" s="2"/>
      <c r="TSM10" s="2"/>
      <c r="TSX10" s="2"/>
      <c r="TSY10" s="2"/>
      <c r="TSZ10" s="2"/>
      <c r="TTK10" s="2"/>
      <c r="TTL10" s="2"/>
      <c r="TTM10" s="2"/>
      <c r="TTX10" s="2"/>
      <c r="TTY10" s="2"/>
      <c r="TTZ10" s="2"/>
      <c r="TUK10" s="2"/>
      <c r="TUL10" s="2"/>
      <c r="TUM10" s="2"/>
      <c r="TUX10" s="2"/>
      <c r="TUY10" s="2"/>
      <c r="TUZ10" s="2"/>
      <c r="TVK10" s="2"/>
      <c r="TVL10" s="2"/>
      <c r="TVM10" s="2"/>
      <c r="TVX10" s="2"/>
      <c r="TVY10" s="2"/>
      <c r="TVZ10" s="2"/>
      <c r="TWK10" s="2"/>
      <c r="TWL10" s="2"/>
      <c r="TWM10" s="2"/>
      <c r="TWX10" s="2"/>
      <c r="TWY10" s="2"/>
      <c r="TWZ10" s="2"/>
      <c r="TXK10" s="2"/>
      <c r="TXL10" s="2"/>
      <c r="TXM10" s="2"/>
      <c r="TXX10" s="2"/>
      <c r="TXY10" s="2"/>
      <c r="TXZ10" s="2"/>
      <c r="TYK10" s="2"/>
      <c r="TYL10" s="2"/>
      <c r="TYM10" s="2"/>
      <c r="TYX10" s="2"/>
      <c r="TYY10" s="2"/>
      <c r="TYZ10" s="2"/>
      <c r="TZK10" s="2"/>
      <c r="TZL10" s="2"/>
      <c r="TZM10" s="2"/>
      <c r="TZX10" s="2"/>
      <c r="TZY10" s="2"/>
      <c r="TZZ10" s="2"/>
      <c r="UAK10" s="2"/>
      <c r="UAL10" s="2"/>
      <c r="UAM10" s="2"/>
      <c r="UAX10" s="2"/>
      <c r="UAY10" s="2"/>
      <c r="UAZ10" s="2"/>
      <c r="UBK10" s="2"/>
      <c r="UBL10" s="2"/>
      <c r="UBM10" s="2"/>
      <c r="UBX10" s="2"/>
      <c r="UBY10" s="2"/>
      <c r="UBZ10" s="2"/>
      <c r="UCK10" s="2"/>
      <c r="UCL10" s="2"/>
      <c r="UCM10" s="2"/>
      <c r="UCX10" s="2"/>
      <c r="UCY10" s="2"/>
      <c r="UCZ10" s="2"/>
      <c r="UDK10" s="2"/>
      <c r="UDL10" s="2"/>
      <c r="UDM10" s="2"/>
      <c r="UDX10" s="2"/>
      <c r="UDY10" s="2"/>
      <c r="UDZ10" s="2"/>
      <c r="UEK10" s="2"/>
      <c r="UEL10" s="2"/>
      <c r="UEM10" s="2"/>
      <c r="UEX10" s="2"/>
      <c r="UEY10" s="2"/>
      <c r="UEZ10" s="2"/>
      <c r="UFK10" s="2"/>
      <c r="UFL10" s="2"/>
      <c r="UFM10" s="2"/>
      <c r="UFX10" s="2"/>
      <c r="UFY10" s="2"/>
      <c r="UFZ10" s="2"/>
      <c r="UGK10" s="2"/>
      <c r="UGL10" s="2"/>
      <c r="UGM10" s="2"/>
      <c r="UGX10" s="2"/>
      <c r="UGY10" s="2"/>
      <c r="UGZ10" s="2"/>
      <c r="UHK10" s="2"/>
      <c r="UHL10" s="2"/>
      <c r="UHM10" s="2"/>
      <c r="UHX10" s="2"/>
      <c r="UHY10" s="2"/>
      <c r="UHZ10" s="2"/>
      <c r="UIK10" s="2"/>
      <c r="UIL10" s="2"/>
      <c r="UIM10" s="2"/>
      <c r="UIX10" s="2"/>
      <c r="UIY10" s="2"/>
      <c r="UIZ10" s="2"/>
      <c r="UJK10" s="2"/>
      <c r="UJL10" s="2"/>
      <c r="UJM10" s="2"/>
      <c r="UJX10" s="2"/>
      <c r="UJY10" s="2"/>
      <c r="UJZ10" s="2"/>
      <c r="UKK10" s="2"/>
      <c r="UKL10" s="2"/>
      <c r="UKM10" s="2"/>
      <c r="UKX10" s="2"/>
      <c r="UKY10" s="2"/>
      <c r="UKZ10" s="2"/>
      <c r="ULK10" s="2"/>
      <c r="ULL10" s="2"/>
      <c r="ULM10" s="2"/>
      <c r="ULX10" s="2"/>
      <c r="ULY10" s="2"/>
      <c r="ULZ10" s="2"/>
      <c r="UMK10" s="2"/>
      <c r="UML10" s="2"/>
      <c r="UMM10" s="2"/>
      <c r="UMX10" s="2"/>
      <c r="UMY10" s="2"/>
      <c r="UMZ10" s="2"/>
      <c r="UNK10" s="2"/>
      <c r="UNL10" s="2"/>
      <c r="UNM10" s="2"/>
      <c r="UNX10" s="2"/>
      <c r="UNY10" s="2"/>
      <c r="UNZ10" s="2"/>
      <c r="UOK10" s="2"/>
      <c r="UOL10" s="2"/>
      <c r="UOM10" s="2"/>
      <c r="UOX10" s="2"/>
      <c r="UOY10" s="2"/>
      <c r="UOZ10" s="2"/>
      <c r="UPK10" s="2"/>
      <c r="UPL10" s="2"/>
      <c r="UPM10" s="2"/>
      <c r="UPX10" s="2"/>
      <c r="UPY10" s="2"/>
      <c r="UPZ10" s="2"/>
      <c r="UQK10" s="2"/>
      <c r="UQL10" s="2"/>
      <c r="UQM10" s="2"/>
      <c r="UQX10" s="2"/>
      <c r="UQY10" s="2"/>
      <c r="UQZ10" s="2"/>
      <c r="URK10" s="2"/>
      <c r="URL10" s="2"/>
      <c r="URM10" s="2"/>
      <c r="URX10" s="2"/>
      <c r="URY10" s="2"/>
      <c r="URZ10" s="2"/>
      <c r="USK10" s="2"/>
      <c r="USL10" s="2"/>
      <c r="USM10" s="2"/>
      <c r="USX10" s="2"/>
      <c r="USY10" s="2"/>
      <c r="USZ10" s="2"/>
      <c r="UTK10" s="2"/>
      <c r="UTL10" s="2"/>
      <c r="UTM10" s="2"/>
      <c r="UTX10" s="2"/>
      <c r="UTY10" s="2"/>
      <c r="UTZ10" s="2"/>
      <c r="UUK10" s="2"/>
      <c r="UUL10" s="2"/>
      <c r="UUM10" s="2"/>
      <c r="UUX10" s="2"/>
      <c r="UUY10" s="2"/>
      <c r="UUZ10" s="2"/>
      <c r="UVK10" s="2"/>
      <c r="UVL10" s="2"/>
      <c r="UVM10" s="2"/>
      <c r="UVX10" s="2"/>
      <c r="UVY10" s="2"/>
      <c r="UVZ10" s="2"/>
      <c r="UWK10" s="2"/>
      <c r="UWL10" s="2"/>
      <c r="UWM10" s="2"/>
      <c r="UWX10" s="2"/>
      <c r="UWY10" s="2"/>
      <c r="UWZ10" s="2"/>
      <c r="UXK10" s="2"/>
      <c r="UXL10" s="2"/>
      <c r="UXM10" s="2"/>
      <c r="UXX10" s="2"/>
      <c r="UXY10" s="2"/>
      <c r="UXZ10" s="2"/>
      <c r="UYK10" s="2"/>
      <c r="UYL10" s="2"/>
      <c r="UYM10" s="2"/>
      <c r="UYX10" s="2"/>
      <c r="UYY10" s="2"/>
      <c r="UYZ10" s="2"/>
      <c r="UZK10" s="2"/>
      <c r="UZL10" s="2"/>
      <c r="UZM10" s="2"/>
      <c r="UZX10" s="2"/>
      <c r="UZY10" s="2"/>
      <c r="UZZ10" s="2"/>
      <c r="VAK10" s="2"/>
      <c r="VAL10" s="2"/>
      <c r="VAM10" s="2"/>
      <c r="VAX10" s="2"/>
      <c r="VAY10" s="2"/>
      <c r="VAZ10" s="2"/>
      <c r="VBK10" s="2"/>
      <c r="VBL10" s="2"/>
      <c r="VBM10" s="2"/>
      <c r="VBX10" s="2"/>
      <c r="VBY10" s="2"/>
      <c r="VBZ10" s="2"/>
      <c r="VCK10" s="2"/>
      <c r="VCL10" s="2"/>
      <c r="VCM10" s="2"/>
      <c r="VCX10" s="2"/>
      <c r="VCY10" s="2"/>
      <c r="VCZ10" s="2"/>
      <c r="VDK10" s="2"/>
      <c r="VDL10" s="2"/>
      <c r="VDM10" s="2"/>
      <c r="VDX10" s="2"/>
      <c r="VDY10" s="2"/>
      <c r="VDZ10" s="2"/>
      <c r="VEK10" s="2"/>
      <c r="VEL10" s="2"/>
      <c r="VEM10" s="2"/>
      <c r="VEX10" s="2"/>
      <c r="VEY10" s="2"/>
      <c r="VEZ10" s="2"/>
      <c r="VFK10" s="2"/>
      <c r="VFL10" s="2"/>
      <c r="VFM10" s="2"/>
      <c r="VFX10" s="2"/>
      <c r="VFY10" s="2"/>
      <c r="VFZ10" s="2"/>
      <c r="VGK10" s="2"/>
      <c r="VGL10" s="2"/>
      <c r="VGM10" s="2"/>
      <c r="VGX10" s="2"/>
      <c r="VGY10" s="2"/>
      <c r="VGZ10" s="2"/>
      <c r="VHK10" s="2"/>
      <c r="VHL10" s="2"/>
      <c r="VHM10" s="2"/>
      <c r="VHX10" s="2"/>
      <c r="VHY10" s="2"/>
      <c r="VHZ10" s="2"/>
      <c r="VIK10" s="2"/>
      <c r="VIL10" s="2"/>
      <c r="VIM10" s="2"/>
      <c r="VIX10" s="2"/>
      <c r="VIY10" s="2"/>
      <c r="VIZ10" s="2"/>
      <c r="VJK10" s="2"/>
      <c r="VJL10" s="2"/>
      <c r="VJM10" s="2"/>
      <c r="VJX10" s="2"/>
      <c r="VJY10" s="2"/>
      <c r="VJZ10" s="2"/>
      <c r="VKK10" s="2"/>
      <c r="VKL10" s="2"/>
      <c r="VKM10" s="2"/>
      <c r="VKX10" s="2"/>
      <c r="VKY10" s="2"/>
      <c r="VKZ10" s="2"/>
      <c r="VLK10" s="2"/>
      <c r="VLL10" s="2"/>
      <c r="VLM10" s="2"/>
      <c r="VLX10" s="2"/>
      <c r="VLY10" s="2"/>
      <c r="VLZ10" s="2"/>
      <c r="VMK10" s="2"/>
      <c r="VML10" s="2"/>
      <c r="VMM10" s="2"/>
      <c r="VMX10" s="2"/>
      <c r="VMY10" s="2"/>
      <c r="VMZ10" s="2"/>
      <c r="VNK10" s="2"/>
      <c r="VNL10" s="2"/>
      <c r="VNM10" s="2"/>
      <c r="VNX10" s="2"/>
      <c r="VNY10" s="2"/>
      <c r="VNZ10" s="2"/>
      <c r="VOK10" s="2"/>
      <c r="VOL10" s="2"/>
      <c r="VOM10" s="2"/>
      <c r="VOX10" s="2"/>
      <c r="VOY10" s="2"/>
      <c r="VOZ10" s="2"/>
      <c r="VPK10" s="2"/>
      <c r="VPL10" s="2"/>
      <c r="VPM10" s="2"/>
      <c r="VPX10" s="2"/>
      <c r="VPY10" s="2"/>
      <c r="VPZ10" s="2"/>
      <c r="VQK10" s="2"/>
      <c r="VQL10" s="2"/>
      <c r="VQM10" s="2"/>
      <c r="VQX10" s="2"/>
      <c r="VQY10" s="2"/>
      <c r="VQZ10" s="2"/>
      <c r="VRK10" s="2"/>
      <c r="VRL10" s="2"/>
      <c r="VRM10" s="2"/>
      <c r="VRX10" s="2"/>
      <c r="VRY10" s="2"/>
      <c r="VRZ10" s="2"/>
      <c r="VSK10" s="2"/>
      <c r="VSL10" s="2"/>
      <c r="VSM10" s="2"/>
      <c r="VSX10" s="2"/>
      <c r="VSY10" s="2"/>
      <c r="VSZ10" s="2"/>
      <c r="VTK10" s="2"/>
      <c r="VTL10" s="2"/>
      <c r="VTM10" s="2"/>
      <c r="VTX10" s="2"/>
      <c r="VTY10" s="2"/>
      <c r="VTZ10" s="2"/>
      <c r="VUK10" s="2"/>
      <c r="VUL10" s="2"/>
      <c r="VUM10" s="2"/>
      <c r="VUX10" s="2"/>
      <c r="VUY10" s="2"/>
      <c r="VUZ10" s="2"/>
      <c r="VVK10" s="2"/>
      <c r="VVL10" s="2"/>
      <c r="VVM10" s="2"/>
      <c r="VVX10" s="2"/>
      <c r="VVY10" s="2"/>
      <c r="VVZ10" s="2"/>
      <c r="VWK10" s="2"/>
      <c r="VWL10" s="2"/>
      <c r="VWM10" s="2"/>
      <c r="VWX10" s="2"/>
      <c r="VWY10" s="2"/>
      <c r="VWZ10" s="2"/>
      <c r="VXK10" s="2"/>
      <c r="VXL10" s="2"/>
      <c r="VXM10" s="2"/>
      <c r="VXX10" s="2"/>
      <c r="VXY10" s="2"/>
      <c r="VXZ10" s="2"/>
      <c r="VYK10" s="2"/>
      <c r="VYL10" s="2"/>
      <c r="VYM10" s="2"/>
      <c r="VYX10" s="2"/>
      <c r="VYY10" s="2"/>
      <c r="VYZ10" s="2"/>
      <c r="VZK10" s="2"/>
      <c r="VZL10" s="2"/>
      <c r="VZM10" s="2"/>
      <c r="VZX10" s="2"/>
      <c r="VZY10" s="2"/>
      <c r="VZZ10" s="2"/>
      <c r="WAK10" s="2"/>
      <c r="WAL10" s="2"/>
      <c r="WAM10" s="2"/>
      <c r="WAX10" s="2"/>
      <c r="WAY10" s="2"/>
      <c r="WAZ10" s="2"/>
      <c r="WBK10" s="2"/>
      <c r="WBL10" s="2"/>
      <c r="WBM10" s="2"/>
      <c r="WBX10" s="2"/>
      <c r="WBY10" s="2"/>
      <c r="WBZ10" s="2"/>
      <c r="WCK10" s="2"/>
      <c r="WCL10" s="2"/>
      <c r="WCM10" s="2"/>
      <c r="WCX10" s="2"/>
      <c r="WCY10" s="2"/>
      <c r="WCZ10" s="2"/>
      <c r="WDK10" s="2"/>
      <c r="WDL10" s="2"/>
      <c r="WDM10" s="2"/>
      <c r="WDX10" s="2"/>
      <c r="WDY10" s="2"/>
      <c r="WDZ10" s="2"/>
      <c r="WEK10" s="2"/>
      <c r="WEL10" s="2"/>
      <c r="WEM10" s="2"/>
      <c r="WEX10" s="2"/>
      <c r="WEY10" s="2"/>
      <c r="WEZ10" s="2"/>
      <c r="WFK10" s="2"/>
      <c r="WFL10" s="2"/>
      <c r="WFM10" s="2"/>
      <c r="WFX10" s="2"/>
      <c r="WFY10" s="2"/>
      <c r="WFZ10" s="2"/>
      <c r="WGK10" s="2"/>
      <c r="WGL10" s="2"/>
      <c r="WGM10" s="2"/>
      <c r="WGX10" s="2"/>
      <c r="WGY10" s="2"/>
      <c r="WGZ10" s="2"/>
      <c r="WHK10" s="2"/>
      <c r="WHL10" s="2"/>
      <c r="WHM10" s="2"/>
      <c r="WHX10" s="2"/>
      <c r="WHY10" s="2"/>
      <c r="WHZ10" s="2"/>
      <c r="WIK10" s="2"/>
      <c r="WIL10" s="2"/>
      <c r="WIM10" s="2"/>
      <c r="WIX10" s="2"/>
      <c r="WIY10" s="2"/>
      <c r="WIZ10" s="2"/>
      <c r="WJK10" s="2"/>
      <c r="WJL10" s="2"/>
      <c r="WJM10" s="2"/>
      <c r="WJX10" s="2"/>
      <c r="WJY10" s="2"/>
      <c r="WJZ10" s="2"/>
      <c r="WKK10" s="2"/>
      <c r="WKL10" s="2"/>
      <c r="WKM10" s="2"/>
      <c r="WKX10" s="2"/>
      <c r="WKY10" s="2"/>
      <c r="WKZ10" s="2"/>
      <c r="WLK10" s="2"/>
      <c r="WLL10" s="2"/>
      <c r="WLM10" s="2"/>
      <c r="WLX10" s="2"/>
      <c r="WLY10" s="2"/>
      <c r="WLZ10" s="2"/>
      <c r="WMK10" s="2"/>
      <c r="WML10" s="2"/>
      <c r="WMM10" s="2"/>
      <c r="WMX10" s="2"/>
      <c r="WMY10" s="2"/>
      <c r="WMZ10" s="2"/>
      <c r="WNK10" s="2"/>
      <c r="WNL10" s="2"/>
      <c r="WNM10" s="2"/>
      <c r="WNX10" s="2"/>
      <c r="WNY10" s="2"/>
      <c r="WNZ10" s="2"/>
      <c r="WOK10" s="2"/>
      <c r="WOL10" s="2"/>
      <c r="WOM10" s="2"/>
      <c r="WOX10" s="2"/>
      <c r="WOY10" s="2"/>
      <c r="WOZ10" s="2"/>
      <c r="WPK10" s="2"/>
      <c r="WPL10" s="2"/>
      <c r="WPM10" s="2"/>
      <c r="WPX10" s="2"/>
      <c r="WPY10" s="2"/>
      <c r="WPZ10" s="2"/>
      <c r="WQK10" s="2"/>
      <c r="WQL10" s="2"/>
      <c r="WQM10" s="2"/>
      <c r="WQX10" s="2"/>
      <c r="WQY10" s="2"/>
      <c r="WQZ10" s="2"/>
      <c r="WRK10" s="2"/>
      <c r="WRL10" s="2"/>
      <c r="WRM10" s="2"/>
      <c r="WRX10" s="2"/>
      <c r="WRY10" s="2"/>
      <c r="WRZ10" s="2"/>
      <c r="WSK10" s="2"/>
      <c r="WSL10" s="2"/>
      <c r="WSM10" s="2"/>
      <c r="WSX10" s="2"/>
      <c r="WSY10" s="2"/>
      <c r="WSZ10" s="2"/>
      <c r="WTK10" s="2"/>
      <c r="WTL10" s="2"/>
      <c r="WTM10" s="2"/>
      <c r="WTX10" s="2"/>
      <c r="WTY10" s="2"/>
      <c r="WTZ10" s="2"/>
      <c r="WUK10" s="2"/>
      <c r="WUL10" s="2"/>
      <c r="WUM10" s="2"/>
      <c r="WUX10" s="2"/>
      <c r="WUY10" s="2"/>
      <c r="WUZ10" s="2"/>
      <c r="WVK10" s="2"/>
      <c r="WVL10" s="2"/>
      <c r="WVM10" s="2"/>
      <c r="WVX10" s="2"/>
      <c r="WVY10" s="2"/>
      <c r="WVZ10" s="2"/>
      <c r="WWK10" s="2"/>
      <c r="WWL10" s="2"/>
      <c r="WWM10" s="2"/>
      <c r="WWX10" s="2"/>
      <c r="WWY10" s="2"/>
      <c r="WWZ10" s="2"/>
      <c r="WXK10" s="2"/>
      <c r="WXL10" s="2"/>
      <c r="WXM10" s="2"/>
      <c r="WXX10" s="2"/>
      <c r="WXY10" s="2"/>
      <c r="WXZ10" s="2"/>
      <c r="WYK10" s="2"/>
      <c r="WYL10" s="2"/>
      <c r="WYM10" s="2"/>
      <c r="WYX10" s="2"/>
      <c r="WYY10" s="2"/>
      <c r="WYZ10" s="2"/>
      <c r="WZK10" s="2"/>
      <c r="WZL10" s="2"/>
      <c r="WZM10" s="2"/>
      <c r="WZX10" s="2"/>
      <c r="WZY10" s="2"/>
      <c r="WZZ10" s="2"/>
      <c r="XAK10" s="2"/>
      <c r="XAL10" s="2"/>
      <c r="XAM10" s="2"/>
      <c r="XAX10" s="2"/>
      <c r="XAY10" s="2"/>
      <c r="XAZ10" s="2"/>
      <c r="XBK10" s="2"/>
      <c r="XBL10" s="2"/>
      <c r="XBM10" s="2"/>
      <c r="XBX10" s="2"/>
      <c r="XBY10" s="2"/>
      <c r="XBZ10" s="2"/>
      <c r="XCK10" s="2"/>
      <c r="XCL10" s="2"/>
      <c r="XCM10" s="2"/>
      <c r="XCX10" s="2"/>
      <c r="XCY10" s="2"/>
      <c r="XCZ10" s="2"/>
      <c r="XDK10" s="2"/>
      <c r="XDL10" s="2"/>
      <c r="XDM10" s="2"/>
      <c r="XDX10" s="2"/>
      <c r="XDY10" s="2"/>
      <c r="XDZ10" s="2"/>
      <c r="XEK10" s="2"/>
      <c r="XEL10" s="2"/>
      <c r="XEM10" s="2"/>
      <c r="XEX10" s="2"/>
      <c r="XEY10" s="2"/>
      <c r="XEZ10" s="2"/>
    </row>
    <row r="11" spans="1:1014 1025:2041 2052:3068 3079:4095 4106:6136 6147:7163 7174:8190 8201:10231 10242:11258 11269:12285 12296:13312 13323:14326 14337:15353 15364:16380" s="63" customFormat="1" ht="15" customHeight="1" x14ac:dyDescent="0.2">
      <c r="A11" s="841"/>
      <c r="B11" s="607" t="s">
        <v>600</v>
      </c>
      <c r="D11" s="3"/>
      <c r="K11" s="2"/>
      <c r="L11" s="699"/>
      <c r="M11" s="2"/>
      <c r="N11" s="55"/>
      <c r="S11" s="155"/>
      <c r="T11" s="1"/>
      <c r="U11" s="1"/>
      <c r="V11" s="1"/>
      <c r="W11" s="1"/>
      <c r="X11" s="1"/>
      <c r="Y11" s="1"/>
      <c r="Z11" s="2"/>
      <c r="AD11" s="49"/>
      <c r="BK11" s="2"/>
      <c r="BL11" s="2"/>
      <c r="BM11" s="2"/>
      <c r="BX11" s="2"/>
      <c r="BY11" s="2"/>
      <c r="BZ11" s="2"/>
      <c r="CK11" s="2"/>
      <c r="CL11" s="2"/>
      <c r="CM11" s="2"/>
      <c r="CX11" s="2"/>
      <c r="CY11" s="2"/>
      <c r="CZ11" s="2"/>
      <c r="DK11" s="2"/>
      <c r="DL11" s="2"/>
      <c r="DM11" s="2"/>
      <c r="DX11" s="2"/>
      <c r="DY11" s="2"/>
      <c r="DZ11" s="2"/>
      <c r="EK11" s="2"/>
      <c r="EL11" s="2"/>
      <c r="EM11" s="2"/>
      <c r="EX11" s="2"/>
      <c r="EY11" s="2"/>
      <c r="EZ11" s="2"/>
      <c r="FK11" s="2"/>
      <c r="FL11" s="2"/>
      <c r="FM11" s="2"/>
      <c r="FX11" s="2"/>
      <c r="FY11" s="2"/>
      <c r="FZ11" s="2"/>
      <c r="GK11" s="2"/>
      <c r="GL11" s="2"/>
      <c r="GM11" s="2"/>
      <c r="GX11" s="2"/>
      <c r="GY11" s="2"/>
      <c r="GZ11" s="2"/>
      <c r="HK11" s="2"/>
      <c r="HL11" s="2"/>
      <c r="HM11" s="2"/>
      <c r="HX11" s="2"/>
      <c r="HY11" s="2"/>
      <c r="HZ11" s="2"/>
      <c r="IK11" s="2"/>
      <c r="IL11" s="2"/>
      <c r="IM11" s="2"/>
      <c r="IX11" s="2"/>
      <c r="IY11" s="2"/>
      <c r="IZ11" s="2"/>
      <c r="JK11" s="2"/>
      <c r="JL11" s="2"/>
      <c r="JM11" s="2"/>
      <c r="JX11" s="2"/>
      <c r="JY11" s="2"/>
      <c r="JZ11" s="2"/>
      <c r="KK11" s="2"/>
      <c r="KL11" s="2"/>
      <c r="KM11" s="2"/>
      <c r="KX11" s="2"/>
      <c r="KY11" s="2"/>
      <c r="KZ11" s="2"/>
      <c r="LK11" s="2"/>
      <c r="LL11" s="2"/>
      <c r="LM11" s="2"/>
      <c r="LX11" s="2"/>
      <c r="LY11" s="2"/>
      <c r="LZ11" s="2"/>
      <c r="MK11" s="2"/>
      <c r="ML11" s="2"/>
      <c r="MM11" s="2"/>
      <c r="MX11" s="2"/>
      <c r="MY11" s="2"/>
      <c r="MZ11" s="2"/>
      <c r="NK11" s="2"/>
      <c r="NL11" s="2"/>
      <c r="NM11" s="2"/>
      <c r="NX11" s="2"/>
      <c r="NY11" s="2"/>
      <c r="NZ11" s="2"/>
      <c r="OK11" s="2"/>
      <c r="OL11" s="2"/>
      <c r="OM11" s="2"/>
      <c r="OX11" s="2"/>
      <c r="OY11" s="2"/>
      <c r="OZ11" s="2"/>
      <c r="PK11" s="2"/>
      <c r="PL11" s="2"/>
      <c r="PM11" s="2"/>
      <c r="PX11" s="2"/>
      <c r="PY11" s="2"/>
      <c r="PZ11" s="2"/>
      <c r="QK11" s="2"/>
      <c r="QL11" s="2"/>
      <c r="QM11" s="2"/>
      <c r="QX11" s="2"/>
      <c r="QY11" s="2"/>
      <c r="QZ11" s="2"/>
      <c r="RK11" s="2"/>
      <c r="RL11" s="2"/>
      <c r="RM11" s="2"/>
      <c r="RX11" s="2"/>
      <c r="RY11" s="2"/>
      <c r="RZ11" s="2"/>
      <c r="SK11" s="2"/>
      <c r="SL11" s="2"/>
      <c r="SM11" s="2"/>
      <c r="SX11" s="2"/>
      <c r="SY11" s="2"/>
      <c r="SZ11" s="2"/>
      <c r="TK11" s="2"/>
      <c r="TL11" s="2"/>
      <c r="TM11" s="2"/>
      <c r="TX11" s="2"/>
      <c r="TY11" s="2"/>
      <c r="TZ11" s="2"/>
      <c r="UK11" s="2"/>
      <c r="UL11" s="2"/>
      <c r="UM11" s="2"/>
      <c r="UX11" s="2"/>
      <c r="UY11" s="2"/>
      <c r="UZ11" s="2"/>
      <c r="VK11" s="2"/>
      <c r="VL11" s="2"/>
      <c r="VM11" s="2"/>
      <c r="VX11" s="2"/>
      <c r="VY11" s="2"/>
      <c r="VZ11" s="2"/>
      <c r="WK11" s="2"/>
      <c r="WL11" s="2"/>
      <c r="WM11" s="2"/>
      <c r="WX11" s="2"/>
      <c r="WY11" s="2"/>
      <c r="WZ11" s="2"/>
      <c r="XK11" s="2"/>
      <c r="XL11" s="2"/>
      <c r="XM11" s="2"/>
      <c r="XX11" s="2"/>
      <c r="XY11" s="2"/>
      <c r="XZ11" s="2"/>
      <c r="YK11" s="2"/>
      <c r="YL11" s="2"/>
      <c r="YM11" s="2"/>
      <c r="YX11" s="2"/>
      <c r="YY11" s="2"/>
      <c r="YZ11" s="2"/>
      <c r="ZK11" s="2"/>
      <c r="ZL11" s="2"/>
      <c r="ZM11" s="2"/>
      <c r="ZX11" s="2"/>
      <c r="ZY11" s="2"/>
      <c r="ZZ11" s="2"/>
      <c r="AAK11" s="2"/>
      <c r="AAL11" s="2"/>
      <c r="AAM11" s="2"/>
      <c r="AAX11" s="2"/>
      <c r="AAY11" s="2"/>
      <c r="AAZ11" s="2"/>
      <c r="ABK11" s="2"/>
      <c r="ABL11" s="2"/>
      <c r="ABM11" s="2"/>
      <c r="ABX11" s="2"/>
      <c r="ABY11" s="2"/>
      <c r="ABZ11" s="2"/>
      <c r="ACK11" s="2"/>
      <c r="ACL11" s="2"/>
      <c r="ACM11" s="2"/>
      <c r="ACX11" s="2"/>
      <c r="ACY11" s="2"/>
      <c r="ACZ11" s="2"/>
      <c r="ADK11" s="2"/>
      <c r="ADL11" s="2"/>
      <c r="ADM11" s="2"/>
      <c r="ADX11" s="2"/>
      <c r="ADY11" s="2"/>
      <c r="ADZ11" s="2"/>
      <c r="AEK11" s="2"/>
      <c r="AEL11" s="2"/>
      <c r="AEM11" s="2"/>
      <c r="AEX11" s="2"/>
      <c r="AEY11" s="2"/>
      <c r="AEZ11" s="2"/>
      <c r="AFK11" s="2"/>
      <c r="AFL11" s="2"/>
      <c r="AFM11" s="2"/>
      <c r="AFX11" s="2"/>
      <c r="AFY11" s="2"/>
      <c r="AFZ11" s="2"/>
      <c r="AGK11" s="2"/>
      <c r="AGL11" s="2"/>
      <c r="AGM11" s="2"/>
      <c r="AGX11" s="2"/>
      <c r="AGY11" s="2"/>
      <c r="AGZ11" s="2"/>
      <c r="AHK11" s="2"/>
      <c r="AHL11" s="2"/>
      <c r="AHM11" s="2"/>
      <c r="AHX11" s="2"/>
      <c r="AHY11" s="2"/>
      <c r="AHZ11" s="2"/>
      <c r="AIK11" s="2"/>
      <c r="AIL11" s="2"/>
      <c r="AIM11" s="2"/>
      <c r="AIX11" s="2"/>
      <c r="AIY11" s="2"/>
      <c r="AIZ11" s="2"/>
      <c r="AJK11" s="2"/>
      <c r="AJL11" s="2"/>
      <c r="AJM11" s="2"/>
      <c r="AJX11" s="2"/>
      <c r="AJY11" s="2"/>
      <c r="AJZ11" s="2"/>
      <c r="AKK11" s="2"/>
      <c r="AKL11" s="2"/>
      <c r="AKM11" s="2"/>
      <c r="AKX11" s="2"/>
      <c r="AKY11" s="2"/>
      <c r="AKZ11" s="2"/>
      <c r="ALK11" s="2"/>
      <c r="ALL11" s="2"/>
      <c r="ALM11" s="2"/>
      <c r="ALX11" s="2"/>
      <c r="ALY11" s="2"/>
      <c r="ALZ11" s="2"/>
      <c r="AMK11" s="2"/>
      <c r="AML11" s="2"/>
      <c r="AMM11" s="2"/>
      <c r="AMX11" s="2"/>
      <c r="AMY11" s="2"/>
      <c r="AMZ11" s="2"/>
      <c r="ANK11" s="2"/>
      <c r="ANL11" s="2"/>
      <c r="ANM11" s="2"/>
      <c r="ANX11" s="2"/>
      <c r="ANY11" s="2"/>
      <c r="ANZ11" s="2"/>
      <c r="AOK11" s="2"/>
      <c r="AOL11" s="2"/>
      <c r="AOM11" s="2"/>
      <c r="AOX11" s="2"/>
      <c r="AOY11" s="2"/>
      <c r="AOZ11" s="2"/>
      <c r="APK11" s="2"/>
      <c r="APL11" s="2"/>
      <c r="APM11" s="2"/>
      <c r="APX11" s="2"/>
      <c r="APY11" s="2"/>
      <c r="APZ11" s="2"/>
      <c r="AQK11" s="2"/>
      <c r="AQL11" s="2"/>
      <c r="AQM11" s="2"/>
      <c r="AQX11" s="2"/>
      <c r="AQY11" s="2"/>
      <c r="AQZ11" s="2"/>
      <c r="ARK11" s="2"/>
      <c r="ARL11" s="2"/>
      <c r="ARM11" s="2"/>
      <c r="ARX11" s="2"/>
      <c r="ARY11" s="2"/>
      <c r="ARZ11" s="2"/>
      <c r="ASK11" s="2"/>
      <c r="ASL11" s="2"/>
      <c r="ASM11" s="2"/>
      <c r="ASX11" s="2"/>
      <c r="ASY11" s="2"/>
      <c r="ASZ11" s="2"/>
      <c r="ATK11" s="2"/>
      <c r="ATL11" s="2"/>
      <c r="ATM11" s="2"/>
      <c r="ATX11" s="2"/>
      <c r="ATY11" s="2"/>
      <c r="ATZ11" s="2"/>
      <c r="AUK11" s="2"/>
      <c r="AUL11" s="2"/>
      <c r="AUM11" s="2"/>
      <c r="AUX11" s="2"/>
      <c r="AUY11" s="2"/>
      <c r="AUZ11" s="2"/>
      <c r="AVK11" s="2"/>
      <c r="AVL11" s="2"/>
      <c r="AVM11" s="2"/>
      <c r="AVX11" s="2"/>
      <c r="AVY11" s="2"/>
      <c r="AVZ11" s="2"/>
      <c r="AWK11" s="2"/>
      <c r="AWL11" s="2"/>
      <c r="AWM11" s="2"/>
      <c r="AWX11" s="2"/>
      <c r="AWY11" s="2"/>
      <c r="AWZ11" s="2"/>
      <c r="AXK11" s="2"/>
      <c r="AXL11" s="2"/>
      <c r="AXM11" s="2"/>
      <c r="AXX11" s="2"/>
      <c r="AXY11" s="2"/>
      <c r="AXZ11" s="2"/>
      <c r="AYK11" s="2"/>
      <c r="AYL11" s="2"/>
      <c r="AYM11" s="2"/>
      <c r="AYX11" s="2"/>
      <c r="AYY11" s="2"/>
      <c r="AYZ11" s="2"/>
      <c r="AZK11" s="2"/>
      <c r="AZL11" s="2"/>
      <c r="AZM11" s="2"/>
      <c r="AZX11" s="2"/>
      <c r="AZY11" s="2"/>
      <c r="AZZ11" s="2"/>
      <c r="BAK11" s="2"/>
      <c r="BAL11" s="2"/>
      <c r="BAM11" s="2"/>
      <c r="BAX11" s="2"/>
      <c r="BAY11" s="2"/>
      <c r="BAZ11" s="2"/>
      <c r="BBK11" s="2"/>
      <c r="BBL11" s="2"/>
      <c r="BBM11" s="2"/>
      <c r="BBX11" s="2"/>
      <c r="BBY11" s="2"/>
      <c r="BBZ11" s="2"/>
      <c r="BCK11" s="2"/>
      <c r="BCL11" s="2"/>
      <c r="BCM11" s="2"/>
      <c r="BCX11" s="2"/>
      <c r="BCY11" s="2"/>
      <c r="BCZ11" s="2"/>
      <c r="BDK11" s="2"/>
      <c r="BDL11" s="2"/>
      <c r="BDM11" s="2"/>
      <c r="BDX11" s="2"/>
      <c r="BDY11" s="2"/>
      <c r="BDZ11" s="2"/>
      <c r="BEK11" s="2"/>
      <c r="BEL11" s="2"/>
      <c r="BEM11" s="2"/>
      <c r="BEX11" s="2"/>
      <c r="BEY11" s="2"/>
      <c r="BEZ11" s="2"/>
      <c r="BFK11" s="2"/>
      <c r="BFL11" s="2"/>
      <c r="BFM11" s="2"/>
      <c r="BFX11" s="2"/>
      <c r="BFY11" s="2"/>
      <c r="BFZ11" s="2"/>
      <c r="BGK11" s="2"/>
      <c r="BGL11" s="2"/>
      <c r="BGM11" s="2"/>
      <c r="BGX11" s="2"/>
      <c r="BGY11" s="2"/>
      <c r="BGZ11" s="2"/>
      <c r="BHK11" s="2"/>
      <c r="BHL11" s="2"/>
      <c r="BHM11" s="2"/>
      <c r="BHX11" s="2"/>
      <c r="BHY11" s="2"/>
      <c r="BHZ11" s="2"/>
      <c r="BIK11" s="2"/>
      <c r="BIL11" s="2"/>
      <c r="BIM11" s="2"/>
      <c r="BIX11" s="2"/>
      <c r="BIY11" s="2"/>
      <c r="BIZ11" s="2"/>
      <c r="BJK11" s="2"/>
      <c r="BJL11" s="2"/>
      <c r="BJM11" s="2"/>
      <c r="BJX11" s="2"/>
      <c r="BJY11" s="2"/>
      <c r="BJZ11" s="2"/>
      <c r="BKK11" s="2"/>
      <c r="BKL11" s="2"/>
      <c r="BKM11" s="2"/>
      <c r="BKX11" s="2"/>
      <c r="BKY11" s="2"/>
      <c r="BKZ11" s="2"/>
      <c r="BLK11" s="2"/>
      <c r="BLL11" s="2"/>
      <c r="BLM11" s="2"/>
      <c r="BLX11" s="2"/>
      <c r="BLY11" s="2"/>
      <c r="BLZ11" s="2"/>
      <c r="BMK11" s="2"/>
      <c r="BML11" s="2"/>
      <c r="BMM11" s="2"/>
      <c r="BMX11" s="2"/>
      <c r="BMY11" s="2"/>
      <c r="BMZ11" s="2"/>
      <c r="BNK11" s="2"/>
      <c r="BNL11" s="2"/>
      <c r="BNM11" s="2"/>
      <c r="BNX11" s="2"/>
      <c r="BNY11" s="2"/>
      <c r="BNZ11" s="2"/>
      <c r="BOK11" s="2"/>
      <c r="BOL11" s="2"/>
      <c r="BOM11" s="2"/>
      <c r="BOX11" s="2"/>
      <c r="BOY11" s="2"/>
      <c r="BOZ11" s="2"/>
      <c r="BPK11" s="2"/>
      <c r="BPL11" s="2"/>
      <c r="BPM11" s="2"/>
      <c r="BPX11" s="2"/>
      <c r="BPY11" s="2"/>
      <c r="BPZ11" s="2"/>
      <c r="BQK11" s="2"/>
      <c r="BQL11" s="2"/>
      <c r="BQM11" s="2"/>
      <c r="BQX11" s="2"/>
      <c r="BQY11" s="2"/>
      <c r="BQZ11" s="2"/>
      <c r="BRK11" s="2"/>
      <c r="BRL11" s="2"/>
      <c r="BRM11" s="2"/>
      <c r="BRX11" s="2"/>
      <c r="BRY11" s="2"/>
      <c r="BRZ11" s="2"/>
      <c r="BSK11" s="2"/>
      <c r="BSL11" s="2"/>
      <c r="BSM11" s="2"/>
      <c r="BSX11" s="2"/>
      <c r="BSY11" s="2"/>
      <c r="BSZ11" s="2"/>
      <c r="BTK11" s="2"/>
      <c r="BTL11" s="2"/>
      <c r="BTM11" s="2"/>
      <c r="BTX11" s="2"/>
      <c r="BTY11" s="2"/>
      <c r="BTZ11" s="2"/>
      <c r="BUK11" s="2"/>
      <c r="BUL11" s="2"/>
      <c r="BUM11" s="2"/>
      <c r="BUX11" s="2"/>
      <c r="BUY11" s="2"/>
      <c r="BUZ11" s="2"/>
      <c r="BVK11" s="2"/>
      <c r="BVL11" s="2"/>
      <c r="BVM11" s="2"/>
      <c r="BVX11" s="2"/>
      <c r="BVY11" s="2"/>
      <c r="BVZ11" s="2"/>
      <c r="BWK11" s="2"/>
      <c r="BWL11" s="2"/>
      <c r="BWM11" s="2"/>
      <c r="BWX11" s="2"/>
      <c r="BWY11" s="2"/>
      <c r="BWZ11" s="2"/>
      <c r="BXK11" s="2"/>
      <c r="BXL11" s="2"/>
      <c r="BXM11" s="2"/>
      <c r="BXX11" s="2"/>
      <c r="BXY11" s="2"/>
      <c r="BXZ11" s="2"/>
      <c r="BYK11" s="2"/>
      <c r="BYL11" s="2"/>
      <c r="BYM11" s="2"/>
      <c r="BYX11" s="2"/>
      <c r="BYY11" s="2"/>
      <c r="BYZ11" s="2"/>
      <c r="BZK11" s="2"/>
      <c r="BZL11" s="2"/>
      <c r="BZM11" s="2"/>
      <c r="BZX11" s="2"/>
      <c r="BZY11" s="2"/>
      <c r="BZZ11" s="2"/>
      <c r="CAK11" s="2"/>
      <c r="CAL11" s="2"/>
      <c r="CAM11" s="2"/>
      <c r="CAX11" s="2"/>
      <c r="CAY11" s="2"/>
      <c r="CAZ11" s="2"/>
      <c r="CBK11" s="2"/>
      <c r="CBL11" s="2"/>
      <c r="CBM11" s="2"/>
      <c r="CBX11" s="2"/>
      <c r="CBY11" s="2"/>
      <c r="CBZ11" s="2"/>
      <c r="CCK11" s="2"/>
      <c r="CCL11" s="2"/>
      <c r="CCM11" s="2"/>
      <c r="CCX11" s="2"/>
      <c r="CCY11" s="2"/>
      <c r="CCZ11" s="2"/>
      <c r="CDK11" s="2"/>
      <c r="CDL11" s="2"/>
      <c r="CDM11" s="2"/>
      <c r="CDX11" s="2"/>
      <c r="CDY11" s="2"/>
      <c r="CDZ11" s="2"/>
      <c r="CEK11" s="2"/>
      <c r="CEL11" s="2"/>
      <c r="CEM11" s="2"/>
      <c r="CEX11" s="2"/>
      <c r="CEY11" s="2"/>
      <c r="CEZ11" s="2"/>
      <c r="CFK11" s="2"/>
      <c r="CFL11" s="2"/>
      <c r="CFM11" s="2"/>
      <c r="CFX11" s="2"/>
      <c r="CFY11" s="2"/>
      <c r="CFZ11" s="2"/>
      <c r="CGK11" s="2"/>
      <c r="CGL11" s="2"/>
      <c r="CGM11" s="2"/>
      <c r="CGX11" s="2"/>
      <c r="CGY11" s="2"/>
      <c r="CGZ11" s="2"/>
      <c r="CHK11" s="2"/>
      <c r="CHL11" s="2"/>
      <c r="CHM11" s="2"/>
      <c r="CHX11" s="2"/>
      <c r="CHY11" s="2"/>
      <c r="CHZ11" s="2"/>
      <c r="CIK11" s="2"/>
      <c r="CIL11" s="2"/>
      <c r="CIM11" s="2"/>
      <c r="CIX11" s="2"/>
      <c r="CIY11" s="2"/>
      <c r="CIZ11" s="2"/>
      <c r="CJK11" s="2"/>
      <c r="CJL11" s="2"/>
      <c r="CJM11" s="2"/>
      <c r="CJX11" s="2"/>
      <c r="CJY11" s="2"/>
      <c r="CJZ11" s="2"/>
      <c r="CKK11" s="2"/>
      <c r="CKL11" s="2"/>
      <c r="CKM11" s="2"/>
      <c r="CKX11" s="2"/>
      <c r="CKY11" s="2"/>
      <c r="CKZ11" s="2"/>
      <c r="CLK11" s="2"/>
      <c r="CLL11" s="2"/>
      <c r="CLM11" s="2"/>
      <c r="CLX11" s="2"/>
      <c r="CLY11" s="2"/>
      <c r="CLZ11" s="2"/>
      <c r="CMK11" s="2"/>
      <c r="CML11" s="2"/>
      <c r="CMM11" s="2"/>
      <c r="CMX11" s="2"/>
      <c r="CMY11" s="2"/>
      <c r="CMZ11" s="2"/>
      <c r="CNK11" s="2"/>
      <c r="CNL11" s="2"/>
      <c r="CNM11" s="2"/>
      <c r="CNX11" s="2"/>
      <c r="CNY11" s="2"/>
      <c r="CNZ11" s="2"/>
      <c r="COK11" s="2"/>
      <c r="COL11" s="2"/>
      <c r="COM11" s="2"/>
      <c r="COX11" s="2"/>
      <c r="COY11" s="2"/>
      <c r="COZ11" s="2"/>
      <c r="CPK11" s="2"/>
      <c r="CPL11" s="2"/>
      <c r="CPM11" s="2"/>
      <c r="CPX11" s="2"/>
      <c r="CPY11" s="2"/>
      <c r="CPZ11" s="2"/>
      <c r="CQK11" s="2"/>
      <c r="CQL11" s="2"/>
      <c r="CQM11" s="2"/>
      <c r="CQX11" s="2"/>
      <c r="CQY11" s="2"/>
      <c r="CQZ11" s="2"/>
      <c r="CRK11" s="2"/>
      <c r="CRL11" s="2"/>
      <c r="CRM11" s="2"/>
      <c r="CRX11" s="2"/>
      <c r="CRY11" s="2"/>
      <c r="CRZ11" s="2"/>
      <c r="CSK11" s="2"/>
      <c r="CSL11" s="2"/>
      <c r="CSM11" s="2"/>
      <c r="CSX11" s="2"/>
      <c r="CSY11" s="2"/>
      <c r="CSZ11" s="2"/>
      <c r="CTK11" s="2"/>
      <c r="CTL11" s="2"/>
      <c r="CTM11" s="2"/>
      <c r="CTX11" s="2"/>
      <c r="CTY11" s="2"/>
      <c r="CTZ11" s="2"/>
      <c r="CUK11" s="2"/>
      <c r="CUL11" s="2"/>
      <c r="CUM11" s="2"/>
      <c r="CUX11" s="2"/>
      <c r="CUY11" s="2"/>
      <c r="CUZ11" s="2"/>
      <c r="CVK11" s="2"/>
      <c r="CVL11" s="2"/>
      <c r="CVM11" s="2"/>
      <c r="CVX11" s="2"/>
      <c r="CVY11" s="2"/>
      <c r="CVZ11" s="2"/>
      <c r="CWK11" s="2"/>
      <c r="CWL11" s="2"/>
      <c r="CWM11" s="2"/>
      <c r="CWX11" s="2"/>
      <c r="CWY11" s="2"/>
      <c r="CWZ11" s="2"/>
      <c r="CXK11" s="2"/>
      <c r="CXL11" s="2"/>
      <c r="CXM11" s="2"/>
      <c r="CXX11" s="2"/>
      <c r="CXY11" s="2"/>
      <c r="CXZ11" s="2"/>
      <c r="CYK11" s="2"/>
      <c r="CYL11" s="2"/>
      <c r="CYM11" s="2"/>
      <c r="CYX11" s="2"/>
      <c r="CYY11" s="2"/>
      <c r="CYZ11" s="2"/>
      <c r="CZK11" s="2"/>
      <c r="CZL11" s="2"/>
      <c r="CZM11" s="2"/>
      <c r="CZX11" s="2"/>
      <c r="CZY11" s="2"/>
      <c r="CZZ11" s="2"/>
      <c r="DAK11" s="2"/>
      <c r="DAL11" s="2"/>
      <c r="DAM11" s="2"/>
      <c r="DAX11" s="2"/>
      <c r="DAY11" s="2"/>
      <c r="DAZ11" s="2"/>
      <c r="DBK11" s="2"/>
      <c r="DBL11" s="2"/>
      <c r="DBM11" s="2"/>
      <c r="DBX11" s="2"/>
      <c r="DBY11" s="2"/>
      <c r="DBZ11" s="2"/>
      <c r="DCK11" s="2"/>
      <c r="DCL11" s="2"/>
      <c r="DCM11" s="2"/>
      <c r="DCX11" s="2"/>
      <c r="DCY11" s="2"/>
      <c r="DCZ11" s="2"/>
      <c r="DDK11" s="2"/>
      <c r="DDL11" s="2"/>
      <c r="DDM11" s="2"/>
      <c r="DDX11" s="2"/>
      <c r="DDY11" s="2"/>
      <c r="DDZ11" s="2"/>
      <c r="DEK11" s="2"/>
      <c r="DEL11" s="2"/>
      <c r="DEM11" s="2"/>
      <c r="DEX11" s="2"/>
      <c r="DEY11" s="2"/>
      <c r="DEZ11" s="2"/>
      <c r="DFK11" s="2"/>
      <c r="DFL11" s="2"/>
      <c r="DFM11" s="2"/>
      <c r="DFX11" s="2"/>
      <c r="DFY11" s="2"/>
      <c r="DFZ11" s="2"/>
      <c r="DGK11" s="2"/>
      <c r="DGL11" s="2"/>
      <c r="DGM11" s="2"/>
      <c r="DGX11" s="2"/>
      <c r="DGY11" s="2"/>
      <c r="DGZ11" s="2"/>
      <c r="DHK11" s="2"/>
      <c r="DHL11" s="2"/>
      <c r="DHM11" s="2"/>
      <c r="DHX11" s="2"/>
      <c r="DHY11" s="2"/>
      <c r="DHZ11" s="2"/>
      <c r="DIK11" s="2"/>
      <c r="DIL11" s="2"/>
      <c r="DIM11" s="2"/>
      <c r="DIX11" s="2"/>
      <c r="DIY11" s="2"/>
      <c r="DIZ11" s="2"/>
      <c r="DJK11" s="2"/>
      <c r="DJL11" s="2"/>
      <c r="DJM11" s="2"/>
      <c r="DJX11" s="2"/>
      <c r="DJY11" s="2"/>
      <c r="DJZ11" s="2"/>
      <c r="DKK11" s="2"/>
      <c r="DKL11" s="2"/>
      <c r="DKM11" s="2"/>
      <c r="DKX11" s="2"/>
      <c r="DKY11" s="2"/>
      <c r="DKZ11" s="2"/>
      <c r="DLK11" s="2"/>
      <c r="DLL11" s="2"/>
      <c r="DLM11" s="2"/>
      <c r="DLX11" s="2"/>
      <c r="DLY11" s="2"/>
      <c r="DLZ11" s="2"/>
      <c r="DMK11" s="2"/>
      <c r="DML11" s="2"/>
      <c r="DMM11" s="2"/>
      <c r="DMX11" s="2"/>
      <c r="DMY11" s="2"/>
      <c r="DMZ11" s="2"/>
      <c r="DNK11" s="2"/>
      <c r="DNL11" s="2"/>
      <c r="DNM11" s="2"/>
      <c r="DNX11" s="2"/>
      <c r="DNY11" s="2"/>
      <c r="DNZ11" s="2"/>
      <c r="DOK11" s="2"/>
      <c r="DOL11" s="2"/>
      <c r="DOM11" s="2"/>
      <c r="DOX11" s="2"/>
      <c r="DOY11" s="2"/>
      <c r="DOZ11" s="2"/>
      <c r="DPK11" s="2"/>
      <c r="DPL11" s="2"/>
      <c r="DPM11" s="2"/>
      <c r="DPX11" s="2"/>
      <c r="DPY11" s="2"/>
      <c r="DPZ11" s="2"/>
      <c r="DQK11" s="2"/>
      <c r="DQL11" s="2"/>
      <c r="DQM11" s="2"/>
      <c r="DQX11" s="2"/>
      <c r="DQY11" s="2"/>
      <c r="DQZ11" s="2"/>
      <c r="DRK11" s="2"/>
      <c r="DRL11" s="2"/>
      <c r="DRM11" s="2"/>
      <c r="DRX11" s="2"/>
      <c r="DRY11" s="2"/>
      <c r="DRZ11" s="2"/>
      <c r="DSK11" s="2"/>
      <c r="DSL11" s="2"/>
      <c r="DSM11" s="2"/>
      <c r="DSX11" s="2"/>
      <c r="DSY11" s="2"/>
      <c r="DSZ11" s="2"/>
      <c r="DTK11" s="2"/>
      <c r="DTL11" s="2"/>
      <c r="DTM11" s="2"/>
      <c r="DTX11" s="2"/>
      <c r="DTY11" s="2"/>
      <c r="DTZ11" s="2"/>
      <c r="DUK11" s="2"/>
      <c r="DUL11" s="2"/>
      <c r="DUM11" s="2"/>
      <c r="DUX11" s="2"/>
      <c r="DUY11" s="2"/>
      <c r="DUZ11" s="2"/>
      <c r="DVK11" s="2"/>
      <c r="DVL11" s="2"/>
      <c r="DVM11" s="2"/>
      <c r="DVX11" s="2"/>
      <c r="DVY11" s="2"/>
      <c r="DVZ11" s="2"/>
      <c r="DWK11" s="2"/>
      <c r="DWL11" s="2"/>
      <c r="DWM11" s="2"/>
      <c r="DWX11" s="2"/>
      <c r="DWY11" s="2"/>
      <c r="DWZ11" s="2"/>
      <c r="DXK11" s="2"/>
      <c r="DXL11" s="2"/>
      <c r="DXM11" s="2"/>
      <c r="DXX11" s="2"/>
      <c r="DXY11" s="2"/>
      <c r="DXZ11" s="2"/>
      <c r="DYK11" s="2"/>
      <c r="DYL11" s="2"/>
      <c r="DYM11" s="2"/>
      <c r="DYX11" s="2"/>
      <c r="DYY11" s="2"/>
      <c r="DYZ11" s="2"/>
      <c r="DZK11" s="2"/>
      <c r="DZL11" s="2"/>
      <c r="DZM11" s="2"/>
      <c r="DZX11" s="2"/>
      <c r="DZY11" s="2"/>
      <c r="DZZ11" s="2"/>
      <c r="EAK11" s="2"/>
      <c r="EAL11" s="2"/>
      <c r="EAM11" s="2"/>
      <c r="EAX11" s="2"/>
      <c r="EAY11" s="2"/>
      <c r="EAZ11" s="2"/>
      <c r="EBK11" s="2"/>
      <c r="EBL11" s="2"/>
      <c r="EBM11" s="2"/>
      <c r="EBX11" s="2"/>
      <c r="EBY11" s="2"/>
      <c r="EBZ11" s="2"/>
      <c r="ECK11" s="2"/>
      <c r="ECL11" s="2"/>
      <c r="ECM11" s="2"/>
      <c r="ECX11" s="2"/>
      <c r="ECY11" s="2"/>
      <c r="ECZ11" s="2"/>
      <c r="EDK11" s="2"/>
      <c r="EDL11" s="2"/>
      <c r="EDM11" s="2"/>
      <c r="EDX11" s="2"/>
      <c r="EDY11" s="2"/>
      <c r="EDZ11" s="2"/>
      <c r="EEK11" s="2"/>
      <c r="EEL11" s="2"/>
      <c r="EEM11" s="2"/>
      <c r="EEX11" s="2"/>
      <c r="EEY11" s="2"/>
      <c r="EEZ11" s="2"/>
      <c r="EFK11" s="2"/>
      <c r="EFL11" s="2"/>
      <c r="EFM11" s="2"/>
      <c r="EFX11" s="2"/>
      <c r="EFY11" s="2"/>
      <c r="EFZ11" s="2"/>
      <c r="EGK11" s="2"/>
      <c r="EGL11" s="2"/>
      <c r="EGM11" s="2"/>
      <c r="EGX11" s="2"/>
      <c r="EGY11" s="2"/>
      <c r="EGZ11" s="2"/>
      <c r="EHK11" s="2"/>
      <c r="EHL11" s="2"/>
      <c r="EHM11" s="2"/>
      <c r="EHX11" s="2"/>
      <c r="EHY11" s="2"/>
      <c r="EHZ11" s="2"/>
      <c r="EIK11" s="2"/>
      <c r="EIL11" s="2"/>
      <c r="EIM11" s="2"/>
      <c r="EIX11" s="2"/>
      <c r="EIY11" s="2"/>
      <c r="EIZ11" s="2"/>
      <c r="EJK11" s="2"/>
      <c r="EJL11" s="2"/>
      <c r="EJM11" s="2"/>
      <c r="EJX11" s="2"/>
      <c r="EJY11" s="2"/>
      <c r="EJZ11" s="2"/>
      <c r="EKK11" s="2"/>
      <c r="EKL11" s="2"/>
      <c r="EKM11" s="2"/>
      <c r="EKX11" s="2"/>
      <c r="EKY11" s="2"/>
      <c r="EKZ11" s="2"/>
      <c r="ELK11" s="2"/>
      <c r="ELL11" s="2"/>
      <c r="ELM11" s="2"/>
      <c r="ELX11" s="2"/>
      <c r="ELY11" s="2"/>
      <c r="ELZ11" s="2"/>
      <c r="EMK11" s="2"/>
      <c r="EML11" s="2"/>
      <c r="EMM11" s="2"/>
      <c r="EMX11" s="2"/>
      <c r="EMY11" s="2"/>
      <c r="EMZ11" s="2"/>
      <c r="ENK11" s="2"/>
      <c r="ENL11" s="2"/>
      <c r="ENM11" s="2"/>
      <c r="ENX11" s="2"/>
      <c r="ENY11" s="2"/>
      <c r="ENZ11" s="2"/>
      <c r="EOK11" s="2"/>
      <c r="EOL11" s="2"/>
      <c r="EOM11" s="2"/>
      <c r="EOX11" s="2"/>
      <c r="EOY11" s="2"/>
      <c r="EOZ11" s="2"/>
      <c r="EPK11" s="2"/>
      <c r="EPL11" s="2"/>
      <c r="EPM11" s="2"/>
      <c r="EPX11" s="2"/>
      <c r="EPY11" s="2"/>
      <c r="EPZ11" s="2"/>
      <c r="EQK11" s="2"/>
      <c r="EQL11" s="2"/>
      <c r="EQM11" s="2"/>
      <c r="EQX11" s="2"/>
      <c r="EQY11" s="2"/>
      <c r="EQZ11" s="2"/>
      <c r="ERK11" s="2"/>
      <c r="ERL11" s="2"/>
      <c r="ERM11" s="2"/>
      <c r="ERX11" s="2"/>
      <c r="ERY11" s="2"/>
      <c r="ERZ11" s="2"/>
      <c r="ESK11" s="2"/>
      <c r="ESL11" s="2"/>
      <c r="ESM11" s="2"/>
      <c r="ESX11" s="2"/>
      <c r="ESY11" s="2"/>
      <c r="ESZ11" s="2"/>
      <c r="ETK11" s="2"/>
      <c r="ETL11" s="2"/>
      <c r="ETM11" s="2"/>
      <c r="ETX11" s="2"/>
      <c r="ETY11" s="2"/>
      <c r="ETZ11" s="2"/>
      <c r="EUK11" s="2"/>
      <c r="EUL11" s="2"/>
      <c r="EUM11" s="2"/>
      <c r="EUX11" s="2"/>
      <c r="EUY11" s="2"/>
      <c r="EUZ11" s="2"/>
      <c r="EVK11" s="2"/>
      <c r="EVL11" s="2"/>
      <c r="EVM11" s="2"/>
      <c r="EVX11" s="2"/>
      <c r="EVY11" s="2"/>
      <c r="EVZ11" s="2"/>
      <c r="EWK11" s="2"/>
      <c r="EWL11" s="2"/>
      <c r="EWM11" s="2"/>
      <c r="EWX11" s="2"/>
      <c r="EWY11" s="2"/>
      <c r="EWZ11" s="2"/>
      <c r="EXK11" s="2"/>
      <c r="EXL11" s="2"/>
      <c r="EXM11" s="2"/>
      <c r="EXX11" s="2"/>
      <c r="EXY11" s="2"/>
      <c r="EXZ11" s="2"/>
      <c r="EYK11" s="2"/>
      <c r="EYL11" s="2"/>
      <c r="EYM11" s="2"/>
      <c r="EYX11" s="2"/>
      <c r="EYY11" s="2"/>
      <c r="EYZ11" s="2"/>
      <c r="EZK11" s="2"/>
      <c r="EZL11" s="2"/>
      <c r="EZM11" s="2"/>
      <c r="EZX11" s="2"/>
      <c r="EZY11" s="2"/>
      <c r="EZZ11" s="2"/>
      <c r="FAK11" s="2"/>
      <c r="FAL11" s="2"/>
      <c r="FAM11" s="2"/>
      <c r="FAX11" s="2"/>
      <c r="FAY11" s="2"/>
      <c r="FAZ11" s="2"/>
      <c r="FBK11" s="2"/>
      <c r="FBL11" s="2"/>
      <c r="FBM11" s="2"/>
      <c r="FBX11" s="2"/>
      <c r="FBY11" s="2"/>
      <c r="FBZ11" s="2"/>
      <c r="FCK11" s="2"/>
      <c r="FCL11" s="2"/>
      <c r="FCM11" s="2"/>
      <c r="FCX11" s="2"/>
      <c r="FCY11" s="2"/>
      <c r="FCZ11" s="2"/>
      <c r="FDK11" s="2"/>
      <c r="FDL11" s="2"/>
      <c r="FDM11" s="2"/>
      <c r="FDX11" s="2"/>
      <c r="FDY11" s="2"/>
      <c r="FDZ11" s="2"/>
      <c r="FEK11" s="2"/>
      <c r="FEL11" s="2"/>
      <c r="FEM11" s="2"/>
      <c r="FEX11" s="2"/>
      <c r="FEY11" s="2"/>
      <c r="FEZ11" s="2"/>
      <c r="FFK11" s="2"/>
      <c r="FFL11" s="2"/>
      <c r="FFM11" s="2"/>
      <c r="FFX11" s="2"/>
      <c r="FFY11" s="2"/>
      <c r="FFZ11" s="2"/>
      <c r="FGK11" s="2"/>
      <c r="FGL11" s="2"/>
      <c r="FGM11" s="2"/>
      <c r="FGX11" s="2"/>
      <c r="FGY11" s="2"/>
      <c r="FGZ11" s="2"/>
      <c r="FHK11" s="2"/>
      <c r="FHL11" s="2"/>
      <c r="FHM11" s="2"/>
      <c r="FHX11" s="2"/>
      <c r="FHY11" s="2"/>
      <c r="FHZ11" s="2"/>
      <c r="FIK11" s="2"/>
      <c r="FIL11" s="2"/>
      <c r="FIM11" s="2"/>
      <c r="FIX11" s="2"/>
      <c r="FIY11" s="2"/>
      <c r="FIZ11" s="2"/>
      <c r="FJK11" s="2"/>
      <c r="FJL11" s="2"/>
      <c r="FJM11" s="2"/>
      <c r="FJX11" s="2"/>
      <c r="FJY11" s="2"/>
      <c r="FJZ11" s="2"/>
      <c r="FKK11" s="2"/>
      <c r="FKL11" s="2"/>
      <c r="FKM11" s="2"/>
      <c r="FKX11" s="2"/>
      <c r="FKY11" s="2"/>
      <c r="FKZ11" s="2"/>
      <c r="FLK11" s="2"/>
      <c r="FLL11" s="2"/>
      <c r="FLM11" s="2"/>
      <c r="FLX11" s="2"/>
      <c r="FLY11" s="2"/>
      <c r="FLZ11" s="2"/>
      <c r="FMK11" s="2"/>
      <c r="FML11" s="2"/>
      <c r="FMM11" s="2"/>
      <c r="FMX11" s="2"/>
      <c r="FMY11" s="2"/>
      <c r="FMZ11" s="2"/>
      <c r="FNK11" s="2"/>
      <c r="FNL11" s="2"/>
      <c r="FNM11" s="2"/>
      <c r="FNX11" s="2"/>
      <c r="FNY11" s="2"/>
      <c r="FNZ11" s="2"/>
      <c r="FOK11" s="2"/>
      <c r="FOL11" s="2"/>
      <c r="FOM11" s="2"/>
      <c r="FOX11" s="2"/>
      <c r="FOY11" s="2"/>
      <c r="FOZ11" s="2"/>
      <c r="FPK11" s="2"/>
      <c r="FPL11" s="2"/>
      <c r="FPM11" s="2"/>
      <c r="FPX11" s="2"/>
      <c r="FPY11" s="2"/>
      <c r="FPZ11" s="2"/>
      <c r="FQK11" s="2"/>
      <c r="FQL11" s="2"/>
      <c r="FQM11" s="2"/>
      <c r="FQX11" s="2"/>
      <c r="FQY11" s="2"/>
      <c r="FQZ11" s="2"/>
      <c r="FRK11" s="2"/>
      <c r="FRL11" s="2"/>
      <c r="FRM11" s="2"/>
      <c r="FRX11" s="2"/>
      <c r="FRY11" s="2"/>
      <c r="FRZ11" s="2"/>
      <c r="FSK11" s="2"/>
      <c r="FSL11" s="2"/>
      <c r="FSM11" s="2"/>
      <c r="FSX11" s="2"/>
      <c r="FSY11" s="2"/>
      <c r="FSZ11" s="2"/>
      <c r="FTK11" s="2"/>
      <c r="FTL11" s="2"/>
      <c r="FTM11" s="2"/>
      <c r="FTX11" s="2"/>
      <c r="FTY11" s="2"/>
      <c r="FTZ11" s="2"/>
      <c r="FUK11" s="2"/>
      <c r="FUL11" s="2"/>
      <c r="FUM11" s="2"/>
      <c r="FUX11" s="2"/>
      <c r="FUY11" s="2"/>
      <c r="FUZ11" s="2"/>
      <c r="FVK11" s="2"/>
      <c r="FVL11" s="2"/>
      <c r="FVM11" s="2"/>
      <c r="FVX11" s="2"/>
      <c r="FVY11" s="2"/>
      <c r="FVZ11" s="2"/>
      <c r="FWK11" s="2"/>
      <c r="FWL11" s="2"/>
      <c r="FWM11" s="2"/>
      <c r="FWX11" s="2"/>
      <c r="FWY11" s="2"/>
      <c r="FWZ11" s="2"/>
      <c r="FXK11" s="2"/>
      <c r="FXL11" s="2"/>
      <c r="FXM11" s="2"/>
      <c r="FXX11" s="2"/>
      <c r="FXY11" s="2"/>
      <c r="FXZ11" s="2"/>
      <c r="FYK11" s="2"/>
      <c r="FYL11" s="2"/>
      <c r="FYM11" s="2"/>
      <c r="FYX11" s="2"/>
      <c r="FYY11" s="2"/>
      <c r="FYZ11" s="2"/>
      <c r="FZK11" s="2"/>
      <c r="FZL11" s="2"/>
      <c r="FZM11" s="2"/>
      <c r="FZX11" s="2"/>
      <c r="FZY11" s="2"/>
      <c r="FZZ11" s="2"/>
      <c r="GAK11" s="2"/>
      <c r="GAL11" s="2"/>
      <c r="GAM11" s="2"/>
      <c r="GAX11" s="2"/>
      <c r="GAY11" s="2"/>
      <c r="GAZ11" s="2"/>
      <c r="GBK11" s="2"/>
      <c r="GBL11" s="2"/>
      <c r="GBM11" s="2"/>
      <c r="GBX11" s="2"/>
      <c r="GBY11" s="2"/>
      <c r="GBZ11" s="2"/>
      <c r="GCK11" s="2"/>
      <c r="GCL11" s="2"/>
      <c r="GCM11" s="2"/>
      <c r="GCX11" s="2"/>
      <c r="GCY11" s="2"/>
      <c r="GCZ11" s="2"/>
      <c r="GDK11" s="2"/>
      <c r="GDL11" s="2"/>
      <c r="GDM11" s="2"/>
      <c r="GDX11" s="2"/>
      <c r="GDY11" s="2"/>
      <c r="GDZ11" s="2"/>
      <c r="GEK11" s="2"/>
      <c r="GEL11" s="2"/>
      <c r="GEM11" s="2"/>
      <c r="GEX11" s="2"/>
      <c r="GEY11" s="2"/>
      <c r="GEZ11" s="2"/>
      <c r="GFK11" s="2"/>
      <c r="GFL11" s="2"/>
      <c r="GFM11" s="2"/>
      <c r="GFX11" s="2"/>
      <c r="GFY11" s="2"/>
      <c r="GFZ11" s="2"/>
      <c r="GGK11" s="2"/>
      <c r="GGL11" s="2"/>
      <c r="GGM11" s="2"/>
      <c r="GGX11" s="2"/>
      <c r="GGY11" s="2"/>
      <c r="GGZ11" s="2"/>
      <c r="GHK11" s="2"/>
      <c r="GHL11" s="2"/>
      <c r="GHM11" s="2"/>
      <c r="GHX11" s="2"/>
      <c r="GHY11" s="2"/>
      <c r="GHZ11" s="2"/>
      <c r="GIK11" s="2"/>
      <c r="GIL11" s="2"/>
      <c r="GIM11" s="2"/>
      <c r="GIX11" s="2"/>
      <c r="GIY11" s="2"/>
      <c r="GIZ11" s="2"/>
      <c r="GJK11" s="2"/>
      <c r="GJL11" s="2"/>
      <c r="GJM11" s="2"/>
      <c r="GJX11" s="2"/>
      <c r="GJY11" s="2"/>
      <c r="GJZ11" s="2"/>
      <c r="GKK11" s="2"/>
      <c r="GKL11" s="2"/>
      <c r="GKM11" s="2"/>
      <c r="GKX11" s="2"/>
      <c r="GKY11" s="2"/>
      <c r="GKZ11" s="2"/>
      <c r="GLK11" s="2"/>
      <c r="GLL11" s="2"/>
      <c r="GLM11" s="2"/>
      <c r="GLX11" s="2"/>
      <c r="GLY11" s="2"/>
      <c r="GLZ11" s="2"/>
      <c r="GMK11" s="2"/>
      <c r="GML11" s="2"/>
      <c r="GMM11" s="2"/>
      <c r="GMX11" s="2"/>
      <c r="GMY11" s="2"/>
      <c r="GMZ11" s="2"/>
      <c r="GNK11" s="2"/>
      <c r="GNL11" s="2"/>
      <c r="GNM11" s="2"/>
      <c r="GNX11" s="2"/>
      <c r="GNY11" s="2"/>
      <c r="GNZ11" s="2"/>
      <c r="GOK11" s="2"/>
      <c r="GOL11" s="2"/>
      <c r="GOM11" s="2"/>
      <c r="GOX11" s="2"/>
      <c r="GOY11" s="2"/>
      <c r="GOZ11" s="2"/>
      <c r="GPK11" s="2"/>
      <c r="GPL11" s="2"/>
      <c r="GPM11" s="2"/>
      <c r="GPX11" s="2"/>
      <c r="GPY11" s="2"/>
      <c r="GPZ11" s="2"/>
      <c r="GQK11" s="2"/>
      <c r="GQL11" s="2"/>
      <c r="GQM11" s="2"/>
      <c r="GQX11" s="2"/>
      <c r="GQY11" s="2"/>
      <c r="GQZ11" s="2"/>
      <c r="GRK11" s="2"/>
      <c r="GRL11" s="2"/>
      <c r="GRM11" s="2"/>
      <c r="GRX11" s="2"/>
      <c r="GRY11" s="2"/>
      <c r="GRZ11" s="2"/>
      <c r="GSK11" s="2"/>
      <c r="GSL11" s="2"/>
      <c r="GSM11" s="2"/>
      <c r="GSX11" s="2"/>
      <c r="GSY11" s="2"/>
      <c r="GSZ11" s="2"/>
      <c r="GTK11" s="2"/>
      <c r="GTL11" s="2"/>
      <c r="GTM11" s="2"/>
      <c r="GTX11" s="2"/>
      <c r="GTY11" s="2"/>
      <c r="GTZ11" s="2"/>
      <c r="GUK11" s="2"/>
      <c r="GUL11" s="2"/>
      <c r="GUM11" s="2"/>
      <c r="GUX11" s="2"/>
      <c r="GUY11" s="2"/>
      <c r="GUZ11" s="2"/>
      <c r="GVK11" s="2"/>
      <c r="GVL11" s="2"/>
      <c r="GVM11" s="2"/>
      <c r="GVX11" s="2"/>
      <c r="GVY11" s="2"/>
      <c r="GVZ11" s="2"/>
      <c r="GWK11" s="2"/>
      <c r="GWL11" s="2"/>
      <c r="GWM11" s="2"/>
      <c r="GWX11" s="2"/>
      <c r="GWY11" s="2"/>
      <c r="GWZ11" s="2"/>
      <c r="GXK11" s="2"/>
      <c r="GXL11" s="2"/>
      <c r="GXM11" s="2"/>
      <c r="GXX11" s="2"/>
      <c r="GXY11" s="2"/>
      <c r="GXZ11" s="2"/>
      <c r="GYK11" s="2"/>
      <c r="GYL11" s="2"/>
      <c r="GYM11" s="2"/>
      <c r="GYX11" s="2"/>
      <c r="GYY11" s="2"/>
      <c r="GYZ11" s="2"/>
      <c r="GZK11" s="2"/>
      <c r="GZL11" s="2"/>
      <c r="GZM11" s="2"/>
      <c r="GZX11" s="2"/>
      <c r="GZY11" s="2"/>
      <c r="GZZ11" s="2"/>
      <c r="HAK11" s="2"/>
      <c r="HAL11" s="2"/>
      <c r="HAM11" s="2"/>
      <c r="HAX11" s="2"/>
      <c r="HAY11" s="2"/>
      <c r="HAZ11" s="2"/>
      <c r="HBK11" s="2"/>
      <c r="HBL11" s="2"/>
      <c r="HBM11" s="2"/>
      <c r="HBX11" s="2"/>
      <c r="HBY11" s="2"/>
      <c r="HBZ11" s="2"/>
      <c r="HCK11" s="2"/>
      <c r="HCL11" s="2"/>
      <c r="HCM11" s="2"/>
      <c r="HCX11" s="2"/>
      <c r="HCY11" s="2"/>
      <c r="HCZ11" s="2"/>
      <c r="HDK11" s="2"/>
      <c r="HDL11" s="2"/>
      <c r="HDM11" s="2"/>
      <c r="HDX11" s="2"/>
      <c r="HDY11" s="2"/>
      <c r="HDZ11" s="2"/>
      <c r="HEK11" s="2"/>
      <c r="HEL11" s="2"/>
      <c r="HEM11" s="2"/>
      <c r="HEX11" s="2"/>
      <c r="HEY11" s="2"/>
      <c r="HEZ11" s="2"/>
      <c r="HFK11" s="2"/>
      <c r="HFL11" s="2"/>
      <c r="HFM11" s="2"/>
      <c r="HFX11" s="2"/>
      <c r="HFY11" s="2"/>
      <c r="HFZ11" s="2"/>
      <c r="HGK11" s="2"/>
      <c r="HGL11" s="2"/>
      <c r="HGM11" s="2"/>
      <c r="HGX11" s="2"/>
      <c r="HGY11" s="2"/>
      <c r="HGZ11" s="2"/>
      <c r="HHK11" s="2"/>
      <c r="HHL11" s="2"/>
      <c r="HHM11" s="2"/>
      <c r="HHX11" s="2"/>
      <c r="HHY11" s="2"/>
      <c r="HHZ11" s="2"/>
      <c r="HIK11" s="2"/>
      <c r="HIL11" s="2"/>
      <c r="HIM11" s="2"/>
      <c r="HIX11" s="2"/>
      <c r="HIY11" s="2"/>
      <c r="HIZ11" s="2"/>
      <c r="HJK11" s="2"/>
      <c r="HJL11" s="2"/>
      <c r="HJM11" s="2"/>
      <c r="HJX11" s="2"/>
      <c r="HJY11" s="2"/>
      <c r="HJZ11" s="2"/>
      <c r="HKK11" s="2"/>
      <c r="HKL11" s="2"/>
      <c r="HKM11" s="2"/>
      <c r="HKX11" s="2"/>
      <c r="HKY11" s="2"/>
      <c r="HKZ11" s="2"/>
      <c r="HLK11" s="2"/>
      <c r="HLL11" s="2"/>
      <c r="HLM11" s="2"/>
      <c r="HLX11" s="2"/>
      <c r="HLY11" s="2"/>
      <c r="HLZ11" s="2"/>
      <c r="HMK11" s="2"/>
      <c r="HML11" s="2"/>
      <c r="HMM11" s="2"/>
      <c r="HMX11" s="2"/>
      <c r="HMY11" s="2"/>
      <c r="HMZ11" s="2"/>
      <c r="HNK11" s="2"/>
      <c r="HNL11" s="2"/>
      <c r="HNM11" s="2"/>
      <c r="HNX11" s="2"/>
      <c r="HNY11" s="2"/>
      <c r="HNZ11" s="2"/>
      <c r="HOK11" s="2"/>
      <c r="HOL11" s="2"/>
      <c r="HOM11" s="2"/>
      <c r="HOX11" s="2"/>
      <c r="HOY11" s="2"/>
      <c r="HOZ11" s="2"/>
      <c r="HPK11" s="2"/>
      <c r="HPL11" s="2"/>
      <c r="HPM11" s="2"/>
      <c r="HPX11" s="2"/>
      <c r="HPY11" s="2"/>
      <c r="HPZ11" s="2"/>
      <c r="HQK11" s="2"/>
      <c r="HQL11" s="2"/>
      <c r="HQM11" s="2"/>
      <c r="HQX11" s="2"/>
      <c r="HQY11" s="2"/>
      <c r="HQZ11" s="2"/>
      <c r="HRK11" s="2"/>
      <c r="HRL11" s="2"/>
      <c r="HRM11" s="2"/>
      <c r="HRX11" s="2"/>
      <c r="HRY11" s="2"/>
      <c r="HRZ11" s="2"/>
      <c r="HSK11" s="2"/>
      <c r="HSL11" s="2"/>
      <c r="HSM11" s="2"/>
      <c r="HSX11" s="2"/>
      <c r="HSY11" s="2"/>
      <c r="HSZ11" s="2"/>
      <c r="HTK11" s="2"/>
      <c r="HTL11" s="2"/>
      <c r="HTM11" s="2"/>
      <c r="HTX11" s="2"/>
      <c r="HTY11" s="2"/>
      <c r="HTZ11" s="2"/>
      <c r="HUK11" s="2"/>
      <c r="HUL11" s="2"/>
      <c r="HUM11" s="2"/>
      <c r="HUX11" s="2"/>
      <c r="HUY11" s="2"/>
      <c r="HUZ11" s="2"/>
      <c r="HVK11" s="2"/>
      <c r="HVL11" s="2"/>
      <c r="HVM11" s="2"/>
      <c r="HVX11" s="2"/>
      <c r="HVY11" s="2"/>
      <c r="HVZ11" s="2"/>
      <c r="HWK11" s="2"/>
      <c r="HWL11" s="2"/>
      <c r="HWM11" s="2"/>
      <c r="HWX11" s="2"/>
      <c r="HWY11" s="2"/>
      <c r="HWZ11" s="2"/>
      <c r="HXK11" s="2"/>
      <c r="HXL11" s="2"/>
      <c r="HXM11" s="2"/>
      <c r="HXX11" s="2"/>
      <c r="HXY11" s="2"/>
      <c r="HXZ11" s="2"/>
      <c r="HYK11" s="2"/>
      <c r="HYL11" s="2"/>
      <c r="HYM11" s="2"/>
      <c r="HYX11" s="2"/>
      <c r="HYY11" s="2"/>
      <c r="HYZ11" s="2"/>
      <c r="HZK11" s="2"/>
      <c r="HZL11" s="2"/>
      <c r="HZM11" s="2"/>
      <c r="HZX11" s="2"/>
      <c r="HZY11" s="2"/>
      <c r="HZZ11" s="2"/>
      <c r="IAK11" s="2"/>
      <c r="IAL11" s="2"/>
      <c r="IAM11" s="2"/>
      <c r="IAX11" s="2"/>
      <c r="IAY11" s="2"/>
      <c r="IAZ11" s="2"/>
      <c r="IBK11" s="2"/>
      <c r="IBL11" s="2"/>
      <c r="IBM11" s="2"/>
      <c r="IBX11" s="2"/>
      <c r="IBY11" s="2"/>
      <c r="IBZ11" s="2"/>
      <c r="ICK11" s="2"/>
      <c r="ICL11" s="2"/>
      <c r="ICM11" s="2"/>
      <c r="ICX11" s="2"/>
      <c r="ICY11" s="2"/>
      <c r="ICZ11" s="2"/>
      <c r="IDK11" s="2"/>
      <c r="IDL11" s="2"/>
      <c r="IDM11" s="2"/>
      <c r="IDX11" s="2"/>
      <c r="IDY11" s="2"/>
      <c r="IDZ11" s="2"/>
      <c r="IEK11" s="2"/>
      <c r="IEL11" s="2"/>
      <c r="IEM11" s="2"/>
      <c r="IEX11" s="2"/>
      <c r="IEY11" s="2"/>
      <c r="IEZ11" s="2"/>
      <c r="IFK11" s="2"/>
      <c r="IFL11" s="2"/>
      <c r="IFM11" s="2"/>
      <c r="IFX11" s="2"/>
      <c r="IFY11" s="2"/>
      <c r="IFZ11" s="2"/>
      <c r="IGK11" s="2"/>
      <c r="IGL11" s="2"/>
      <c r="IGM11" s="2"/>
      <c r="IGX11" s="2"/>
      <c r="IGY11" s="2"/>
      <c r="IGZ11" s="2"/>
      <c r="IHK11" s="2"/>
      <c r="IHL11" s="2"/>
      <c r="IHM11" s="2"/>
      <c r="IHX11" s="2"/>
      <c r="IHY11" s="2"/>
      <c r="IHZ11" s="2"/>
      <c r="IIK11" s="2"/>
      <c r="IIL11" s="2"/>
      <c r="IIM11" s="2"/>
      <c r="IIX11" s="2"/>
      <c r="IIY11" s="2"/>
      <c r="IIZ11" s="2"/>
      <c r="IJK11" s="2"/>
      <c r="IJL11" s="2"/>
      <c r="IJM11" s="2"/>
      <c r="IJX11" s="2"/>
      <c r="IJY11" s="2"/>
      <c r="IJZ11" s="2"/>
      <c r="IKK11" s="2"/>
      <c r="IKL11" s="2"/>
      <c r="IKM11" s="2"/>
      <c r="IKX11" s="2"/>
      <c r="IKY11" s="2"/>
      <c r="IKZ11" s="2"/>
      <c r="ILK11" s="2"/>
      <c r="ILL11" s="2"/>
      <c r="ILM11" s="2"/>
      <c r="ILX11" s="2"/>
      <c r="ILY11" s="2"/>
      <c r="ILZ11" s="2"/>
      <c r="IMK11" s="2"/>
      <c r="IML11" s="2"/>
      <c r="IMM11" s="2"/>
      <c r="IMX11" s="2"/>
      <c r="IMY11" s="2"/>
      <c r="IMZ11" s="2"/>
      <c r="INK11" s="2"/>
      <c r="INL11" s="2"/>
      <c r="INM11" s="2"/>
      <c r="INX11" s="2"/>
      <c r="INY11" s="2"/>
      <c r="INZ11" s="2"/>
      <c r="IOK11" s="2"/>
      <c r="IOL11" s="2"/>
      <c r="IOM11" s="2"/>
      <c r="IOX11" s="2"/>
      <c r="IOY11" s="2"/>
      <c r="IOZ11" s="2"/>
      <c r="IPK11" s="2"/>
      <c r="IPL11" s="2"/>
      <c r="IPM11" s="2"/>
      <c r="IPX11" s="2"/>
      <c r="IPY11" s="2"/>
      <c r="IPZ11" s="2"/>
      <c r="IQK11" s="2"/>
      <c r="IQL11" s="2"/>
      <c r="IQM11" s="2"/>
      <c r="IQX11" s="2"/>
      <c r="IQY11" s="2"/>
      <c r="IQZ11" s="2"/>
      <c r="IRK11" s="2"/>
      <c r="IRL11" s="2"/>
      <c r="IRM11" s="2"/>
      <c r="IRX11" s="2"/>
      <c r="IRY11" s="2"/>
      <c r="IRZ11" s="2"/>
      <c r="ISK11" s="2"/>
      <c r="ISL11" s="2"/>
      <c r="ISM11" s="2"/>
      <c r="ISX11" s="2"/>
      <c r="ISY11" s="2"/>
      <c r="ISZ11" s="2"/>
      <c r="ITK11" s="2"/>
      <c r="ITL11" s="2"/>
      <c r="ITM11" s="2"/>
      <c r="ITX11" s="2"/>
      <c r="ITY11" s="2"/>
      <c r="ITZ11" s="2"/>
      <c r="IUK11" s="2"/>
      <c r="IUL11" s="2"/>
      <c r="IUM11" s="2"/>
      <c r="IUX11" s="2"/>
      <c r="IUY11" s="2"/>
      <c r="IUZ11" s="2"/>
      <c r="IVK11" s="2"/>
      <c r="IVL11" s="2"/>
      <c r="IVM11" s="2"/>
      <c r="IVX11" s="2"/>
      <c r="IVY11" s="2"/>
      <c r="IVZ11" s="2"/>
      <c r="IWK11" s="2"/>
      <c r="IWL11" s="2"/>
      <c r="IWM11" s="2"/>
      <c r="IWX11" s="2"/>
      <c r="IWY11" s="2"/>
      <c r="IWZ11" s="2"/>
      <c r="IXK11" s="2"/>
      <c r="IXL11" s="2"/>
      <c r="IXM11" s="2"/>
      <c r="IXX11" s="2"/>
      <c r="IXY11" s="2"/>
      <c r="IXZ11" s="2"/>
      <c r="IYK11" s="2"/>
      <c r="IYL11" s="2"/>
      <c r="IYM11" s="2"/>
      <c r="IYX11" s="2"/>
      <c r="IYY11" s="2"/>
      <c r="IYZ11" s="2"/>
      <c r="IZK11" s="2"/>
      <c r="IZL11" s="2"/>
      <c r="IZM11" s="2"/>
      <c r="IZX11" s="2"/>
      <c r="IZY11" s="2"/>
      <c r="IZZ11" s="2"/>
      <c r="JAK11" s="2"/>
      <c r="JAL11" s="2"/>
      <c r="JAM11" s="2"/>
      <c r="JAX11" s="2"/>
      <c r="JAY11" s="2"/>
      <c r="JAZ11" s="2"/>
      <c r="JBK11" s="2"/>
      <c r="JBL11" s="2"/>
      <c r="JBM11" s="2"/>
      <c r="JBX11" s="2"/>
      <c r="JBY11" s="2"/>
      <c r="JBZ11" s="2"/>
      <c r="JCK11" s="2"/>
      <c r="JCL11" s="2"/>
      <c r="JCM11" s="2"/>
      <c r="JCX11" s="2"/>
      <c r="JCY11" s="2"/>
      <c r="JCZ11" s="2"/>
      <c r="JDK11" s="2"/>
      <c r="JDL11" s="2"/>
      <c r="JDM11" s="2"/>
      <c r="JDX11" s="2"/>
      <c r="JDY11" s="2"/>
      <c r="JDZ11" s="2"/>
      <c r="JEK11" s="2"/>
      <c r="JEL11" s="2"/>
      <c r="JEM11" s="2"/>
      <c r="JEX11" s="2"/>
      <c r="JEY11" s="2"/>
      <c r="JEZ11" s="2"/>
      <c r="JFK11" s="2"/>
      <c r="JFL11" s="2"/>
      <c r="JFM11" s="2"/>
      <c r="JFX11" s="2"/>
      <c r="JFY11" s="2"/>
      <c r="JFZ11" s="2"/>
      <c r="JGK11" s="2"/>
      <c r="JGL11" s="2"/>
      <c r="JGM11" s="2"/>
      <c r="JGX11" s="2"/>
      <c r="JGY11" s="2"/>
      <c r="JGZ11" s="2"/>
      <c r="JHK11" s="2"/>
      <c r="JHL11" s="2"/>
      <c r="JHM11" s="2"/>
      <c r="JHX11" s="2"/>
      <c r="JHY11" s="2"/>
      <c r="JHZ11" s="2"/>
      <c r="JIK11" s="2"/>
      <c r="JIL11" s="2"/>
      <c r="JIM11" s="2"/>
      <c r="JIX11" s="2"/>
      <c r="JIY11" s="2"/>
      <c r="JIZ11" s="2"/>
      <c r="JJK11" s="2"/>
      <c r="JJL11" s="2"/>
      <c r="JJM11" s="2"/>
      <c r="JJX11" s="2"/>
      <c r="JJY11" s="2"/>
      <c r="JJZ11" s="2"/>
      <c r="JKK11" s="2"/>
      <c r="JKL11" s="2"/>
      <c r="JKM11" s="2"/>
      <c r="JKX11" s="2"/>
      <c r="JKY11" s="2"/>
      <c r="JKZ11" s="2"/>
      <c r="JLK11" s="2"/>
      <c r="JLL11" s="2"/>
      <c r="JLM11" s="2"/>
      <c r="JLX11" s="2"/>
      <c r="JLY11" s="2"/>
      <c r="JLZ11" s="2"/>
      <c r="JMK11" s="2"/>
      <c r="JML11" s="2"/>
      <c r="JMM11" s="2"/>
      <c r="JMX11" s="2"/>
      <c r="JMY11" s="2"/>
      <c r="JMZ11" s="2"/>
      <c r="JNK11" s="2"/>
      <c r="JNL11" s="2"/>
      <c r="JNM11" s="2"/>
      <c r="JNX11" s="2"/>
      <c r="JNY11" s="2"/>
      <c r="JNZ11" s="2"/>
      <c r="JOK11" s="2"/>
      <c r="JOL11" s="2"/>
      <c r="JOM11" s="2"/>
      <c r="JOX11" s="2"/>
      <c r="JOY11" s="2"/>
      <c r="JOZ11" s="2"/>
      <c r="JPK11" s="2"/>
      <c r="JPL11" s="2"/>
      <c r="JPM11" s="2"/>
      <c r="JPX11" s="2"/>
      <c r="JPY11" s="2"/>
      <c r="JPZ11" s="2"/>
      <c r="JQK11" s="2"/>
      <c r="JQL11" s="2"/>
      <c r="JQM11" s="2"/>
      <c r="JQX11" s="2"/>
      <c r="JQY11" s="2"/>
      <c r="JQZ11" s="2"/>
      <c r="JRK11" s="2"/>
      <c r="JRL11" s="2"/>
      <c r="JRM11" s="2"/>
      <c r="JRX11" s="2"/>
      <c r="JRY11" s="2"/>
      <c r="JRZ11" s="2"/>
      <c r="JSK11" s="2"/>
      <c r="JSL11" s="2"/>
      <c r="JSM11" s="2"/>
      <c r="JSX11" s="2"/>
      <c r="JSY11" s="2"/>
      <c r="JSZ11" s="2"/>
      <c r="JTK11" s="2"/>
      <c r="JTL11" s="2"/>
      <c r="JTM11" s="2"/>
      <c r="JTX11" s="2"/>
      <c r="JTY11" s="2"/>
      <c r="JTZ11" s="2"/>
      <c r="JUK11" s="2"/>
      <c r="JUL11" s="2"/>
      <c r="JUM11" s="2"/>
      <c r="JUX11" s="2"/>
      <c r="JUY11" s="2"/>
      <c r="JUZ11" s="2"/>
      <c r="JVK11" s="2"/>
      <c r="JVL11" s="2"/>
      <c r="JVM11" s="2"/>
      <c r="JVX11" s="2"/>
      <c r="JVY11" s="2"/>
      <c r="JVZ11" s="2"/>
      <c r="JWK11" s="2"/>
      <c r="JWL11" s="2"/>
      <c r="JWM11" s="2"/>
      <c r="JWX11" s="2"/>
      <c r="JWY11" s="2"/>
      <c r="JWZ11" s="2"/>
      <c r="JXK11" s="2"/>
      <c r="JXL11" s="2"/>
      <c r="JXM11" s="2"/>
      <c r="JXX11" s="2"/>
      <c r="JXY11" s="2"/>
      <c r="JXZ11" s="2"/>
      <c r="JYK11" s="2"/>
      <c r="JYL11" s="2"/>
      <c r="JYM11" s="2"/>
      <c r="JYX11" s="2"/>
      <c r="JYY11" s="2"/>
      <c r="JYZ11" s="2"/>
      <c r="JZK11" s="2"/>
      <c r="JZL11" s="2"/>
      <c r="JZM11" s="2"/>
      <c r="JZX11" s="2"/>
      <c r="JZY11" s="2"/>
      <c r="JZZ11" s="2"/>
      <c r="KAK11" s="2"/>
      <c r="KAL11" s="2"/>
      <c r="KAM11" s="2"/>
      <c r="KAX11" s="2"/>
      <c r="KAY11" s="2"/>
      <c r="KAZ11" s="2"/>
      <c r="KBK11" s="2"/>
      <c r="KBL11" s="2"/>
      <c r="KBM11" s="2"/>
      <c r="KBX11" s="2"/>
      <c r="KBY11" s="2"/>
      <c r="KBZ11" s="2"/>
      <c r="KCK11" s="2"/>
      <c r="KCL11" s="2"/>
      <c r="KCM11" s="2"/>
      <c r="KCX11" s="2"/>
      <c r="KCY11" s="2"/>
      <c r="KCZ11" s="2"/>
      <c r="KDK11" s="2"/>
      <c r="KDL11" s="2"/>
      <c r="KDM11" s="2"/>
      <c r="KDX11" s="2"/>
      <c r="KDY11" s="2"/>
      <c r="KDZ11" s="2"/>
      <c r="KEK11" s="2"/>
      <c r="KEL11" s="2"/>
      <c r="KEM11" s="2"/>
      <c r="KEX11" s="2"/>
      <c r="KEY11" s="2"/>
      <c r="KEZ11" s="2"/>
      <c r="KFK11" s="2"/>
      <c r="KFL11" s="2"/>
      <c r="KFM11" s="2"/>
      <c r="KFX11" s="2"/>
      <c r="KFY11" s="2"/>
      <c r="KFZ11" s="2"/>
      <c r="KGK11" s="2"/>
      <c r="KGL11" s="2"/>
      <c r="KGM11" s="2"/>
      <c r="KGX11" s="2"/>
      <c r="KGY11" s="2"/>
      <c r="KGZ11" s="2"/>
      <c r="KHK11" s="2"/>
      <c r="KHL11" s="2"/>
      <c r="KHM11" s="2"/>
      <c r="KHX11" s="2"/>
      <c r="KHY11" s="2"/>
      <c r="KHZ11" s="2"/>
      <c r="KIK11" s="2"/>
      <c r="KIL11" s="2"/>
      <c r="KIM11" s="2"/>
      <c r="KIX11" s="2"/>
      <c r="KIY11" s="2"/>
      <c r="KIZ11" s="2"/>
      <c r="KJK11" s="2"/>
      <c r="KJL11" s="2"/>
      <c r="KJM11" s="2"/>
      <c r="KJX11" s="2"/>
      <c r="KJY11" s="2"/>
      <c r="KJZ11" s="2"/>
      <c r="KKK11" s="2"/>
      <c r="KKL11" s="2"/>
      <c r="KKM11" s="2"/>
      <c r="KKX11" s="2"/>
      <c r="KKY11" s="2"/>
      <c r="KKZ11" s="2"/>
      <c r="KLK11" s="2"/>
      <c r="KLL11" s="2"/>
      <c r="KLM11" s="2"/>
      <c r="KLX11" s="2"/>
      <c r="KLY11" s="2"/>
      <c r="KLZ11" s="2"/>
      <c r="KMK11" s="2"/>
      <c r="KML11" s="2"/>
      <c r="KMM11" s="2"/>
      <c r="KMX11" s="2"/>
      <c r="KMY11" s="2"/>
      <c r="KMZ11" s="2"/>
      <c r="KNK11" s="2"/>
      <c r="KNL11" s="2"/>
      <c r="KNM11" s="2"/>
      <c r="KNX11" s="2"/>
      <c r="KNY11" s="2"/>
      <c r="KNZ11" s="2"/>
      <c r="KOK11" s="2"/>
      <c r="KOL11" s="2"/>
      <c r="KOM11" s="2"/>
      <c r="KOX11" s="2"/>
      <c r="KOY11" s="2"/>
      <c r="KOZ11" s="2"/>
      <c r="KPK11" s="2"/>
      <c r="KPL11" s="2"/>
      <c r="KPM11" s="2"/>
      <c r="KPX11" s="2"/>
      <c r="KPY11" s="2"/>
      <c r="KPZ11" s="2"/>
      <c r="KQK11" s="2"/>
      <c r="KQL11" s="2"/>
      <c r="KQM11" s="2"/>
      <c r="KQX11" s="2"/>
      <c r="KQY11" s="2"/>
      <c r="KQZ11" s="2"/>
      <c r="KRK11" s="2"/>
      <c r="KRL11" s="2"/>
      <c r="KRM11" s="2"/>
      <c r="KRX11" s="2"/>
      <c r="KRY11" s="2"/>
      <c r="KRZ11" s="2"/>
      <c r="KSK11" s="2"/>
      <c r="KSL11" s="2"/>
      <c r="KSM11" s="2"/>
      <c r="KSX11" s="2"/>
      <c r="KSY11" s="2"/>
      <c r="KSZ11" s="2"/>
      <c r="KTK11" s="2"/>
      <c r="KTL11" s="2"/>
      <c r="KTM11" s="2"/>
      <c r="KTX11" s="2"/>
      <c r="KTY11" s="2"/>
      <c r="KTZ11" s="2"/>
      <c r="KUK11" s="2"/>
      <c r="KUL11" s="2"/>
      <c r="KUM11" s="2"/>
      <c r="KUX11" s="2"/>
      <c r="KUY11" s="2"/>
      <c r="KUZ11" s="2"/>
      <c r="KVK11" s="2"/>
      <c r="KVL11" s="2"/>
      <c r="KVM11" s="2"/>
      <c r="KVX11" s="2"/>
      <c r="KVY11" s="2"/>
      <c r="KVZ11" s="2"/>
      <c r="KWK11" s="2"/>
      <c r="KWL11" s="2"/>
      <c r="KWM11" s="2"/>
      <c r="KWX11" s="2"/>
      <c r="KWY11" s="2"/>
      <c r="KWZ11" s="2"/>
      <c r="KXK11" s="2"/>
      <c r="KXL11" s="2"/>
      <c r="KXM11" s="2"/>
      <c r="KXX11" s="2"/>
      <c r="KXY11" s="2"/>
      <c r="KXZ11" s="2"/>
      <c r="KYK11" s="2"/>
      <c r="KYL11" s="2"/>
      <c r="KYM11" s="2"/>
      <c r="KYX11" s="2"/>
      <c r="KYY11" s="2"/>
      <c r="KYZ11" s="2"/>
      <c r="KZK11" s="2"/>
      <c r="KZL11" s="2"/>
      <c r="KZM11" s="2"/>
      <c r="KZX11" s="2"/>
      <c r="KZY11" s="2"/>
      <c r="KZZ11" s="2"/>
      <c r="LAK11" s="2"/>
      <c r="LAL11" s="2"/>
      <c r="LAM11" s="2"/>
      <c r="LAX11" s="2"/>
      <c r="LAY11" s="2"/>
      <c r="LAZ11" s="2"/>
      <c r="LBK11" s="2"/>
      <c r="LBL11" s="2"/>
      <c r="LBM11" s="2"/>
      <c r="LBX11" s="2"/>
      <c r="LBY11" s="2"/>
      <c r="LBZ11" s="2"/>
      <c r="LCK11" s="2"/>
      <c r="LCL11" s="2"/>
      <c r="LCM11" s="2"/>
      <c r="LCX11" s="2"/>
      <c r="LCY11" s="2"/>
      <c r="LCZ11" s="2"/>
      <c r="LDK11" s="2"/>
      <c r="LDL11" s="2"/>
      <c r="LDM11" s="2"/>
      <c r="LDX11" s="2"/>
      <c r="LDY11" s="2"/>
      <c r="LDZ11" s="2"/>
      <c r="LEK11" s="2"/>
      <c r="LEL11" s="2"/>
      <c r="LEM11" s="2"/>
      <c r="LEX11" s="2"/>
      <c r="LEY11" s="2"/>
      <c r="LEZ11" s="2"/>
      <c r="LFK11" s="2"/>
      <c r="LFL11" s="2"/>
      <c r="LFM11" s="2"/>
      <c r="LFX11" s="2"/>
      <c r="LFY11" s="2"/>
      <c r="LFZ11" s="2"/>
      <c r="LGK11" s="2"/>
      <c r="LGL11" s="2"/>
      <c r="LGM11" s="2"/>
      <c r="LGX11" s="2"/>
      <c r="LGY11" s="2"/>
      <c r="LGZ11" s="2"/>
      <c r="LHK11" s="2"/>
      <c r="LHL11" s="2"/>
      <c r="LHM11" s="2"/>
      <c r="LHX11" s="2"/>
      <c r="LHY11" s="2"/>
      <c r="LHZ11" s="2"/>
      <c r="LIK11" s="2"/>
      <c r="LIL11" s="2"/>
      <c r="LIM11" s="2"/>
      <c r="LIX11" s="2"/>
      <c r="LIY11" s="2"/>
      <c r="LIZ11" s="2"/>
      <c r="LJK11" s="2"/>
      <c r="LJL11" s="2"/>
      <c r="LJM11" s="2"/>
      <c r="LJX11" s="2"/>
      <c r="LJY11" s="2"/>
      <c r="LJZ11" s="2"/>
      <c r="LKK11" s="2"/>
      <c r="LKL11" s="2"/>
      <c r="LKM11" s="2"/>
      <c r="LKX11" s="2"/>
      <c r="LKY11" s="2"/>
      <c r="LKZ11" s="2"/>
      <c r="LLK11" s="2"/>
      <c r="LLL11" s="2"/>
      <c r="LLM11" s="2"/>
      <c r="LLX11" s="2"/>
      <c r="LLY11" s="2"/>
      <c r="LLZ11" s="2"/>
      <c r="LMK11" s="2"/>
      <c r="LML11" s="2"/>
      <c r="LMM11" s="2"/>
      <c r="LMX11" s="2"/>
      <c r="LMY11" s="2"/>
      <c r="LMZ11" s="2"/>
      <c r="LNK11" s="2"/>
      <c r="LNL11" s="2"/>
      <c r="LNM11" s="2"/>
      <c r="LNX11" s="2"/>
      <c r="LNY11" s="2"/>
      <c r="LNZ11" s="2"/>
      <c r="LOK11" s="2"/>
      <c r="LOL11" s="2"/>
      <c r="LOM11" s="2"/>
      <c r="LOX11" s="2"/>
      <c r="LOY11" s="2"/>
      <c r="LOZ11" s="2"/>
      <c r="LPK11" s="2"/>
      <c r="LPL11" s="2"/>
      <c r="LPM11" s="2"/>
      <c r="LPX11" s="2"/>
      <c r="LPY11" s="2"/>
      <c r="LPZ11" s="2"/>
      <c r="LQK11" s="2"/>
      <c r="LQL11" s="2"/>
      <c r="LQM11" s="2"/>
      <c r="LQX11" s="2"/>
      <c r="LQY11" s="2"/>
      <c r="LQZ11" s="2"/>
      <c r="LRK11" s="2"/>
      <c r="LRL11" s="2"/>
      <c r="LRM11" s="2"/>
      <c r="LRX11" s="2"/>
      <c r="LRY11" s="2"/>
      <c r="LRZ11" s="2"/>
      <c r="LSK11" s="2"/>
      <c r="LSL11" s="2"/>
      <c r="LSM11" s="2"/>
      <c r="LSX11" s="2"/>
      <c r="LSY11" s="2"/>
      <c r="LSZ11" s="2"/>
      <c r="LTK11" s="2"/>
      <c r="LTL11" s="2"/>
      <c r="LTM11" s="2"/>
      <c r="LTX11" s="2"/>
      <c r="LTY11" s="2"/>
      <c r="LTZ11" s="2"/>
      <c r="LUK11" s="2"/>
      <c r="LUL11" s="2"/>
      <c r="LUM11" s="2"/>
      <c r="LUX11" s="2"/>
      <c r="LUY11" s="2"/>
      <c r="LUZ11" s="2"/>
      <c r="LVK11" s="2"/>
      <c r="LVL11" s="2"/>
      <c r="LVM11" s="2"/>
      <c r="LVX11" s="2"/>
      <c r="LVY11" s="2"/>
      <c r="LVZ11" s="2"/>
      <c r="LWK11" s="2"/>
      <c r="LWL11" s="2"/>
      <c r="LWM11" s="2"/>
      <c r="LWX11" s="2"/>
      <c r="LWY11" s="2"/>
      <c r="LWZ11" s="2"/>
      <c r="LXK11" s="2"/>
      <c r="LXL11" s="2"/>
      <c r="LXM11" s="2"/>
      <c r="LXX11" s="2"/>
      <c r="LXY11" s="2"/>
      <c r="LXZ11" s="2"/>
      <c r="LYK11" s="2"/>
      <c r="LYL11" s="2"/>
      <c r="LYM11" s="2"/>
      <c r="LYX11" s="2"/>
      <c r="LYY11" s="2"/>
      <c r="LYZ11" s="2"/>
      <c r="LZK11" s="2"/>
      <c r="LZL11" s="2"/>
      <c r="LZM11" s="2"/>
      <c r="LZX11" s="2"/>
      <c r="LZY11" s="2"/>
      <c r="LZZ11" s="2"/>
      <c r="MAK11" s="2"/>
      <c r="MAL11" s="2"/>
      <c r="MAM11" s="2"/>
      <c r="MAX11" s="2"/>
      <c r="MAY11" s="2"/>
      <c r="MAZ11" s="2"/>
      <c r="MBK11" s="2"/>
      <c r="MBL11" s="2"/>
      <c r="MBM11" s="2"/>
      <c r="MBX11" s="2"/>
      <c r="MBY11" s="2"/>
      <c r="MBZ11" s="2"/>
      <c r="MCK11" s="2"/>
      <c r="MCL11" s="2"/>
      <c r="MCM11" s="2"/>
      <c r="MCX11" s="2"/>
      <c r="MCY11" s="2"/>
      <c r="MCZ11" s="2"/>
      <c r="MDK11" s="2"/>
      <c r="MDL11" s="2"/>
      <c r="MDM11" s="2"/>
      <c r="MDX11" s="2"/>
      <c r="MDY11" s="2"/>
      <c r="MDZ11" s="2"/>
      <c r="MEK11" s="2"/>
      <c r="MEL11" s="2"/>
      <c r="MEM11" s="2"/>
      <c r="MEX11" s="2"/>
      <c r="MEY11" s="2"/>
      <c r="MEZ11" s="2"/>
      <c r="MFK11" s="2"/>
      <c r="MFL11" s="2"/>
      <c r="MFM11" s="2"/>
      <c r="MFX11" s="2"/>
      <c r="MFY11" s="2"/>
      <c r="MFZ11" s="2"/>
      <c r="MGK11" s="2"/>
      <c r="MGL11" s="2"/>
      <c r="MGM11" s="2"/>
      <c r="MGX11" s="2"/>
      <c r="MGY11" s="2"/>
      <c r="MGZ11" s="2"/>
      <c r="MHK11" s="2"/>
      <c r="MHL11" s="2"/>
      <c r="MHM11" s="2"/>
      <c r="MHX11" s="2"/>
      <c r="MHY11" s="2"/>
      <c r="MHZ11" s="2"/>
      <c r="MIK11" s="2"/>
      <c r="MIL11" s="2"/>
      <c r="MIM11" s="2"/>
      <c r="MIX11" s="2"/>
      <c r="MIY11" s="2"/>
      <c r="MIZ11" s="2"/>
      <c r="MJK11" s="2"/>
      <c r="MJL11" s="2"/>
      <c r="MJM11" s="2"/>
      <c r="MJX11" s="2"/>
      <c r="MJY11" s="2"/>
      <c r="MJZ11" s="2"/>
      <c r="MKK11" s="2"/>
      <c r="MKL11" s="2"/>
      <c r="MKM11" s="2"/>
      <c r="MKX11" s="2"/>
      <c r="MKY11" s="2"/>
      <c r="MKZ11" s="2"/>
      <c r="MLK11" s="2"/>
      <c r="MLL11" s="2"/>
      <c r="MLM11" s="2"/>
      <c r="MLX11" s="2"/>
      <c r="MLY11" s="2"/>
      <c r="MLZ11" s="2"/>
      <c r="MMK11" s="2"/>
      <c r="MML11" s="2"/>
      <c r="MMM11" s="2"/>
      <c r="MMX11" s="2"/>
      <c r="MMY11" s="2"/>
      <c r="MMZ11" s="2"/>
      <c r="MNK11" s="2"/>
      <c r="MNL11" s="2"/>
      <c r="MNM11" s="2"/>
      <c r="MNX11" s="2"/>
      <c r="MNY11" s="2"/>
      <c r="MNZ11" s="2"/>
      <c r="MOK11" s="2"/>
      <c r="MOL11" s="2"/>
      <c r="MOM11" s="2"/>
      <c r="MOX11" s="2"/>
      <c r="MOY11" s="2"/>
      <c r="MOZ11" s="2"/>
      <c r="MPK11" s="2"/>
      <c r="MPL11" s="2"/>
      <c r="MPM11" s="2"/>
      <c r="MPX11" s="2"/>
      <c r="MPY11" s="2"/>
      <c r="MPZ11" s="2"/>
      <c r="MQK11" s="2"/>
      <c r="MQL11" s="2"/>
      <c r="MQM11" s="2"/>
      <c r="MQX11" s="2"/>
      <c r="MQY11" s="2"/>
      <c r="MQZ11" s="2"/>
      <c r="MRK11" s="2"/>
      <c r="MRL11" s="2"/>
      <c r="MRM11" s="2"/>
      <c r="MRX11" s="2"/>
      <c r="MRY11" s="2"/>
      <c r="MRZ11" s="2"/>
      <c r="MSK11" s="2"/>
      <c r="MSL11" s="2"/>
      <c r="MSM11" s="2"/>
      <c r="MSX11" s="2"/>
      <c r="MSY11" s="2"/>
      <c r="MSZ11" s="2"/>
      <c r="MTK11" s="2"/>
      <c r="MTL11" s="2"/>
      <c r="MTM11" s="2"/>
      <c r="MTX11" s="2"/>
      <c r="MTY11" s="2"/>
      <c r="MTZ11" s="2"/>
      <c r="MUK11" s="2"/>
      <c r="MUL11" s="2"/>
      <c r="MUM11" s="2"/>
      <c r="MUX11" s="2"/>
      <c r="MUY11" s="2"/>
      <c r="MUZ11" s="2"/>
      <c r="MVK11" s="2"/>
      <c r="MVL11" s="2"/>
      <c r="MVM11" s="2"/>
      <c r="MVX11" s="2"/>
      <c r="MVY11" s="2"/>
      <c r="MVZ11" s="2"/>
      <c r="MWK11" s="2"/>
      <c r="MWL11" s="2"/>
      <c r="MWM11" s="2"/>
      <c r="MWX11" s="2"/>
      <c r="MWY11" s="2"/>
      <c r="MWZ11" s="2"/>
      <c r="MXK11" s="2"/>
      <c r="MXL11" s="2"/>
      <c r="MXM11" s="2"/>
      <c r="MXX11" s="2"/>
      <c r="MXY11" s="2"/>
      <c r="MXZ11" s="2"/>
      <c r="MYK11" s="2"/>
      <c r="MYL11" s="2"/>
      <c r="MYM11" s="2"/>
      <c r="MYX11" s="2"/>
      <c r="MYY11" s="2"/>
      <c r="MYZ11" s="2"/>
      <c r="MZK11" s="2"/>
      <c r="MZL11" s="2"/>
      <c r="MZM11" s="2"/>
      <c r="MZX11" s="2"/>
      <c r="MZY11" s="2"/>
      <c r="MZZ11" s="2"/>
      <c r="NAK11" s="2"/>
      <c r="NAL11" s="2"/>
      <c r="NAM11" s="2"/>
      <c r="NAX11" s="2"/>
      <c r="NAY11" s="2"/>
      <c r="NAZ11" s="2"/>
      <c r="NBK11" s="2"/>
      <c r="NBL11" s="2"/>
      <c r="NBM11" s="2"/>
      <c r="NBX11" s="2"/>
      <c r="NBY11" s="2"/>
      <c r="NBZ11" s="2"/>
      <c r="NCK11" s="2"/>
      <c r="NCL11" s="2"/>
      <c r="NCM11" s="2"/>
      <c r="NCX11" s="2"/>
      <c r="NCY11" s="2"/>
      <c r="NCZ11" s="2"/>
      <c r="NDK11" s="2"/>
      <c r="NDL11" s="2"/>
      <c r="NDM11" s="2"/>
      <c r="NDX11" s="2"/>
      <c r="NDY11" s="2"/>
      <c r="NDZ11" s="2"/>
      <c r="NEK11" s="2"/>
      <c r="NEL11" s="2"/>
      <c r="NEM11" s="2"/>
      <c r="NEX11" s="2"/>
      <c r="NEY11" s="2"/>
      <c r="NEZ11" s="2"/>
      <c r="NFK11" s="2"/>
      <c r="NFL11" s="2"/>
      <c r="NFM11" s="2"/>
      <c r="NFX11" s="2"/>
      <c r="NFY11" s="2"/>
      <c r="NFZ11" s="2"/>
      <c r="NGK11" s="2"/>
      <c r="NGL11" s="2"/>
      <c r="NGM11" s="2"/>
      <c r="NGX11" s="2"/>
      <c r="NGY11" s="2"/>
      <c r="NGZ11" s="2"/>
      <c r="NHK11" s="2"/>
      <c r="NHL11" s="2"/>
      <c r="NHM11" s="2"/>
      <c r="NHX11" s="2"/>
      <c r="NHY11" s="2"/>
      <c r="NHZ11" s="2"/>
      <c r="NIK11" s="2"/>
      <c r="NIL11" s="2"/>
      <c r="NIM11" s="2"/>
      <c r="NIX11" s="2"/>
      <c r="NIY11" s="2"/>
      <c r="NIZ11" s="2"/>
      <c r="NJK11" s="2"/>
      <c r="NJL11" s="2"/>
      <c r="NJM11" s="2"/>
      <c r="NJX11" s="2"/>
      <c r="NJY11" s="2"/>
      <c r="NJZ11" s="2"/>
      <c r="NKK11" s="2"/>
      <c r="NKL11" s="2"/>
      <c r="NKM11" s="2"/>
      <c r="NKX11" s="2"/>
      <c r="NKY11" s="2"/>
      <c r="NKZ11" s="2"/>
      <c r="NLK11" s="2"/>
      <c r="NLL11" s="2"/>
      <c r="NLM11" s="2"/>
      <c r="NLX11" s="2"/>
      <c r="NLY11" s="2"/>
      <c r="NLZ11" s="2"/>
      <c r="NMK11" s="2"/>
      <c r="NML11" s="2"/>
      <c r="NMM11" s="2"/>
      <c r="NMX11" s="2"/>
      <c r="NMY11" s="2"/>
      <c r="NMZ11" s="2"/>
      <c r="NNK11" s="2"/>
      <c r="NNL11" s="2"/>
      <c r="NNM11" s="2"/>
      <c r="NNX11" s="2"/>
      <c r="NNY11" s="2"/>
      <c r="NNZ11" s="2"/>
      <c r="NOK11" s="2"/>
      <c r="NOL11" s="2"/>
      <c r="NOM11" s="2"/>
      <c r="NOX11" s="2"/>
      <c r="NOY11" s="2"/>
      <c r="NOZ11" s="2"/>
      <c r="NPK11" s="2"/>
      <c r="NPL11" s="2"/>
      <c r="NPM11" s="2"/>
      <c r="NPX11" s="2"/>
      <c r="NPY11" s="2"/>
      <c r="NPZ11" s="2"/>
      <c r="NQK11" s="2"/>
      <c r="NQL11" s="2"/>
      <c r="NQM11" s="2"/>
      <c r="NQX11" s="2"/>
      <c r="NQY11" s="2"/>
      <c r="NQZ11" s="2"/>
      <c r="NRK11" s="2"/>
      <c r="NRL11" s="2"/>
      <c r="NRM11" s="2"/>
      <c r="NRX11" s="2"/>
      <c r="NRY11" s="2"/>
      <c r="NRZ11" s="2"/>
      <c r="NSK11" s="2"/>
      <c r="NSL11" s="2"/>
      <c r="NSM11" s="2"/>
      <c r="NSX11" s="2"/>
      <c r="NSY11" s="2"/>
      <c r="NSZ11" s="2"/>
      <c r="NTK11" s="2"/>
      <c r="NTL11" s="2"/>
      <c r="NTM11" s="2"/>
      <c r="NTX11" s="2"/>
      <c r="NTY11" s="2"/>
      <c r="NTZ11" s="2"/>
      <c r="NUK11" s="2"/>
      <c r="NUL11" s="2"/>
      <c r="NUM11" s="2"/>
      <c r="NUX11" s="2"/>
      <c r="NUY11" s="2"/>
      <c r="NUZ11" s="2"/>
      <c r="NVK11" s="2"/>
      <c r="NVL11" s="2"/>
      <c r="NVM11" s="2"/>
      <c r="NVX11" s="2"/>
      <c r="NVY11" s="2"/>
      <c r="NVZ11" s="2"/>
      <c r="NWK11" s="2"/>
      <c r="NWL11" s="2"/>
      <c r="NWM11" s="2"/>
      <c r="NWX11" s="2"/>
      <c r="NWY11" s="2"/>
      <c r="NWZ11" s="2"/>
      <c r="NXK11" s="2"/>
      <c r="NXL11" s="2"/>
      <c r="NXM11" s="2"/>
      <c r="NXX11" s="2"/>
      <c r="NXY11" s="2"/>
      <c r="NXZ11" s="2"/>
      <c r="NYK11" s="2"/>
      <c r="NYL11" s="2"/>
      <c r="NYM11" s="2"/>
      <c r="NYX11" s="2"/>
      <c r="NYY11" s="2"/>
      <c r="NYZ11" s="2"/>
      <c r="NZK11" s="2"/>
      <c r="NZL11" s="2"/>
      <c r="NZM11" s="2"/>
      <c r="NZX11" s="2"/>
      <c r="NZY11" s="2"/>
      <c r="NZZ11" s="2"/>
      <c r="OAK11" s="2"/>
      <c r="OAL11" s="2"/>
      <c r="OAM11" s="2"/>
      <c r="OAX11" s="2"/>
      <c r="OAY11" s="2"/>
      <c r="OAZ11" s="2"/>
      <c r="OBK11" s="2"/>
      <c r="OBL11" s="2"/>
      <c r="OBM11" s="2"/>
      <c r="OBX11" s="2"/>
      <c r="OBY11" s="2"/>
      <c r="OBZ11" s="2"/>
      <c r="OCK11" s="2"/>
      <c r="OCL11" s="2"/>
      <c r="OCM11" s="2"/>
      <c r="OCX11" s="2"/>
      <c r="OCY11" s="2"/>
      <c r="OCZ11" s="2"/>
      <c r="ODK11" s="2"/>
      <c r="ODL11" s="2"/>
      <c r="ODM11" s="2"/>
      <c r="ODX11" s="2"/>
      <c r="ODY11" s="2"/>
      <c r="ODZ11" s="2"/>
      <c r="OEK11" s="2"/>
      <c r="OEL11" s="2"/>
      <c r="OEM11" s="2"/>
      <c r="OEX11" s="2"/>
      <c r="OEY11" s="2"/>
      <c r="OEZ11" s="2"/>
      <c r="OFK11" s="2"/>
      <c r="OFL11" s="2"/>
      <c r="OFM11" s="2"/>
      <c r="OFX11" s="2"/>
      <c r="OFY11" s="2"/>
      <c r="OFZ11" s="2"/>
      <c r="OGK11" s="2"/>
      <c r="OGL11" s="2"/>
      <c r="OGM11" s="2"/>
      <c r="OGX11" s="2"/>
      <c r="OGY11" s="2"/>
      <c r="OGZ11" s="2"/>
      <c r="OHK11" s="2"/>
      <c r="OHL11" s="2"/>
      <c r="OHM11" s="2"/>
      <c r="OHX11" s="2"/>
      <c r="OHY11" s="2"/>
      <c r="OHZ11" s="2"/>
      <c r="OIK11" s="2"/>
      <c r="OIL11" s="2"/>
      <c r="OIM11" s="2"/>
      <c r="OIX11" s="2"/>
      <c r="OIY11" s="2"/>
      <c r="OIZ11" s="2"/>
      <c r="OJK11" s="2"/>
      <c r="OJL11" s="2"/>
      <c r="OJM11" s="2"/>
      <c r="OJX11" s="2"/>
      <c r="OJY11" s="2"/>
      <c r="OJZ11" s="2"/>
      <c r="OKK11" s="2"/>
      <c r="OKL11" s="2"/>
      <c r="OKM11" s="2"/>
      <c r="OKX11" s="2"/>
      <c r="OKY11" s="2"/>
      <c r="OKZ11" s="2"/>
      <c r="OLK11" s="2"/>
      <c r="OLL11" s="2"/>
      <c r="OLM11" s="2"/>
      <c r="OLX11" s="2"/>
      <c r="OLY11" s="2"/>
      <c r="OLZ11" s="2"/>
      <c r="OMK11" s="2"/>
      <c r="OML11" s="2"/>
      <c r="OMM11" s="2"/>
      <c r="OMX11" s="2"/>
      <c r="OMY11" s="2"/>
      <c r="OMZ11" s="2"/>
      <c r="ONK11" s="2"/>
      <c r="ONL11" s="2"/>
      <c r="ONM11" s="2"/>
      <c r="ONX11" s="2"/>
      <c r="ONY11" s="2"/>
      <c r="ONZ11" s="2"/>
      <c r="OOK11" s="2"/>
      <c r="OOL11" s="2"/>
      <c r="OOM11" s="2"/>
      <c r="OOX11" s="2"/>
      <c r="OOY11" s="2"/>
      <c r="OOZ11" s="2"/>
      <c r="OPK11" s="2"/>
      <c r="OPL11" s="2"/>
      <c r="OPM11" s="2"/>
      <c r="OPX11" s="2"/>
      <c r="OPY11" s="2"/>
      <c r="OPZ11" s="2"/>
      <c r="OQK11" s="2"/>
      <c r="OQL11" s="2"/>
      <c r="OQM11" s="2"/>
      <c r="OQX11" s="2"/>
      <c r="OQY11" s="2"/>
      <c r="OQZ11" s="2"/>
      <c r="ORK11" s="2"/>
      <c r="ORL11" s="2"/>
      <c r="ORM11" s="2"/>
      <c r="ORX11" s="2"/>
      <c r="ORY11" s="2"/>
      <c r="ORZ11" s="2"/>
      <c r="OSK11" s="2"/>
      <c r="OSL11" s="2"/>
      <c r="OSM11" s="2"/>
      <c r="OSX11" s="2"/>
      <c r="OSY11" s="2"/>
      <c r="OSZ11" s="2"/>
      <c r="OTK11" s="2"/>
      <c r="OTL11" s="2"/>
      <c r="OTM11" s="2"/>
      <c r="OTX11" s="2"/>
      <c r="OTY11" s="2"/>
      <c r="OTZ11" s="2"/>
      <c r="OUK11" s="2"/>
      <c r="OUL11" s="2"/>
      <c r="OUM11" s="2"/>
      <c r="OUX11" s="2"/>
      <c r="OUY11" s="2"/>
      <c r="OUZ11" s="2"/>
      <c r="OVK11" s="2"/>
      <c r="OVL11" s="2"/>
      <c r="OVM11" s="2"/>
      <c r="OVX11" s="2"/>
      <c r="OVY11" s="2"/>
      <c r="OVZ11" s="2"/>
      <c r="OWK11" s="2"/>
      <c r="OWL11" s="2"/>
      <c r="OWM11" s="2"/>
      <c r="OWX11" s="2"/>
      <c r="OWY11" s="2"/>
      <c r="OWZ11" s="2"/>
      <c r="OXK11" s="2"/>
      <c r="OXL11" s="2"/>
      <c r="OXM11" s="2"/>
      <c r="OXX11" s="2"/>
      <c r="OXY11" s="2"/>
      <c r="OXZ11" s="2"/>
      <c r="OYK11" s="2"/>
      <c r="OYL11" s="2"/>
      <c r="OYM11" s="2"/>
      <c r="OYX11" s="2"/>
      <c r="OYY11" s="2"/>
      <c r="OYZ11" s="2"/>
      <c r="OZK11" s="2"/>
      <c r="OZL11" s="2"/>
      <c r="OZM11" s="2"/>
      <c r="OZX11" s="2"/>
      <c r="OZY11" s="2"/>
      <c r="OZZ11" s="2"/>
      <c r="PAK11" s="2"/>
      <c r="PAL11" s="2"/>
      <c r="PAM11" s="2"/>
      <c r="PAX11" s="2"/>
      <c r="PAY11" s="2"/>
      <c r="PAZ11" s="2"/>
      <c r="PBK11" s="2"/>
      <c r="PBL11" s="2"/>
      <c r="PBM11" s="2"/>
      <c r="PBX11" s="2"/>
      <c r="PBY11" s="2"/>
      <c r="PBZ11" s="2"/>
      <c r="PCK11" s="2"/>
      <c r="PCL11" s="2"/>
      <c r="PCM11" s="2"/>
      <c r="PCX11" s="2"/>
      <c r="PCY11" s="2"/>
      <c r="PCZ11" s="2"/>
      <c r="PDK11" s="2"/>
      <c r="PDL11" s="2"/>
      <c r="PDM11" s="2"/>
      <c r="PDX11" s="2"/>
      <c r="PDY11" s="2"/>
      <c r="PDZ11" s="2"/>
      <c r="PEK11" s="2"/>
      <c r="PEL11" s="2"/>
      <c r="PEM11" s="2"/>
      <c r="PEX11" s="2"/>
      <c r="PEY11" s="2"/>
      <c r="PEZ11" s="2"/>
      <c r="PFK11" s="2"/>
      <c r="PFL11" s="2"/>
      <c r="PFM11" s="2"/>
      <c r="PFX11" s="2"/>
      <c r="PFY11" s="2"/>
      <c r="PFZ11" s="2"/>
      <c r="PGK11" s="2"/>
      <c r="PGL11" s="2"/>
      <c r="PGM11" s="2"/>
      <c r="PGX11" s="2"/>
      <c r="PGY11" s="2"/>
      <c r="PGZ11" s="2"/>
      <c r="PHK11" s="2"/>
      <c r="PHL11" s="2"/>
      <c r="PHM11" s="2"/>
      <c r="PHX11" s="2"/>
      <c r="PHY11" s="2"/>
      <c r="PHZ11" s="2"/>
      <c r="PIK11" s="2"/>
      <c r="PIL11" s="2"/>
      <c r="PIM11" s="2"/>
      <c r="PIX11" s="2"/>
      <c r="PIY11" s="2"/>
      <c r="PIZ11" s="2"/>
      <c r="PJK11" s="2"/>
      <c r="PJL11" s="2"/>
      <c r="PJM11" s="2"/>
      <c r="PJX11" s="2"/>
      <c r="PJY11" s="2"/>
      <c r="PJZ11" s="2"/>
      <c r="PKK11" s="2"/>
      <c r="PKL11" s="2"/>
      <c r="PKM11" s="2"/>
      <c r="PKX11" s="2"/>
      <c r="PKY11" s="2"/>
      <c r="PKZ11" s="2"/>
      <c r="PLK11" s="2"/>
      <c r="PLL11" s="2"/>
      <c r="PLM11" s="2"/>
      <c r="PLX11" s="2"/>
      <c r="PLY11" s="2"/>
      <c r="PLZ11" s="2"/>
      <c r="PMK11" s="2"/>
      <c r="PML11" s="2"/>
      <c r="PMM11" s="2"/>
      <c r="PMX11" s="2"/>
      <c r="PMY11" s="2"/>
      <c r="PMZ11" s="2"/>
      <c r="PNK11" s="2"/>
      <c r="PNL11" s="2"/>
      <c r="PNM11" s="2"/>
      <c r="PNX11" s="2"/>
      <c r="PNY11" s="2"/>
      <c r="PNZ11" s="2"/>
      <c r="POK11" s="2"/>
      <c r="POL11" s="2"/>
      <c r="POM11" s="2"/>
      <c r="POX11" s="2"/>
      <c r="POY11" s="2"/>
      <c r="POZ11" s="2"/>
      <c r="PPK11" s="2"/>
      <c r="PPL11" s="2"/>
      <c r="PPM11" s="2"/>
      <c r="PPX11" s="2"/>
      <c r="PPY11" s="2"/>
      <c r="PPZ11" s="2"/>
      <c r="PQK11" s="2"/>
      <c r="PQL11" s="2"/>
      <c r="PQM11" s="2"/>
      <c r="PQX11" s="2"/>
      <c r="PQY11" s="2"/>
      <c r="PQZ11" s="2"/>
      <c r="PRK11" s="2"/>
      <c r="PRL11" s="2"/>
      <c r="PRM11" s="2"/>
      <c r="PRX11" s="2"/>
      <c r="PRY11" s="2"/>
      <c r="PRZ11" s="2"/>
      <c r="PSK11" s="2"/>
      <c r="PSL11" s="2"/>
      <c r="PSM11" s="2"/>
      <c r="PSX11" s="2"/>
      <c r="PSY11" s="2"/>
      <c r="PSZ11" s="2"/>
      <c r="PTK11" s="2"/>
      <c r="PTL11" s="2"/>
      <c r="PTM11" s="2"/>
      <c r="PTX11" s="2"/>
      <c r="PTY11" s="2"/>
      <c r="PTZ11" s="2"/>
      <c r="PUK11" s="2"/>
      <c r="PUL11" s="2"/>
      <c r="PUM11" s="2"/>
      <c r="PUX11" s="2"/>
      <c r="PUY11" s="2"/>
      <c r="PUZ11" s="2"/>
      <c r="PVK11" s="2"/>
      <c r="PVL11" s="2"/>
      <c r="PVM11" s="2"/>
      <c r="PVX11" s="2"/>
      <c r="PVY11" s="2"/>
      <c r="PVZ11" s="2"/>
      <c r="PWK11" s="2"/>
      <c r="PWL11" s="2"/>
      <c r="PWM11" s="2"/>
      <c r="PWX11" s="2"/>
      <c r="PWY11" s="2"/>
      <c r="PWZ11" s="2"/>
      <c r="PXK11" s="2"/>
      <c r="PXL11" s="2"/>
      <c r="PXM11" s="2"/>
      <c r="PXX11" s="2"/>
      <c r="PXY11" s="2"/>
      <c r="PXZ11" s="2"/>
      <c r="PYK11" s="2"/>
      <c r="PYL11" s="2"/>
      <c r="PYM11" s="2"/>
      <c r="PYX11" s="2"/>
      <c r="PYY11" s="2"/>
      <c r="PYZ11" s="2"/>
      <c r="PZK11" s="2"/>
      <c r="PZL11" s="2"/>
      <c r="PZM11" s="2"/>
      <c r="PZX11" s="2"/>
      <c r="PZY11" s="2"/>
      <c r="PZZ11" s="2"/>
      <c r="QAK11" s="2"/>
      <c r="QAL11" s="2"/>
      <c r="QAM11" s="2"/>
      <c r="QAX11" s="2"/>
      <c r="QAY11" s="2"/>
      <c r="QAZ11" s="2"/>
      <c r="QBK11" s="2"/>
      <c r="QBL11" s="2"/>
      <c r="QBM11" s="2"/>
      <c r="QBX11" s="2"/>
      <c r="QBY11" s="2"/>
      <c r="QBZ11" s="2"/>
      <c r="QCK11" s="2"/>
      <c r="QCL11" s="2"/>
      <c r="QCM11" s="2"/>
      <c r="QCX11" s="2"/>
      <c r="QCY11" s="2"/>
      <c r="QCZ11" s="2"/>
      <c r="QDK11" s="2"/>
      <c r="QDL11" s="2"/>
      <c r="QDM11" s="2"/>
      <c r="QDX11" s="2"/>
      <c r="QDY11" s="2"/>
      <c r="QDZ11" s="2"/>
      <c r="QEK11" s="2"/>
      <c r="QEL11" s="2"/>
      <c r="QEM11" s="2"/>
      <c r="QEX11" s="2"/>
      <c r="QEY11" s="2"/>
      <c r="QEZ11" s="2"/>
      <c r="QFK11" s="2"/>
      <c r="QFL11" s="2"/>
      <c r="QFM11" s="2"/>
      <c r="QFX11" s="2"/>
      <c r="QFY11" s="2"/>
      <c r="QFZ11" s="2"/>
      <c r="QGK11" s="2"/>
      <c r="QGL11" s="2"/>
      <c r="QGM11" s="2"/>
      <c r="QGX11" s="2"/>
      <c r="QGY11" s="2"/>
      <c r="QGZ11" s="2"/>
      <c r="QHK11" s="2"/>
      <c r="QHL11" s="2"/>
      <c r="QHM11" s="2"/>
      <c r="QHX11" s="2"/>
      <c r="QHY11" s="2"/>
      <c r="QHZ11" s="2"/>
      <c r="QIK11" s="2"/>
      <c r="QIL11" s="2"/>
      <c r="QIM11" s="2"/>
      <c r="QIX11" s="2"/>
      <c r="QIY11" s="2"/>
      <c r="QIZ11" s="2"/>
      <c r="QJK11" s="2"/>
      <c r="QJL11" s="2"/>
      <c r="QJM11" s="2"/>
      <c r="QJX11" s="2"/>
      <c r="QJY11" s="2"/>
      <c r="QJZ11" s="2"/>
      <c r="QKK11" s="2"/>
      <c r="QKL11" s="2"/>
      <c r="QKM11" s="2"/>
      <c r="QKX11" s="2"/>
      <c r="QKY11" s="2"/>
      <c r="QKZ11" s="2"/>
      <c r="QLK11" s="2"/>
      <c r="QLL11" s="2"/>
      <c r="QLM11" s="2"/>
      <c r="QLX11" s="2"/>
      <c r="QLY11" s="2"/>
      <c r="QLZ11" s="2"/>
      <c r="QMK11" s="2"/>
      <c r="QML11" s="2"/>
      <c r="QMM11" s="2"/>
      <c r="QMX11" s="2"/>
      <c r="QMY11" s="2"/>
      <c r="QMZ11" s="2"/>
      <c r="QNK11" s="2"/>
      <c r="QNL11" s="2"/>
      <c r="QNM11" s="2"/>
      <c r="QNX11" s="2"/>
      <c r="QNY11" s="2"/>
      <c r="QNZ11" s="2"/>
      <c r="QOK11" s="2"/>
      <c r="QOL11" s="2"/>
      <c r="QOM11" s="2"/>
      <c r="QOX11" s="2"/>
      <c r="QOY11" s="2"/>
      <c r="QOZ11" s="2"/>
      <c r="QPK11" s="2"/>
      <c r="QPL11" s="2"/>
      <c r="QPM11" s="2"/>
      <c r="QPX11" s="2"/>
      <c r="QPY11" s="2"/>
      <c r="QPZ11" s="2"/>
      <c r="QQK11" s="2"/>
      <c r="QQL11" s="2"/>
      <c r="QQM11" s="2"/>
      <c r="QQX11" s="2"/>
      <c r="QQY11" s="2"/>
      <c r="QQZ11" s="2"/>
      <c r="QRK11" s="2"/>
      <c r="QRL11" s="2"/>
      <c r="QRM11" s="2"/>
      <c r="QRX11" s="2"/>
      <c r="QRY11" s="2"/>
      <c r="QRZ11" s="2"/>
      <c r="QSK11" s="2"/>
      <c r="QSL11" s="2"/>
      <c r="QSM11" s="2"/>
      <c r="QSX11" s="2"/>
      <c r="QSY11" s="2"/>
      <c r="QSZ11" s="2"/>
      <c r="QTK11" s="2"/>
      <c r="QTL11" s="2"/>
      <c r="QTM11" s="2"/>
      <c r="QTX11" s="2"/>
      <c r="QTY11" s="2"/>
      <c r="QTZ11" s="2"/>
      <c r="QUK11" s="2"/>
      <c r="QUL11" s="2"/>
      <c r="QUM11" s="2"/>
      <c r="QUX11" s="2"/>
      <c r="QUY11" s="2"/>
      <c r="QUZ11" s="2"/>
      <c r="QVK11" s="2"/>
      <c r="QVL11" s="2"/>
      <c r="QVM11" s="2"/>
      <c r="QVX11" s="2"/>
      <c r="QVY11" s="2"/>
      <c r="QVZ11" s="2"/>
      <c r="QWK11" s="2"/>
      <c r="QWL11" s="2"/>
      <c r="QWM11" s="2"/>
      <c r="QWX11" s="2"/>
      <c r="QWY11" s="2"/>
      <c r="QWZ11" s="2"/>
      <c r="QXK11" s="2"/>
      <c r="QXL11" s="2"/>
      <c r="QXM11" s="2"/>
      <c r="QXX11" s="2"/>
      <c r="QXY11" s="2"/>
      <c r="QXZ11" s="2"/>
      <c r="QYK11" s="2"/>
      <c r="QYL11" s="2"/>
      <c r="QYM11" s="2"/>
      <c r="QYX11" s="2"/>
      <c r="QYY11" s="2"/>
      <c r="QYZ11" s="2"/>
      <c r="QZK11" s="2"/>
      <c r="QZL11" s="2"/>
      <c r="QZM11" s="2"/>
      <c r="QZX11" s="2"/>
      <c r="QZY11" s="2"/>
      <c r="QZZ11" s="2"/>
      <c r="RAK11" s="2"/>
      <c r="RAL11" s="2"/>
      <c r="RAM11" s="2"/>
      <c r="RAX11" s="2"/>
      <c r="RAY11" s="2"/>
      <c r="RAZ11" s="2"/>
      <c r="RBK11" s="2"/>
      <c r="RBL11" s="2"/>
      <c r="RBM11" s="2"/>
      <c r="RBX11" s="2"/>
      <c r="RBY11" s="2"/>
      <c r="RBZ11" s="2"/>
      <c r="RCK11" s="2"/>
      <c r="RCL11" s="2"/>
      <c r="RCM11" s="2"/>
      <c r="RCX11" s="2"/>
      <c r="RCY11" s="2"/>
      <c r="RCZ11" s="2"/>
      <c r="RDK11" s="2"/>
      <c r="RDL11" s="2"/>
      <c r="RDM11" s="2"/>
      <c r="RDX11" s="2"/>
      <c r="RDY11" s="2"/>
      <c r="RDZ11" s="2"/>
      <c r="REK11" s="2"/>
      <c r="REL11" s="2"/>
      <c r="REM11" s="2"/>
      <c r="REX11" s="2"/>
      <c r="REY11" s="2"/>
      <c r="REZ11" s="2"/>
      <c r="RFK11" s="2"/>
      <c r="RFL11" s="2"/>
      <c r="RFM11" s="2"/>
      <c r="RFX11" s="2"/>
      <c r="RFY11" s="2"/>
      <c r="RFZ11" s="2"/>
      <c r="RGK11" s="2"/>
      <c r="RGL11" s="2"/>
      <c r="RGM11" s="2"/>
      <c r="RGX11" s="2"/>
      <c r="RGY11" s="2"/>
      <c r="RGZ11" s="2"/>
      <c r="RHK11" s="2"/>
      <c r="RHL11" s="2"/>
      <c r="RHM11" s="2"/>
      <c r="RHX11" s="2"/>
      <c r="RHY11" s="2"/>
      <c r="RHZ11" s="2"/>
      <c r="RIK11" s="2"/>
      <c r="RIL11" s="2"/>
      <c r="RIM11" s="2"/>
      <c r="RIX11" s="2"/>
      <c r="RIY11" s="2"/>
      <c r="RIZ11" s="2"/>
      <c r="RJK11" s="2"/>
      <c r="RJL11" s="2"/>
      <c r="RJM11" s="2"/>
      <c r="RJX11" s="2"/>
      <c r="RJY11" s="2"/>
      <c r="RJZ11" s="2"/>
      <c r="RKK11" s="2"/>
      <c r="RKL11" s="2"/>
      <c r="RKM11" s="2"/>
      <c r="RKX11" s="2"/>
      <c r="RKY11" s="2"/>
      <c r="RKZ11" s="2"/>
      <c r="RLK11" s="2"/>
      <c r="RLL11" s="2"/>
      <c r="RLM11" s="2"/>
      <c r="RLX11" s="2"/>
      <c r="RLY11" s="2"/>
      <c r="RLZ11" s="2"/>
      <c r="RMK11" s="2"/>
      <c r="RML11" s="2"/>
      <c r="RMM11" s="2"/>
      <c r="RMX11" s="2"/>
      <c r="RMY11" s="2"/>
      <c r="RMZ11" s="2"/>
      <c r="RNK11" s="2"/>
      <c r="RNL11" s="2"/>
      <c r="RNM11" s="2"/>
      <c r="RNX11" s="2"/>
      <c r="RNY11" s="2"/>
      <c r="RNZ11" s="2"/>
      <c r="ROK11" s="2"/>
      <c r="ROL11" s="2"/>
      <c r="ROM11" s="2"/>
      <c r="ROX11" s="2"/>
      <c r="ROY11" s="2"/>
      <c r="ROZ11" s="2"/>
      <c r="RPK11" s="2"/>
      <c r="RPL11" s="2"/>
      <c r="RPM11" s="2"/>
      <c r="RPX11" s="2"/>
      <c r="RPY11" s="2"/>
      <c r="RPZ11" s="2"/>
      <c r="RQK11" s="2"/>
      <c r="RQL11" s="2"/>
      <c r="RQM11" s="2"/>
      <c r="RQX11" s="2"/>
      <c r="RQY11" s="2"/>
      <c r="RQZ11" s="2"/>
      <c r="RRK11" s="2"/>
      <c r="RRL11" s="2"/>
      <c r="RRM11" s="2"/>
      <c r="RRX11" s="2"/>
      <c r="RRY11" s="2"/>
      <c r="RRZ11" s="2"/>
      <c r="RSK11" s="2"/>
      <c r="RSL11" s="2"/>
      <c r="RSM11" s="2"/>
      <c r="RSX11" s="2"/>
      <c r="RSY11" s="2"/>
      <c r="RSZ11" s="2"/>
      <c r="RTK11" s="2"/>
      <c r="RTL11" s="2"/>
      <c r="RTM11" s="2"/>
      <c r="RTX11" s="2"/>
      <c r="RTY11" s="2"/>
      <c r="RTZ11" s="2"/>
      <c r="RUK11" s="2"/>
      <c r="RUL11" s="2"/>
      <c r="RUM11" s="2"/>
      <c r="RUX11" s="2"/>
      <c r="RUY11" s="2"/>
      <c r="RUZ11" s="2"/>
      <c r="RVK11" s="2"/>
      <c r="RVL11" s="2"/>
      <c r="RVM11" s="2"/>
      <c r="RVX11" s="2"/>
      <c r="RVY11" s="2"/>
      <c r="RVZ11" s="2"/>
      <c r="RWK11" s="2"/>
      <c r="RWL11" s="2"/>
      <c r="RWM11" s="2"/>
      <c r="RWX11" s="2"/>
      <c r="RWY11" s="2"/>
      <c r="RWZ11" s="2"/>
      <c r="RXK11" s="2"/>
      <c r="RXL11" s="2"/>
      <c r="RXM11" s="2"/>
      <c r="RXX11" s="2"/>
      <c r="RXY11" s="2"/>
      <c r="RXZ11" s="2"/>
      <c r="RYK11" s="2"/>
      <c r="RYL11" s="2"/>
      <c r="RYM11" s="2"/>
      <c r="RYX11" s="2"/>
      <c r="RYY11" s="2"/>
      <c r="RYZ11" s="2"/>
      <c r="RZK11" s="2"/>
      <c r="RZL11" s="2"/>
      <c r="RZM11" s="2"/>
      <c r="RZX11" s="2"/>
      <c r="RZY11" s="2"/>
      <c r="RZZ11" s="2"/>
      <c r="SAK11" s="2"/>
      <c r="SAL11" s="2"/>
      <c r="SAM11" s="2"/>
      <c r="SAX11" s="2"/>
      <c r="SAY11" s="2"/>
      <c r="SAZ11" s="2"/>
      <c r="SBK11" s="2"/>
      <c r="SBL11" s="2"/>
      <c r="SBM11" s="2"/>
      <c r="SBX11" s="2"/>
      <c r="SBY11" s="2"/>
      <c r="SBZ11" s="2"/>
      <c r="SCK11" s="2"/>
      <c r="SCL11" s="2"/>
      <c r="SCM11" s="2"/>
      <c r="SCX11" s="2"/>
      <c r="SCY11" s="2"/>
      <c r="SCZ11" s="2"/>
      <c r="SDK11" s="2"/>
      <c r="SDL11" s="2"/>
      <c r="SDM11" s="2"/>
      <c r="SDX11" s="2"/>
      <c r="SDY11" s="2"/>
      <c r="SDZ11" s="2"/>
      <c r="SEK11" s="2"/>
      <c r="SEL11" s="2"/>
      <c r="SEM11" s="2"/>
      <c r="SEX11" s="2"/>
      <c r="SEY11" s="2"/>
      <c r="SEZ11" s="2"/>
      <c r="SFK11" s="2"/>
      <c r="SFL11" s="2"/>
      <c r="SFM11" s="2"/>
      <c r="SFX11" s="2"/>
      <c r="SFY11" s="2"/>
      <c r="SFZ11" s="2"/>
      <c r="SGK11" s="2"/>
      <c r="SGL11" s="2"/>
      <c r="SGM11" s="2"/>
      <c r="SGX11" s="2"/>
      <c r="SGY11" s="2"/>
      <c r="SGZ11" s="2"/>
      <c r="SHK11" s="2"/>
      <c r="SHL11" s="2"/>
      <c r="SHM11" s="2"/>
      <c r="SHX11" s="2"/>
      <c r="SHY11" s="2"/>
      <c r="SHZ11" s="2"/>
      <c r="SIK11" s="2"/>
      <c r="SIL11" s="2"/>
      <c r="SIM11" s="2"/>
      <c r="SIX11" s="2"/>
      <c r="SIY11" s="2"/>
      <c r="SIZ11" s="2"/>
      <c r="SJK11" s="2"/>
      <c r="SJL11" s="2"/>
      <c r="SJM11" s="2"/>
      <c r="SJX11" s="2"/>
      <c r="SJY11" s="2"/>
      <c r="SJZ11" s="2"/>
      <c r="SKK11" s="2"/>
      <c r="SKL11" s="2"/>
      <c r="SKM11" s="2"/>
      <c r="SKX11" s="2"/>
      <c r="SKY11" s="2"/>
      <c r="SKZ11" s="2"/>
      <c r="SLK11" s="2"/>
      <c r="SLL11" s="2"/>
      <c r="SLM11" s="2"/>
      <c r="SLX11" s="2"/>
      <c r="SLY11" s="2"/>
      <c r="SLZ11" s="2"/>
      <c r="SMK11" s="2"/>
      <c r="SML11" s="2"/>
      <c r="SMM11" s="2"/>
      <c r="SMX11" s="2"/>
      <c r="SMY11" s="2"/>
      <c r="SMZ11" s="2"/>
      <c r="SNK11" s="2"/>
      <c r="SNL11" s="2"/>
      <c r="SNM11" s="2"/>
      <c r="SNX11" s="2"/>
      <c r="SNY11" s="2"/>
      <c r="SNZ11" s="2"/>
      <c r="SOK11" s="2"/>
      <c r="SOL11" s="2"/>
      <c r="SOM11" s="2"/>
      <c r="SOX11" s="2"/>
      <c r="SOY11" s="2"/>
      <c r="SOZ11" s="2"/>
      <c r="SPK11" s="2"/>
      <c r="SPL11" s="2"/>
      <c r="SPM11" s="2"/>
      <c r="SPX11" s="2"/>
      <c r="SPY11" s="2"/>
      <c r="SPZ11" s="2"/>
      <c r="SQK11" s="2"/>
      <c r="SQL11" s="2"/>
      <c r="SQM11" s="2"/>
      <c r="SQX11" s="2"/>
      <c r="SQY11" s="2"/>
      <c r="SQZ11" s="2"/>
      <c r="SRK11" s="2"/>
      <c r="SRL11" s="2"/>
      <c r="SRM11" s="2"/>
      <c r="SRX11" s="2"/>
      <c r="SRY11" s="2"/>
      <c r="SRZ11" s="2"/>
      <c r="SSK11" s="2"/>
      <c r="SSL11" s="2"/>
      <c r="SSM11" s="2"/>
      <c r="SSX11" s="2"/>
      <c r="SSY11" s="2"/>
      <c r="SSZ11" s="2"/>
      <c r="STK11" s="2"/>
      <c r="STL11" s="2"/>
      <c r="STM11" s="2"/>
      <c r="STX11" s="2"/>
      <c r="STY11" s="2"/>
      <c r="STZ11" s="2"/>
      <c r="SUK11" s="2"/>
      <c r="SUL11" s="2"/>
      <c r="SUM11" s="2"/>
      <c r="SUX11" s="2"/>
      <c r="SUY11" s="2"/>
      <c r="SUZ11" s="2"/>
      <c r="SVK11" s="2"/>
      <c r="SVL11" s="2"/>
      <c r="SVM11" s="2"/>
      <c r="SVX11" s="2"/>
      <c r="SVY11" s="2"/>
      <c r="SVZ11" s="2"/>
      <c r="SWK11" s="2"/>
      <c r="SWL11" s="2"/>
      <c r="SWM11" s="2"/>
      <c r="SWX11" s="2"/>
      <c r="SWY11" s="2"/>
      <c r="SWZ11" s="2"/>
      <c r="SXK11" s="2"/>
      <c r="SXL11" s="2"/>
      <c r="SXM11" s="2"/>
      <c r="SXX11" s="2"/>
      <c r="SXY11" s="2"/>
      <c r="SXZ11" s="2"/>
      <c r="SYK11" s="2"/>
      <c r="SYL11" s="2"/>
      <c r="SYM11" s="2"/>
      <c r="SYX11" s="2"/>
      <c r="SYY11" s="2"/>
      <c r="SYZ11" s="2"/>
      <c r="SZK11" s="2"/>
      <c r="SZL11" s="2"/>
      <c r="SZM11" s="2"/>
      <c r="SZX11" s="2"/>
      <c r="SZY11" s="2"/>
      <c r="SZZ11" s="2"/>
      <c r="TAK11" s="2"/>
      <c r="TAL11" s="2"/>
      <c r="TAM11" s="2"/>
      <c r="TAX11" s="2"/>
      <c r="TAY11" s="2"/>
      <c r="TAZ11" s="2"/>
      <c r="TBK11" s="2"/>
      <c r="TBL11" s="2"/>
      <c r="TBM11" s="2"/>
      <c r="TBX11" s="2"/>
      <c r="TBY11" s="2"/>
      <c r="TBZ11" s="2"/>
      <c r="TCK11" s="2"/>
      <c r="TCL11" s="2"/>
      <c r="TCM11" s="2"/>
      <c r="TCX11" s="2"/>
      <c r="TCY11" s="2"/>
      <c r="TCZ11" s="2"/>
      <c r="TDK11" s="2"/>
      <c r="TDL11" s="2"/>
      <c r="TDM11" s="2"/>
      <c r="TDX11" s="2"/>
      <c r="TDY11" s="2"/>
      <c r="TDZ11" s="2"/>
      <c r="TEK11" s="2"/>
      <c r="TEL11" s="2"/>
      <c r="TEM11" s="2"/>
      <c r="TEX11" s="2"/>
      <c r="TEY11" s="2"/>
      <c r="TEZ11" s="2"/>
      <c r="TFK11" s="2"/>
      <c r="TFL11" s="2"/>
      <c r="TFM11" s="2"/>
      <c r="TFX11" s="2"/>
      <c r="TFY11" s="2"/>
      <c r="TFZ11" s="2"/>
      <c r="TGK11" s="2"/>
      <c r="TGL11" s="2"/>
      <c r="TGM11" s="2"/>
      <c r="TGX11" s="2"/>
      <c r="TGY11" s="2"/>
      <c r="TGZ11" s="2"/>
      <c r="THK11" s="2"/>
      <c r="THL11" s="2"/>
      <c r="THM11" s="2"/>
      <c r="THX11" s="2"/>
      <c r="THY11" s="2"/>
      <c r="THZ11" s="2"/>
      <c r="TIK11" s="2"/>
      <c r="TIL11" s="2"/>
      <c r="TIM11" s="2"/>
      <c r="TIX11" s="2"/>
      <c r="TIY11" s="2"/>
      <c r="TIZ11" s="2"/>
      <c r="TJK11" s="2"/>
      <c r="TJL11" s="2"/>
      <c r="TJM11" s="2"/>
      <c r="TJX11" s="2"/>
      <c r="TJY11" s="2"/>
      <c r="TJZ11" s="2"/>
      <c r="TKK11" s="2"/>
      <c r="TKL11" s="2"/>
      <c r="TKM11" s="2"/>
      <c r="TKX11" s="2"/>
      <c r="TKY11" s="2"/>
      <c r="TKZ11" s="2"/>
      <c r="TLK11" s="2"/>
      <c r="TLL11" s="2"/>
      <c r="TLM11" s="2"/>
      <c r="TLX11" s="2"/>
      <c r="TLY11" s="2"/>
      <c r="TLZ11" s="2"/>
      <c r="TMK11" s="2"/>
      <c r="TML11" s="2"/>
      <c r="TMM11" s="2"/>
      <c r="TMX11" s="2"/>
      <c r="TMY11" s="2"/>
      <c r="TMZ11" s="2"/>
      <c r="TNK11" s="2"/>
      <c r="TNL11" s="2"/>
      <c r="TNM11" s="2"/>
      <c r="TNX11" s="2"/>
      <c r="TNY11" s="2"/>
      <c r="TNZ11" s="2"/>
      <c r="TOK11" s="2"/>
      <c r="TOL11" s="2"/>
      <c r="TOM11" s="2"/>
      <c r="TOX11" s="2"/>
      <c r="TOY11" s="2"/>
      <c r="TOZ11" s="2"/>
      <c r="TPK11" s="2"/>
      <c r="TPL11" s="2"/>
      <c r="TPM11" s="2"/>
      <c r="TPX11" s="2"/>
      <c r="TPY11" s="2"/>
      <c r="TPZ11" s="2"/>
      <c r="TQK11" s="2"/>
      <c r="TQL11" s="2"/>
      <c r="TQM11" s="2"/>
      <c r="TQX11" s="2"/>
      <c r="TQY11" s="2"/>
      <c r="TQZ11" s="2"/>
      <c r="TRK11" s="2"/>
      <c r="TRL11" s="2"/>
      <c r="TRM11" s="2"/>
      <c r="TRX11" s="2"/>
      <c r="TRY11" s="2"/>
      <c r="TRZ11" s="2"/>
      <c r="TSK11" s="2"/>
      <c r="TSL11" s="2"/>
      <c r="TSM11" s="2"/>
      <c r="TSX11" s="2"/>
      <c r="TSY11" s="2"/>
      <c r="TSZ11" s="2"/>
      <c r="TTK11" s="2"/>
      <c r="TTL11" s="2"/>
      <c r="TTM11" s="2"/>
      <c r="TTX11" s="2"/>
      <c r="TTY11" s="2"/>
      <c r="TTZ11" s="2"/>
      <c r="TUK11" s="2"/>
      <c r="TUL11" s="2"/>
      <c r="TUM11" s="2"/>
      <c r="TUX11" s="2"/>
      <c r="TUY11" s="2"/>
      <c r="TUZ11" s="2"/>
      <c r="TVK11" s="2"/>
      <c r="TVL11" s="2"/>
      <c r="TVM11" s="2"/>
      <c r="TVX11" s="2"/>
      <c r="TVY11" s="2"/>
      <c r="TVZ11" s="2"/>
      <c r="TWK11" s="2"/>
      <c r="TWL11" s="2"/>
      <c r="TWM11" s="2"/>
      <c r="TWX11" s="2"/>
      <c r="TWY11" s="2"/>
      <c r="TWZ11" s="2"/>
      <c r="TXK11" s="2"/>
      <c r="TXL11" s="2"/>
      <c r="TXM11" s="2"/>
      <c r="TXX11" s="2"/>
      <c r="TXY11" s="2"/>
      <c r="TXZ11" s="2"/>
      <c r="TYK11" s="2"/>
      <c r="TYL11" s="2"/>
      <c r="TYM11" s="2"/>
      <c r="TYX11" s="2"/>
      <c r="TYY11" s="2"/>
      <c r="TYZ11" s="2"/>
      <c r="TZK11" s="2"/>
      <c r="TZL11" s="2"/>
      <c r="TZM11" s="2"/>
      <c r="TZX11" s="2"/>
      <c r="TZY11" s="2"/>
      <c r="TZZ11" s="2"/>
      <c r="UAK11" s="2"/>
      <c r="UAL11" s="2"/>
      <c r="UAM11" s="2"/>
      <c r="UAX11" s="2"/>
      <c r="UAY11" s="2"/>
      <c r="UAZ11" s="2"/>
      <c r="UBK11" s="2"/>
      <c r="UBL11" s="2"/>
      <c r="UBM11" s="2"/>
      <c r="UBX11" s="2"/>
      <c r="UBY11" s="2"/>
      <c r="UBZ11" s="2"/>
      <c r="UCK11" s="2"/>
      <c r="UCL11" s="2"/>
      <c r="UCM11" s="2"/>
      <c r="UCX11" s="2"/>
      <c r="UCY11" s="2"/>
      <c r="UCZ11" s="2"/>
      <c r="UDK11" s="2"/>
      <c r="UDL11" s="2"/>
      <c r="UDM11" s="2"/>
      <c r="UDX11" s="2"/>
      <c r="UDY11" s="2"/>
      <c r="UDZ11" s="2"/>
      <c r="UEK11" s="2"/>
      <c r="UEL11" s="2"/>
      <c r="UEM11" s="2"/>
      <c r="UEX11" s="2"/>
      <c r="UEY11" s="2"/>
      <c r="UEZ11" s="2"/>
      <c r="UFK11" s="2"/>
      <c r="UFL11" s="2"/>
      <c r="UFM11" s="2"/>
      <c r="UFX11" s="2"/>
      <c r="UFY11" s="2"/>
      <c r="UFZ11" s="2"/>
      <c r="UGK11" s="2"/>
      <c r="UGL11" s="2"/>
      <c r="UGM11" s="2"/>
      <c r="UGX11" s="2"/>
      <c r="UGY11" s="2"/>
      <c r="UGZ11" s="2"/>
      <c r="UHK11" s="2"/>
      <c r="UHL11" s="2"/>
      <c r="UHM11" s="2"/>
      <c r="UHX11" s="2"/>
      <c r="UHY11" s="2"/>
      <c r="UHZ11" s="2"/>
      <c r="UIK11" s="2"/>
      <c r="UIL11" s="2"/>
      <c r="UIM11" s="2"/>
      <c r="UIX11" s="2"/>
      <c r="UIY11" s="2"/>
      <c r="UIZ11" s="2"/>
      <c r="UJK11" s="2"/>
      <c r="UJL11" s="2"/>
      <c r="UJM11" s="2"/>
      <c r="UJX11" s="2"/>
      <c r="UJY11" s="2"/>
      <c r="UJZ11" s="2"/>
      <c r="UKK11" s="2"/>
      <c r="UKL11" s="2"/>
      <c r="UKM11" s="2"/>
      <c r="UKX11" s="2"/>
      <c r="UKY11" s="2"/>
      <c r="UKZ11" s="2"/>
      <c r="ULK11" s="2"/>
      <c r="ULL11" s="2"/>
      <c r="ULM11" s="2"/>
      <c r="ULX11" s="2"/>
      <c r="ULY11" s="2"/>
      <c r="ULZ11" s="2"/>
      <c r="UMK11" s="2"/>
      <c r="UML11" s="2"/>
      <c r="UMM11" s="2"/>
      <c r="UMX11" s="2"/>
      <c r="UMY11" s="2"/>
      <c r="UMZ11" s="2"/>
      <c r="UNK11" s="2"/>
      <c r="UNL11" s="2"/>
      <c r="UNM11" s="2"/>
      <c r="UNX11" s="2"/>
      <c r="UNY11" s="2"/>
      <c r="UNZ11" s="2"/>
      <c r="UOK11" s="2"/>
      <c r="UOL11" s="2"/>
      <c r="UOM11" s="2"/>
      <c r="UOX11" s="2"/>
      <c r="UOY11" s="2"/>
      <c r="UOZ11" s="2"/>
      <c r="UPK11" s="2"/>
      <c r="UPL11" s="2"/>
      <c r="UPM11" s="2"/>
      <c r="UPX11" s="2"/>
      <c r="UPY11" s="2"/>
      <c r="UPZ11" s="2"/>
      <c r="UQK11" s="2"/>
      <c r="UQL11" s="2"/>
      <c r="UQM11" s="2"/>
      <c r="UQX11" s="2"/>
      <c r="UQY11" s="2"/>
      <c r="UQZ11" s="2"/>
      <c r="URK11" s="2"/>
      <c r="URL11" s="2"/>
      <c r="URM11" s="2"/>
      <c r="URX11" s="2"/>
      <c r="URY11" s="2"/>
      <c r="URZ11" s="2"/>
      <c r="USK11" s="2"/>
      <c r="USL11" s="2"/>
      <c r="USM11" s="2"/>
      <c r="USX11" s="2"/>
      <c r="USY11" s="2"/>
      <c r="USZ11" s="2"/>
      <c r="UTK11" s="2"/>
      <c r="UTL11" s="2"/>
      <c r="UTM11" s="2"/>
      <c r="UTX11" s="2"/>
      <c r="UTY11" s="2"/>
      <c r="UTZ11" s="2"/>
      <c r="UUK11" s="2"/>
      <c r="UUL11" s="2"/>
      <c r="UUM11" s="2"/>
      <c r="UUX11" s="2"/>
      <c r="UUY11" s="2"/>
      <c r="UUZ11" s="2"/>
      <c r="UVK11" s="2"/>
      <c r="UVL11" s="2"/>
      <c r="UVM11" s="2"/>
      <c r="UVX11" s="2"/>
      <c r="UVY11" s="2"/>
      <c r="UVZ11" s="2"/>
      <c r="UWK11" s="2"/>
      <c r="UWL11" s="2"/>
      <c r="UWM11" s="2"/>
      <c r="UWX11" s="2"/>
      <c r="UWY11" s="2"/>
      <c r="UWZ11" s="2"/>
      <c r="UXK11" s="2"/>
      <c r="UXL11" s="2"/>
      <c r="UXM11" s="2"/>
      <c r="UXX11" s="2"/>
      <c r="UXY11" s="2"/>
      <c r="UXZ11" s="2"/>
      <c r="UYK11" s="2"/>
      <c r="UYL11" s="2"/>
      <c r="UYM11" s="2"/>
      <c r="UYX11" s="2"/>
      <c r="UYY11" s="2"/>
      <c r="UYZ11" s="2"/>
      <c r="UZK11" s="2"/>
      <c r="UZL11" s="2"/>
      <c r="UZM11" s="2"/>
      <c r="UZX11" s="2"/>
      <c r="UZY11" s="2"/>
      <c r="UZZ11" s="2"/>
      <c r="VAK11" s="2"/>
      <c r="VAL11" s="2"/>
      <c r="VAM11" s="2"/>
      <c r="VAX11" s="2"/>
      <c r="VAY11" s="2"/>
      <c r="VAZ11" s="2"/>
      <c r="VBK11" s="2"/>
      <c r="VBL11" s="2"/>
      <c r="VBM11" s="2"/>
      <c r="VBX11" s="2"/>
      <c r="VBY11" s="2"/>
      <c r="VBZ11" s="2"/>
      <c r="VCK11" s="2"/>
      <c r="VCL11" s="2"/>
      <c r="VCM11" s="2"/>
      <c r="VCX11" s="2"/>
      <c r="VCY11" s="2"/>
      <c r="VCZ11" s="2"/>
      <c r="VDK11" s="2"/>
      <c r="VDL11" s="2"/>
      <c r="VDM11" s="2"/>
      <c r="VDX11" s="2"/>
      <c r="VDY11" s="2"/>
      <c r="VDZ11" s="2"/>
      <c r="VEK11" s="2"/>
      <c r="VEL11" s="2"/>
      <c r="VEM11" s="2"/>
      <c r="VEX11" s="2"/>
      <c r="VEY11" s="2"/>
      <c r="VEZ11" s="2"/>
      <c r="VFK11" s="2"/>
      <c r="VFL11" s="2"/>
      <c r="VFM11" s="2"/>
      <c r="VFX11" s="2"/>
      <c r="VFY11" s="2"/>
      <c r="VFZ11" s="2"/>
      <c r="VGK11" s="2"/>
      <c r="VGL11" s="2"/>
      <c r="VGM11" s="2"/>
      <c r="VGX11" s="2"/>
      <c r="VGY11" s="2"/>
      <c r="VGZ11" s="2"/>
      <c r="VHK11" s="2"/>
      <c r="VHL11" s="2"/>
      <c r="VHM11" s="2"/>
      <c r="VHX11" s="2"/>
      <c r="VHY11" s="2"/>
      <c r="VHZ11" s="2"/>
      <c r="VIK11" s="2"/>
      <c r="VIL11" s="2"/>
      <c r="VIM11" s="2"/>
      <c r="VIX11" s="2"/>
      <c r="VIY11" s="2"/>
      <c r="VIZ11" s="2"/>
      <c r="VJK11" s="2"/>
      <c r="VJL11" s="2"/>
      <c r="VJM11" s="2"/>
      <c r="VJX11" s="2"/>
      <c r="VJY11" s="2"/>
      <c r="VJZ11" s="2"/>
      <c r="VKK11" s="2"/>
      <c r="VKL11" s="2"/>
      <c r="VKM11" s="2"/>
      <c r="VKX11" s="2"/>
      <c r="VKY11" s="2"/>
      <c r="VKZ11" s="2"/>
      <c r="VLK11" s="2"/>
      <c r="VLL11" s="2"/>
      <c r="VLM11" s="2"/>
      <c r="VLX11" s="2"/>
      <c r="VLY11" s="2"/>
      <c r="VLZ11" s="2"/>
      <c r="VMK11" s="2"/>
      <c r="VML11" s="2"/>
      <c r="VMM11" s="2"/>
      <c r="VMX11" s="2"/>
      <c r="VMY11" s="2"/>
      <c r="VMZ11" s="2"/>
      <c r="VNK11" s="2"/>
      <c r="VNL11" s="2"/>
      <c r="VNM11" s="2"/>
      <c r="VNX11" s="2"/>
      <c r="VNY11" s="2"/>
      <c r="VNZ11" s="2"/>
      <c r="VOK11" s="2"/>
      <c r="VOL11" s="2"/>
      <c r="VOM11" s="2"/>
      <c r="VOX11" s="2"/>
      <c r="VOY11" s="2"/>
      <c r="VOZ11" s="2"/>
      <c r="VPK11" s="2"/>
      <c r="VPL11" s="2"/>
      <c r="VPM11" s="2"/>
      <c r="VPX11" s="2"/>
      <c r="VPY11" s="2"/>
      <c r="VPZ11" s="2"/>
      <c r="VQK11" s="2"/>
      <c r="VQL11" s="2"/>
      <c r="VQM11" s="2"/>
      <c r="VQX11" s="2"/>
      <c r="VQY11" s="2"/>
      <c r="VQZ11" s="2"/>
      <c r="VRK11" s="2"/>
      <c r="VRL11" s="2"/>
      <c r="VRM11" s="2"/>
      <c r="VRX11" s="2"/>
      <c r="VRY11" s="2"/>
      <c r="VRZ11" s="2"/>
      <c r="VSK11" s="2"/>
      <c r="VSL11" s="2"/>
      <c r="VSM11" s="2"/>
      <c r="VSX11" s="2"/>
      <c r="VSY11" s="2"/>
      <c r="VSZ11" s="2"/>
      <c r="VTK11" s="2"/>
      <c r="VTL11" s="2"/>
      <c r="VTM11" s="2"/>
      <c r="VTX11" s="2"/>
      <c r="VTY11" s="2"/>
      <c r="VTZ11" s="2"/>
      <c r="VUK11" s="2"/>
      <c r="VUL11" s="2"/>
      <c r="VUM11" s="2"/>
      <c r="VUX11" s="2"/>
      <c r="VUY11" s="2"/>
      <c r="VUZ11" s="2"/>
      <c r="VVK11" s="2"/>
      <c r="VVL11" s="2"/>
      <c r="VVM11" s="2"/>
      <c r="VVX11" s="2"/>
      <c r="VVY11" s="2"/>
      <c r="VVZ11" s="2"/>
      <c r="VWK11" s="2"/>
      <c r="VWL11" s="2"/>
      <c r="VWM11" s="2"/>
      <c r="VWX11" s="2"/>
      <c r="VWY11" s="2"/>
      <c r="VWZ11" s="2"/>
      <c r="VXK11" s="2"/>
      <c r="VXL11" s="2"/>
      <c r="VXM11" s="2"/>
      <c r="VXX11" s="2"/>
      <c r="VXY11" s="2"/>
      <c r="VXZ11" s="2"/>
      <c r="VYK11" s="2"/>
      <c r="VYL11" s="2"/>
      <c r="VYM11" s="2"/>
      <c r="VYX11" s="2"/>
      <c r="VYY11" s="2"/>
      <c r="VYZ11" s="2"/>
      <c r="VZK11" s="2"/>
      <c r="VZL11" s="2"/>
      <c r="VZM11" s="2"/>
      <c r="VZX11" s="2"/>
      <c r="VZY11" s="2"/>
      <c r="VZZ11" s="2"/>
      <c r="WAK11" s="2"/>
      <c r="WAL11" s="2"/>
      <c r="WAM11" s="2"/>
      <c r="WAX11" s="2"/>
      <c r="WAY11" s="2"/>
      <c r="WAZ11" s="2"/>
      <c r="WBK11" s="2"/>
      <c r="WBL11" s="2"/>
      <c r="WBM11" s="2"/>
      <c r="WBX11" s="2"/>
      <c r="WBY11" s="2"/>
      <c r="WBZ11" s="2"/>
      <c r="WCK11" s="2"/>
      <c r="WCL11" s="2"/>
      <c r="WCM11" s="2"/>
      <c r="WCX11" s="2"/>
      <c r="WCY11" s="2"/>
      <c r="WCZ11" s="2"/>
      <c r="WDK11" s="2"/>
      <c r="WDL11" s="2"/>
      <c r="WDM11" s="2"/>
      <c r="WDX11" s="2"/>
      <c r="WDY11" s="2"/>
      <c r="WDZ11" s="2"/>
      <c r="WEK11" s="2"/>
      <c r="WEL11" s="2"/>
      <c r="WEM11" s="2"/>
      <c r="WEX11" s="2"/>
      <c r="WEY11" s="2"/>
      <c r="WEZ11" s="2"/>
      <c r="WFK11" s="2"/>
      <c r="WFL11" s="2"/>
      <c r="WFM11" s="2"/>
      <c r="WFX11" s="2"/>
      <c r="WFY11" s="2"/>
      <c r="WFZ11" s="2"/>
      <c r="WGK11" s="2"/>
      <c r="WGL11" s="2"/>
      <c r="WGM11" s="2"/>
      <c r="WGX11" s="2"/>
      <c r="WGY11" s="2"/>
      <c r="WGZ11" s="2"/>
      <c r="WHK11" s="2"/>
      <c r="WHL11" s="2"/>
      <c r="WHM11" s="2"/>
      <c r="WHX11" s="2"/>
      <c r="WHY11" s="2"/>
      <c r="WHZ11" s="2"/>
      <c r="WIK11" s="2"/>
      <c r="WIL11" s="2"/>
      <c r="WIM11" s="2"/>
      <c r="WIX11" s="2"/>
      <c r="WIY11" s="2"/>
      <c r="WIZ11" s="2"/>
      <c r="WJK11" s="2"/>
      <c r="WJL11" s="2"/>
      <c r="WJM11" s="2"/>
      <c r="WJX11" s="2"/>
      <c r="WJY11" s="2"/>
      <c r="WJZ11" s="2"/>
      <c r="WKK11" s="2"/>
      <c r="WKL11" s="2"/>
      <c r="WKM11" s="2"/>
      <c r="WKX11" s="2"/>
      <c r="WKY11" s="2"/>
      <c r="WKZ11" s="2"/>
      <c r="WLK11" s="2"/>
      <c r="WLL11" s="2"/>
      <c r="WLM11" s="2"/>
      <c r="WLX11" s="2"/>
      <c r="WLY11" s="2"/>
      <c r="WLZ11" s="2"/>
      <c r="WMK11" s="2"/>
      <c r="WML11" s="2"/>
      <c r="WMM11" s="2"/>
      <c r="WMX11" s="2"/>
      <c r="WMY11" s="2"/>
      <c r="WMZ11" s="2"/>
      <c r="WNK11" s="2"/>
      <c r="WNL11" s="2"/>
      <c r="WNM11" s="2"/>
      <c r="WNX11" s="2"/>
      <c r="WNY11" s="2"/>
      <c r="WNZ11" s="2"/>
      <c r="WOK11" s="2"/>
      <c r="WOL11" s="2"/>
      <c r="WOM11" s="2"/>
      <c r="WOX11" s="2"/>
      <c r="WOY11" s="2"/>
      <c r="WOZ11" s="2"/>
      <c r="WPK11" s="2"/>
      <c r="WPL11" s="2"/>
      <c r="WPM11" s="2"/>
      <c r="WPX11" s="2"/>
      <c r="WPY11" s="2"/>
      <c r="WPZ11" s="2"/>
      <c r="WQK11" s="2"/>
      <c r="WQL11" s="2"/>
      <c r="WQM11" s="2"/>
      <c r="WQX11" s="2"/>
      <c r="WQY11" s="2"/>
      <c r="WQZ11" s="2"/>
      <c r="WRK11" s="2"/>
      <c r="WRL11" s="2"/>
      <c r="WRM11" s="2"/>
      <c r="WRX11" s="2"/>
      <c r="WRY11" s="2"/>
      <c r="WRZ11" s="2"/>
      <c r="WSK11" s="2"/>
      <c r="WSL11" s="2"/>
      <c r="WSM11" s="2"/>
      <c r="WSX11" s="2"/>
      <c r="WSY11" s="2"/>
      <c r="WSZ11" s="2"/>
      <c r="WTK11" s="2"/>
      <c r="WTL11" s="2"/>
      <c r="WTM11" s="2"/>
      <c r="WTX11" s="2"/>
      <c r="WTY11" s="2"/>
      <c r="WTZ11" s="2"/>
      <c r="WUK11" s="2"/>
      <c r="WUL11" s="2"/>
      <c r="WUM11" s="2"/>
      <c r="WUX11" s="2"/>
      <c r="WUY11" s="2"/>
      <c r="WUZ11" s="2"/>
      <c r="WVK11" s="2"/>
      <c r="WVL11" s="2"/>
      <c r="WVM11" s="2"/>
      <c r="WVX11" s="2"/>
      <c r="WVY11" s="2"/>
      <c r="WVZ11" s="2"/>
      <c r="WWK11" s="2"/>
      <c r="WWL11" s="2"/>
      <c r="WWM11" s="2"/>
      <c r="WWX11" s="2"/>
      <c r="WWY11" s="2"/>
      <c r="WWZ11" s="2"/>
      <c r="WXK11" s="2"/>
      <c r="WXL11" s="2"/>
      <c r="WXM11" s="2"/>
      <c r="WXX11" s="2"/>
      <c r="WXY11" s="2"/>
      <c r="WXZ11" s="2"/>
      <c r="WYK11" s="2"/>
      <c r="WYL11" s="2"/>
      <c r="WYM11" s="2"/>
      <c r="WYX11" s="2"/>
      <c r="WYY11" s="2"/>
      <c r="WYZ11" s="2"/>
      <c r="WZK11" s="2"/>
      <c r="WZL11" s="2"/>
      <c r="WZM11" s="2"/>
      <c r="WZX11" s="2"/>
      <c r="WZY11" s="2"/>
      <c r="WZZ11" s="2"/>
      <c r="XAK11" s="2"/>
      <c r="XAL11" s="2"/>
      <c r="XAM11" s="2"/>
      <c r="XAX11" s="2"/>
      <c r="XAY11" s="2"/>
      <c r="XAZ11" s="2"/>
      <c r="XBK11" s="2"/>
      <c r="XBL11" s="2"/>
      <c r="XBM11" s="2"/>
      <c r="XBX11" s="2"/>
      <c r="XBY11" s="2"/>
      <c r="XBZ11" s="2"/>
      <c r="XCK11" s="2"/>
      <c r="XCL11" s="2"/>
      <c r="XCM11" s="2"/>
      <c r="XCX11" s="2"/>
      <c r="XCY11" s="2"/>
      <c r="XCZ11" s="2"/>
      <c r="XDK11" s="2"/>
      <c r="XDL11" s="2"/>
      <c r="XDM11" s="2"/>
      <c r="XDX11" s="2"/>
      <c r="XDY11" s="2"/>
      <c r="XDZ11" s="2"/>
      <c r="XEK11" s="2"/>
      <c r="XEL11" s="2"/>
      <c r="XEM11" s="2"/>
      <c r="XEX11" s="2"/>
      <c r="XEY11" s="2"/>
      <c r="XEZ11" s="2"/>
    </row>
    <row r="12" spans="1:1014 1025:2041 2052:3068 3079:4095 4106:6136 6147:7163 7174:8190 8201:10231 10242:11258 11269:12285 12296:13312 13323:14326 14337:15353 15364:16380" ht="15" customHeight="1" x14ac:dyDescent="0.3">
      <c r="A12" s="841"/>
      <c r="B12" s="581" t="s">
        <v>601</v>
      </c>
      <c r="C12" s="1"/>
      <c r="D12" s="1"/>
      <c r="E12" s="1"/>
      <c r="F12" s="1"/>
      <c r="H12" s="1"/>
      <c r="I12" s="1"/>
      <c r="J12" s="1"/>
      <c r="K12" s="1"/>
      <c r="L12" s="723"/>
      <c r="M12" s="2"/>
      <c r="N12" s="21"/>
      <c r="O12" s="21"/>
      <c r="P12" s="3"/>
      <c r="Q12" s="3"/>
      <c r="R12" s="3"/>
      <c r="S12" s="147"/>
      <c r="T12" s="147"/>
      <c r="U12" s="1"/>
      <c r="V12" s="1"/>
      <c r="W12" s="1"/>
      <c r="X12" s="1"/>
      <c r="Y12" s="1"/>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row>
    <row r="13" spans="1:1014 1025:2041 2052:3068 3079:4095 4106:6136 6147:7163 7174:8190 8201:10231 10242:11258 11269:12285 12296:13312 13323:14326 14337:15353 15364:16380" ht="12" customHeight="1" x14ac:dyDescent="0.3">
      <c r="A13" s="841"/>
      <c r="B13" s="806"/>
      <c r="C13" s="580"/>
      <c r="D13" s="580"/>
      <c r="E13" s="580"/>
      <c r="F13" s="580"/>
      <c r="G13" s="571"/>
      <c r="H13" s="580"/>
      <c r="I13" s="580"/>
      <c r="J13" s="580"/>
      <c r="K13" s="580"/>
      <c r="L13" s="807"/>
      <c r="M13" s="2"/>
      <c r="N13" s="21"/>
      <c r="O13" s="21"/>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row>
    <row r="14" spans="1:1014 1025:2041 2052:3068 3079:4095 4106:6136 6147:7163 7174:8190 8201:10231 10242:11258 11269:12285 12296:13312 13323:14326 14337:15353 15364:16380" ht="12" customHeight="1" x14ac:dyDescent="0.3">
      <c r="A14" s="841"/>
      <c r="B14" s="458"/>
      <c r="C14" s="1"/>
      <c r="D14" s="1"/>
      <c r="E14" s="1"/>
      <c r="F14" s="1"/>
      <c r="H14" s="1"/>
      <c r="I14" s="1"/>
      <c r="J14" s="1"/>
      <c r="K14" s="1"/>
      <c r="L14" s="1"/>
      <c r="M14" s="2"/>
      <c r="N14" s="21"/>
      <c r="O14" s="21"/>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row>
    <row r="15" spans="1:1014 1025:2041 2052:3068 3079:4095 4106:6136 6147:7163 7174:8190 8201:10231 10242:11258 11269:12285 12296:13312 13323:14326 14337:15353 15364:16380" ht="12" customHeight="1" x14ac:dyDescent="0.3">
      <c r="A15" s="841"/>
      <c r="B15" s="458"/>
      <c r="C15" s="1"/>
      <c r="D15" s="1"/>
      <c r="E15" s="1"/>
      <c r="F15" s="1"/>
      <c r="H15" s="1"/>
      <c r="I15" s="1"/>
      <c r="J15" s="1"/>
      <c r="K15" s="1"/>
      <c r="L15" s="1"/>
      <c r="M15" s="2"/>
      <c r="N15" s="21"/>
      <c r="O15" s="21"/>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row>
    <row r="16" spans="1:1014 1025:2041 2052:3068 3079:4095 4106:6136 6147:7163 7174:8190 8201:10231 10242:11258 11269:12285 12296:13312 13323:14326 14337:15353 15364:16380" s="58" customFormat="1" ht="15.75" x14ac:dyDescent="0.25">
      <c r="A16" s="841">
        <v>1</v>
      </c>
      <c r="B16" s="461" t="str">
        <f>"Table "&amp;A1&amp;"."&amp;A16&amp;": Calculation of Notional General Income - Ordinary Rates ($ nominal)"</f>
        <v>Table 4.1: Calculation of Notional General Income - Ordinary Rates ($ nominal)</v>
      </c>
      <c r="C16" s="49"/>
      <c r="D16" s="22"/>
      <c r="E16" s="22"/>
      <c r="F16" s="43"/>
      <c r="H16" s="43"/>
      <c r="I16" s="43"/>
      <c r="J16" s="43"/>
      <c r="L16" s="63"/>
      <c r="M16" s="3"/>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row>
    <row r="17" spans="1:59" s="28" customFormat="1" ht="36" x14ac:dyDescent="0.2">
      <c r="A17" s="841"/>
      <c r="B17" s="795" t="s">
        <v>568</v>
      </c>
      <c r="C17" s="734" t="s">
        <v>569</v>
      </c>
      <c r="D17" s="734" t="s">
        <v>570</v>
      </c>
      <c r="E17" s="734" t="s">
        <v>602</v>
      </c>
      <c r="F17" s="734" t="s">
        <v>572</v>
      </c>
      <c r="G17" s="734" t="s">
        <v>603</v>
      </c>
      <c r="H17" s="734" t="s">
        <v>574</v>
      </c>
      <c r="I17" s="734" t="s">
        <v>575</v>
      </c>
      <c r="J17" s="1277" t="s">
        <v>604</v>
      </c>
      <c r="K17" s="735" t="s">
        <v>605</v>
      </c>
      <c r="L17" s="796" t="s">
        <v>606</v>
      </c>
      <c r="M17" s="27"/>
      <c r="N17" s="27"/>
      <c r="O17" s="27"/>
      <c r="P17" s="27"/>
      <c r="Q17" s="27"/>
      <c r="R17" s="27"/>
      <c r="S17" s="27"/>
      <c r="T17" s="27"/>
      <c r="U17" s="27"/>
      <c r="V17" s="27"/>
      <c r="W17" s="263"/>
      <c r="X17" s="49"/>
      <c r="Y17" s="27"/>
      <c r="Z17" s="27"/>
      <c r="AA17" s="27"/>
      <c r="AB17" s="27"/>
      <c r="AC17" s="27"/>
      <c r="AD17" s="49"/>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row>
    <row r="18" spans="1:59" ht="15" x14ac:dyDescent="0.2">
      <c r="A18" s="841"/>
      <c r="B18" s="767" t="s">
        <v>579</v>
      </c>
      <c r="C18" s="808" t="str">
        <f>IF('WS3 - Notional General Income'!C21="","",'WS3 - Notional General Income'!C21)</f>
        <v>Residential</v>
      </c>
      <c r="D18" s="749">
        <v>29428</v>
      </c>
      <c r="E18" s="750">
        <f>'WS3 - Notional General Income'!E21*1.15</f>
        <v>5.9295149999999998E-2</v>
      </c>
      <c r="F18" s="748"/>
      <c r="G18" s="751" t="str">
        <f>IF(F18="",".",D18*F18/L18)</f>
        <v>.</v>
      </c>
      <c r="H18" s="748">
        <f>'WS3 - Notional General Income'!H21*1.15</f>
        <v>1013.38</v>
      </c>
      <c r="I18" s="1461">
        <f>'WS3 - Notional General Income'!I21</f>
        <v>16449</v>
      </c>
      <c r="J18" s="749">
        <v>41955718018</v>
      </c>
      <c r="K18" s="1462">
        <v>7978632695</v>
      </c>
      <c r="L18" s="768">
        <f t="shared" ref="L18:L37" si="0">IF(D18="",".",IF(F18&lt;&gt;"",F18*D18+J18*(E18/100),(J18-K18)*(E18/100)+H18*I18))</f>
        <v>36815851.327900834</v>
      </c>
      <c r="M18" s="3"/>
      <c r="N18" s="3"/>
      <c r="O18" s="3"/>
      <c r="P18" s="3"/>
      <c r="Q18" s="3"/>
      <c r="R18" s="3"/>
      <c r="S18" s="3"/>
      <c r="T18" s="3"/>
      <c r="U18" s="3"/>
      <c r="V18" s="3"/>
      <c r="W18" s="27"/>
      <c r="X18" s="49"/>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row>
    <row r="19" spans="1:59" ht="12" x14ac:dyDescent="0.2">
      <c r="A19" s="841"/>
      <c r="B19" s="769" t="s">
        <v>579</v>
      </c>
      <c r="C19" s="809" t="str">
        <f>IF('WS3 - Notional General Income'!C22="","",'WS3 - Notional General Income'!C22)</f>
        <v/>
      </c>
      <c r="D19" s="753"/>
      <c r="E19" s="754"/>
      <c r="F19" s="752"/>
      <c r="G19" s="755" t="str">
        <f t="shared" ref="G19:G63" si="1">IF(F19="",".",D19*F19/L19)</f>
        <v>.</v>
      </c>
      <c r="H19" s="752"/>
      <c r="I19" s="753"/>
      <c r="J19" s="753"/>
      <c r="K19" s="753"/>
      <c r="L19" s="770" t="str">
        <f t="shared" si="0"/>
        <v>.</v>
      </c>
      <c r="M19" s="3"/>
      <c r="N19" s="3"/>
      <c r="O19" s="3"/>
      <c r="P19" s="3"/>
      <c r="Q19" s="3"/>
      <c r="R19" s="3"/>
      <c r="S19" s="3"/>
      <c r="T19" s="3"/>
      <c r="U19" s="3"/>
      <c r="V19" s="3"/>
      <c r="W19" s="27"/>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row>
    <row r="20" spans="1:59" ht="12" x14ac:dyDescent="0.2">
      <c r="A20" s="841"/>
      <c r="B20" s="769" t="s">
        <v>579</v>
      </c>
      <c r="C20" s="809" t="str">
        <f>IF('WS3 - Notional General Income'!C23="","",'WS3 - Notional General Income'!C23)</f>
        <v/>
      </c>
      <c r="D20" s="753"/>
      <c r="E20" s="754"/>
      <c r="F20" s="752"/>
      <c r="G20" s="755" t="str">
        <f t="shared" si="1"/>
        <v>.</v>
      </c>
      <c r="H20" s="752"/>
      <c r="I20" s="753"/>
      <c r="J20" s="753"/>
      <c r="K20" s="753"/>
      <c r="L20" s="770" t="str">
        <f t="shared" si="0"/>
        <v>.</v>
      </c>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row>
    <row r="21" spans="1:59" ht="12" x14ac:dyDescent="0.2">
      <c r="A21" s="841"/>
      <c r="B21" s="769" t="s">
        <v>579</v>
      </c>
      <c r="C21" s="809" t="str">
        <f>IF('WS3 - Notional General Income'!C24="","",'WS3 - Notional General Income'!C24)</f>
        <v/>
      </c>
      <c r="D21" s="753"/>
      <c r="E21" s="754"/>
      <c r="F21" s="752"/>
      <c r="G21" s="755" t="str">
        <f t="shared" si="1"/>
        <v>.</v>
      </c>
      <c r="H21" s="752"/>
      <c r="I21" s="753"/>
      <c r="J21" s="753"/>
      <c r="K21" s="753"/>
      <c r="L21" s="770" t="str">
        <f t="shared" si="0"/>
        <v>.</v>
      </c>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row>
    <row r="22" spans="1:59" ht="12" x14ac:dyDescent="0.2">
      <c r="A22" s="841"/>
      <c r="B22" s="769" t="s">
        <v>579</v>
      </c>
      <c r="C22" s="809" t="str">
        <f>IF('WS3 - Notional General Income'!C25="","",'WS3 - Notional General Income'!C25)</f>
        <v/>
      </c>
      <c r="D22" s="753"/>
      <c r="E22" s="754"/>
      <c r="F22" s="752"/>
      <c r="G22" s="755" t="str">
        <f t="shared" si="1"/>
        <v>.</v>
      </c>
      <c r="H22" s="752"/>
      <c r="I22" s="753"/>
      <c r="J22" s="753"/>
      <c r="K22" s="753"/>
      <c r="L22" s="770" t="str">
        <f t="shared" si="0"/>
        <v>.</v>
      </c>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row>
    <row r="23" spans="1:59" ht="12" x14ac:dyDescent="0.2">
      <c r="A23" s="841"/>
      <c r="B23" s="769" t="s">
        <v>579</v>
      </c>
      <c r="C23" s="809" t="str">
        <f>IF('WS3 - Notional General Income'!C26="","",'WS3 - Notional General Income'!C26)</f>
        <v/>
      </c>
      <c r="D23" s="753"/>
      <c r="E23" s="756"/>
      <c r="F23" s="756"/>
      <c r="G23" s="755" t="str">
        <f t="shared" si="1"/>
        <v>.</v>
      </c>
      <c r="H23" s="752"/>
      <c r="I23" s="753"/>
      <c r="J23" s="753"/>
      <c r="K23" s="753"/>
      <c r="L23" s="770" t="str">
        <f t="shared" si="0"/>
        <v>.</v>
      </c>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row>
    <row r="24" spans="1:59" ht="12" x14ac:dyDescent="0.2">
      <c r="A24" s="841"/>
      <c r="B24" s="769" t="s">
        <v>579</v>
      </c>
      <c r="C24" s="809" t="str">
        <f>IF('WS3 - Notional General Income'!C27="","",'WS3 - Notional General Income'!C27)</f>
        <v/>
      </c>
      <c r="D24" s="753"/>
      <c r="E24" s="756"/>
      <c r="F24" s="756"/>
      <c r="G24" s="755" t="str">
        <f t="shared" si="1"/>
        <v>.</v>
      </c>
      <c r="H24" s="752"/>
      <c r="I24" s="753"/>
      <c r="J24" s="753"/>
      <c r="K24" s="753"/>
      <c r="L24" s="770" t="str">
        <f t="shared" si="0"/>
        <v>.</v>
      </c>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row>
    <row r="25" spans="1:59" ht="12" x14ac:dyDescent="0.2">
      <c r="A25" s="841"/>
      <c r="B25" s="769" t="s">
        <v>579</v>
      </c>
      <c r="C25" s="809" t="str">
        <f>IF('WS3 - Notional General Income'!C28="","",'WS3 - Notional General Income'!C28)</f>
        <v/>
      </c>
      <c r="D25" s="753"/>
      <c r="E25" s="754"/>
      <c r="F25" s="752"/>
      <c r="G25" s="755" t="str">
        <f t="shared" si="1"/>
        <v>.</v>
      </c>
      <c r="H25" s="752"/>
      <c r="I25" s="753"/>
      <c r="J25" s="753"/>
      <c r="K25" s="753"/>
      <c r="L25" s="770" t="str">
        <f t="shared" si="0"/>
        <v>.</v>
      </c>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row>
    <row r="26" spans="1:59" ht="12" x14ac:dyDescent="0.2">
      <c r="A26" s="841"/>
      <c r="B26" s="769" t="s">
        <v>579</v>
      </c>
      <c r="C26" s="809" t="str">
        <f>IF('WS3 - Notional General Income'!C29="","",'WS3 - Notional General Income'!C29)</f>
        <v/>
      </c>
      <c r="D26" s="753"/>
      <c r="E26" s="754"/>
      <c r="F26" s="752"/>
      <c r="G26" s="755" t="str">
        <f t="shared" si="1"/>
        <v>.</v>
      </c>
      <c r="H26" s="752"/>
      <c r="I26" s="753"/>
      <c r="J26" s="753"/>
      <c r="K26" s="753"/>
      <c r="L26" s="770" t="str">
        <f t="shared" si="0"/>
        <v>.</v>
      </c>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row>
    <row r="27" spans="1:59" ht="12" x14ac:dyDescent="0.2">
      <c r="A27" s="841"/>
      <c r="B27" s="769" t="s">
        <v>579</v>
      </c>
      <c r="C27" s="809" t="str">
        <f>IF('WS3 - Notional General Income'!C30="","",'WS3 - Notional General Income'!C30)</f>
        <v/>
      </c>
      <c r="D27" s="753"/>
      <c r="E27" s="754"/>
      <c r="F27" s="752"/>
      <c r="G27" s="755" t="str">
        <f t="shared" si="1"/>
        <v>.</v>
      </c>
      <c r="H27" s="752"/>
      <c r="I27" s="753"/>
      <c r="J27" s="753"/>
      <c r="K27" s="753"/>
      <c r="L27" s="770" t="str">
        <f t="shared" si="0"/>
        <v>.</v>
      </c>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row>
    <row r="28" spans="1:59" ht="12" x14ac:dyDescent="0.2">
      <c r="A28" s="841"/>
      <c r="B28" s="769" t="s">
        <v>579</v>
      </c>
      <c r="C28" s="809" t="str">
        <f>IF('WS3 - Notional General Income'!C31="","",'WS3 - Notional General Income'!C31)</f>
        <v/>
      </c>
      <c r="D28" s="753"/>
      <c r="E28" s="754"/>
      <c r="F28" s="752"/>
      <c r="G28" s="755" t="str">
        <f t="shared" si="1"/>
        <v>.</v>
      </c>
      <c r="H28" s="752"/>
      <c r="I28" s="753"/>
      <c r="J28" s="753"/>
      <c r="K28" s="753"/>
      <c r="L28" s="770" t="str">
        <f t="shared" si="0"/>
        <v>.</v>
      </c>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row>
    <row r="29" spans="1:59" ht="12" x14ac:dyDescent="0.2">
      <c r="A29" s="841"/>
      <c r="B29" s="769" t="s">
        <v>579</v>
      </c>
      <c r="C29" s="809" t="str">
        <f>IF('WS3 - Notional General Income'!C32="","",'WS3 - Notional General Income'!C32)</f>
        <v/>
      </c>
      <c r="D29" s="753"/>
      <c r="E29" s="754"/>
      <c r="F29" s="752"/>
      <c r="G29" s="755" t="str">
        <f t="shared" si="1"/>
        <v>.</v>
      </c>
      <c r="H29" s="752"/>
      <c r="I29" s="753"/>
      <c r="J29" s="753"/>
      <c r="K29" s="753"/>
      <c r="L29" s="770" t="str">
        <f t="shared" si="0"/>
        <v>.</v>
      </c>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row>
    <row r="30" spans="1:59" ht="12" x14ac:dyDescent="0.2">
      <c r="A30" s="841"/>
      <c r="B30" s="769" t="s">
        <v>579</v>
      </c>
      <c r="C30" s="809" t="str">
        <f>IF('WS3 - Notional General Income'!C33="","",'WS3 - Notional General Income'!C33)</f>
        <v/>
      </c>
      <c r="D30" s="753"/>
      <c r="E30" s="754"/>
      <c r="F30" s="752"/>
      <c r="G30" s="755" t="str">
        <f t="shared" si="1"/>
        <v>.</v>
      </c>
      <c r="H30" s="752"/>
      <c r="I30" s="753"/>
      <c r="J30" s="753"/>
      <c r="K30" s="753"/>
      <c r="L30" s="770" t="str">
        <f t="shared" si="0"/>
        <v>.</v>
      </c>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row>
    <row r="31" spans="1:59" ht="12" x14ac:dyDescent="0.2">
      <c r="A31" s="841"/>
      <c r="B31" s="769" t="s">
        <v>579</v>
      </c>
      <c r="C31" s="809" t="str">
        <f>IF('WS3 - Notional General Income'!C34="","",'WS3 - Notional General Income'!C34)</f>
        <v/>
      </c>
      <c r="D31" s="753"/>
      <c r="E31" s="754"/>
      <c r="F31" s="752"/>
      <c r="G31" s="755" t="str">
        <f t="shared" si="1"/>
        <v>.</v>
      </c>
      <c r="H31" s="752"/>
      <c r="I31" s="753"/>
      <c r="J31" s="753"/>
      <c r="K31" s="753"/>
      <c r="L31" s="770" t="str">
        <f t="shared" si="0"/>
        <v>.</v>
      </c>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row>
    <row r="32" spans="1:59" ht="12" x14ac:dyDescent="0.2">
      <c r="A32" s="841"/>
      <c r="B32" s="769" t="s">
        <v>579</v>
      </c>
      <c r="C32" s="809" t="str">
        <f>IF('WS3 - Notional General Income'!C35="","",'WS3 - Notional General Income'!C35)</f>
        <v/>
      </c>
      <c r="D32" s="753"/>
      <c r="E32" s="754"/>
      <c r="F32" s="752"/>
      <c r="G32" s="755" t="str">
        <f t="shared" si="1"/>
        <v>.</v>
      </c>
      <c r="H32" s="752"/>
      <c r="I32" s="753"/>
      <c r="J32" s="753"/>
      <c r="K32" s="753"/>
      <c r="L32" s="770" t="str">
        <f t="shared" si="0"/>
        <v>.</v>
      </c>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row>
    <row r="33" spans="1:59" ht="12" x14ac:dyDescent="0.2">
      <c r="A33" s="841"/>
      <c r="B33" s="769" t="s">
        <v>579</v>
      </c>
      <c r="C33" s="809" t="str">
        <f>IF('WS3 - Notional General Income'!C36="","",'WS3 - Notional General Income'!C36)</f>
        <v/>
      </c>
      <c r="D33" s="753"/>
      <c r="E33" s="754"/>
      <c r="F33" s="752"/>
      <c r="G33" s="755" t="str">
        <f t="shared" si="1"/>
        <v>.</v>
      </c>
      <c r="H33" s="752"/>
      <c r="I33" s="753"/>
      <c r="J33" s="753"/>
      <c r="K33" s="753"/>
      <c r="L33" s="770" t="str">
        <f t="shared" si="0"/>
        <v>.</v>
      </c>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row>
    <row r="34" spans="1:59" ht="12" x14ac:dyDescent="0.2">
      <c r="A34" s="841"/>
      <c r="B34" s="769" t="s">
        <v>579</v>
      </c>
      <c r="C34" s="809" t="str">
        <f>IF('WS3 - Notional General Income'!C37="","",'WS3 - Notional General Income'!C37)</f>
        <v/>
      </c>
      <c r="D34" s="753"/>
      <c r="E34" s="754"/>
      <c r="F34" s="752"/>
      <c r="G34" s="755" t="str">
        <f t="shared" si="1"/>
        <v>.</v>
      </c>
      <c r="H34" s="752"/>
      <c r="I34" s="753"/>
      <c r="J34" s="753"/>
      <c r="K34" s="753"/>
      <c r="L34" s="770" t="str">
        <f t="shared" si="0"/>
        <v>.</v>
      </c>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row>
    <row r="35" spans="1:59" ht="12" x14ac:dyDescent="0.2">
      <c r="A35" s="841"/>
      <c r="B35" s="769" t="s">
        <v>579</v>
      </c>
      <c r="C35" s="809" t="str">
        <f>IF('WS3 - Notional General Income'!C38="","",'WS3 - Notional General Income'!C38)</f>
        <v/>
      </c>
      <c r="D35" s="753"/>
      <c r="E35" s="754"/>
      <c r="F35" s="752"/>
      <c r="G35" s="755" t="str">
        <f t="shared" si="1"/>
        <v>.</v>
      </c>
      <c r="H35" s="752"/>
      <c r="I35" s="753"/>
      <c r="J35" s="753"/>
      <c r="K35" s="753"/>
      <c r="L35" s="770" t="str">
        <f t="shared" si="0"/>
        <v>.</v>
      </c>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row>
    <row r="36" spans="1:59" ht="12" x14ac:dyDescent="0.2">
      <c r="A36" s="841"/>
      <c r="B36" s="769" t="s">
        <v>579</v>
      </c>
      <c r="C36" s="809" t="str">
        <f>IF('WS3 - Notional General Income'!C39="","",'WS3 - Notional General Income'!C39)</f>
        <v/>
      </c>
      <c r="D36" s="753"/>
      <c r="E36" s="754"/>
      <c r="F36" s="752"/>
      <c r="G36" s="755" t="str">
        <f t="shared" si="1"/>
        <v>.</v>
      </c>
      <c r="H36" s="752"/>
      <c r="I36" s="753"/>
      <c r="J36" s="753"/>
      <c r="K36" s="753"/>
      <c r="L36" s="770" t="str">
        <f t="shared" si="0"/>
        <v>.</v>
      </c>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row>
    <row r="37" spans="1:59" ht="12" x14ac:dyDescent="0.2">
      <c r="A37" s="841"/>
      <c r="B37" s="769" t="s">
        <v>579</v>
      </c>
      <c r="C37" s="809" t="str">
        <f>IF('WS3 - Notional General Income'!C40="","",'WS3 - Notional General Income'!C40)</f>
        <v/>
      </c>
      <c r="D37" s="753"/>
      <c r="E37" s="754"/>
      <c r="F37" s="752"/>
      <c r="G37" s="755" t="str">
        <f t="shared" si="1"/>
        <v>.</v>
      </c>
      <c r="H37" s="752"/>
      <c r="I37" s="753"/>
      <c r="J37" s="753"/>
      <c r="K37" s="753"/>
      <c r="L37" s="770" t="str">
        <f t="shared" si="0"/>
        <v>.</v>
      </c>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row>
    <row r="38" spans="1:59" s="6" customFormat="1" ht="12" x14ac:dyDescent="0.2">
      <c r="A38" s="841"/>
      <c r="B38" s="757"/>
      <c r="C38" s="736" t="s">
        <v>580</v>
      </c>
      <c r="D38" s="737">
        <f>SUM(D18:D37)</f>
        <v>29428</v>
      </c>
      <c r="E38" s="738"/>
      <c r="F38" s="739"/>
      <c r="G38" s="740"/>
      <c r="H38" s="739"/>
      <c r="I38" s="737">
        <f>SUM(I18:I37)</f>
        <v>16449</v>
      </c>
      <c r="J38" s="737">
        <f>SUM(J18:J37)</f>
        <v>41955718018</v>
      </c>
      <c r="K38" s="737">
        <f>SUM(K18:K37)</f>
        <v>7978632695</v>
      </c>
      <c r="L38" s="741">
        <f>SUM(L18:L37)</f>
        <v>36815851.327900834</v>
      </c>
      <c r="M38" s="2"/>
      <c r="N38" s="2"/>
      <c r="O38" s="2"/>
      <c r="P38" s="2"/>
      <c r="Q38" s="2"/>
      <c r="R38" s="2"/>
      <c r="S38" s="2"/>
      <c r="T38" s="2"/>
      <c r="U38" s="2"/>
      <c r="V38" s="2"/>
      <c r="W38" s="3"/>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row>
    <row r="39" spans="1:59" ht="12" x14ac:dyDescent="0.2">
      <c r="A39" s="841"/>
      <c r="B39" s="769" t="s">
        <v>581</v>
      </c>
      <c r="C39" s="820" t="str">
        <f>IF('WS3 - Notional General Income'!C42="","",'WS3 - Notional General Income'!C42)</f>
        <v>Business</v>
      </c>
      <c r="D39" s="749">
        <f>'WS3 - Notional General Income'!D42</f>
        <v>1951</v>
      </c>
      <c r="E39" s="750">
        <f>'WS3 - Notional General Income'!E42*1.15</f>
        <v>0.40588099999999994</v>
      </c>
      <c r="F39" s="748"/>
      <c r="G39" s="1460" t="str">
        <f t="shared" si="1"/>
        <v>.</v>
      </c>
      <c r="H39" s="752">
        <f>'WS3 - Notional General Income'!H42*1.15</f>
        <v>1441.5249999999999</v>
      </c>
      <c r="I39" s="1463">
        <f>'WS3 - Notional General Income'!I42</f>
        <v>522</v>
      </c>
      <c r="J39" s="749">
        <f>'WS3 - Notional General Income'!J42</f>
        <v>3487093822</v>
      </c>
      <c r="K39" s="823">
        <f>'WS3 - Notional General Income'!K42</f>
        <v>87403345</v>
      </c>
      <c r="L39" s="770">
        <f t="shared" ref="L39:L63" si="2">IF(D39="",".",IF(F39&lt;&gt;"",F39*D39+J39*(E39/100),(J39-K39)*(E39/100)+H39*I39))</f>
        <v>14551173.754952369</v>
      </c>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row>
    <row r="40" spans="1:59" ht="12" x14ac:dyDescent="0.2">
      <c r="A40" s="841"/>
      <c r="B40" s="769" t="s">
        <v>581</v>
      </c>
      <c r="C40" s="809" t="str">
        <f>IF('WS3 - Notional General Income'!C43="","",'WS3 - Notional General Income'!C43)</f>
        <v>Chatswood Town Centre</v>
      </c>
      <c r="D40" s="753">
        <f>'WS3 - Notional General Income'!D43</f>
        <v>954</v>
      </c>
      <c r="E40" s="754">
        <f>'WS3 - Notional General Income'!E43*1.15</f>
        <v>0.74324499999999993</v>
      </c>
      <c r="F40" s="752"/>
      <c r="G40" s="755" t="str">
        <f t="shared" si="1"/>
        <v>.</v>
      </c>
      <c r="H40" s="752">
        <f>'WS3 - Notional General Income'!H43*1.15</f>
        <v>1539.2749999999999</v>
      </c>
      <c r="I40" s="753">
        <f>'WS3 - Notional General Income'!I43</f>
        <v>537</v>
      </c>
      <c r="J40" s="753">
        <f>'WS3 - Notional General Income'!J43</f>
        <v>1106659971</v>
      </c>
      <c r="K40" s="753">
        <f>'WS3 - Notional General Income'!K43</f>
        <v>66106560</v>
      </c>
      <c r="L40" s="770">
        <f t="shared" si="2"/>
        <v>8560451.8745869491</v>
      </c>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row>
    <row r="41" spans="1:59" ht="12" x14ac:dyDescent="0.2">
      <c r="A41" s="841"/>
      <c r="B41" s="769" t="s">
        <v>581</v>
      </c>
      <c r="C41" s="809" t="str">
        <f>IF('WS3 - Notional General Income'!C44="","",'WS3 - Notional General Income'!C44)</f>
        <v>Chatswood Major Retail - Chase</v>
      </c>
      <c r="D41" s="753">
        <f>'WS3 - Notional General Income'!D44</f>
        <v>1</v>
      </c>
      <c r="E41" s="754">
        <f>'WS3 - Notional General Income'!E44*1.15</f>
        <v>2.2684094999999997</v>
      </c>
      <c r="F41" s="752"/>
      <c r="G41" s="755" t="str">
        <f t="shared" si="1"/>
        <v>.</v>
      </c>
      <c r="H41" s="752">
        <f>'WS3 - Notional General Income'!H44*1.15</f>
        <v>1290.0124999999998</v>
      </c>
      <c r="I41" s="753">
        <f>'WS3 - Notional General Income'!I44</f>
        <v>0</v>
      </c>
      <c r="J41" s="753">
        <f>'WS3 - Notional General Income'!J44</f>
        <v>47700000</v>
      </c>
      <c r="K41" s="753"/>
      <c r="L41" s="770">
        <f t="shared" si="2"/>
        <v>1082031.3314999999</v>
      </c>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row>
    <row r="42" spans="1:59" ht="12" x14ac:dyDescent="0.2">
      <c r="A42" s="841"/>
      <c r="B42" s="769" t="s">
        <v>581</v>
      </c>
      <c r="C42" s="809" t="str">
        <f>IF('WS3 - Notional General Income'!C45="","",'WS3 - Notional General Income'!C45)</f>
        <v>Chatswood Major Retail - Westfield</v>
      </c>
      <c r="D42" s="753">
        <f>'WS3 - Notional General Income'!D45</f>
        <v>10</v>
      </c>
      <c r="E42" s="754">
        <f>'WS3 - Notional General Income'!E45*1.15</f>
        <v>2.1019700000000001</v>
      </c>
      <c r="F42" s="752"/>
      <c r="G42" s="755" t="str">
        <f t="shared" si="1"/>
        <v>.</v>
      </c>
      <c r="H42" s="752">
        <f>'WS3 - Notional General Income'!H45*1.15</f>
        <v>1290.0124999999998</v>
      </c>
      <c r="I42" s="753">
        <f>'WS3 - Notional General Income'!I45</f>
        <v>0</v>
      </c>
      <c r="J42" s="753">
        <f>'WS3 - Notional General Income'!J45</f>
        <v>65752000</v>
      </c>
      <c r="K42" s="753"/>
      <c r="L42" s="770">
        <f t="shared" si="2"/>
        <v>1382087.3144000003</v>
      </c>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row>
    <row r="43" spans="1:59" ht="12" x14ac:dyDescent="0.2">
      <c r="A43" s="841"/>
      <c r="B43" s="769" t="s">
        <v>581</v>
      </c>
      <c r="C43" s="809" t="str">
        <f>IF('WS3 - Notional General Income'!C46="","",'WS3 - Notional General Income'!C46)</f>
        <v>Strata Storage</v>
      </c>
      <c r="D43" s="753">
        <f>'WS3 - Notional General Income'!D46</f>
        <v>113</v>
      </c>
      <c r="E43" s="754">
        <f>'WS3 - Notional General Income'!E46*1.15</f>
        <v>0.68424999999999991</v>
      </c>
      <c r="F43" s="752"/>
      <c r="G43" s="755" t="str">
        <f t="shared" si="1"/>
        <v>.</v>
      </c>
      <c r="H43" s="752">
        <f>'WS3 - Notional General Income'!H46*1.15</f>
        <v>978.47749999999996</v>
      </c>
      <c r="I43" s="753">
        <f>'WS3 - Notional General Income'!I46</f>
        <v>102</v>
      </c>
      <c r="J43" s="753">
        <f>'WS3 - Notional General Income'!J46</f>
        <v>7670000</v>
      </c>
      <c r="K43" s="753">
        <f>'WS3 - Notional General Income'!K46</f>
        <v>5711082</v>
      </c>
      <c r="L43" s="770">
        <f t="shared" si="2"/>
        <v>113208.601415</v>
      </c>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row>
    <row r="44" spans="1:59" ht="12" x14ac:dyDescent="0.2">
      <c r="A44" s="841"/>
      <c r="B44" s="769" t="s">
        <v>581</v>
      </c>
      <c r="C44" s="809" t="str">
        <f>IF('WS3 - Notional General Income'!C47="","",'WS3 - Notional General Income'!C47)</f>
        <v/>
      </c>
      <c r="D44" s="753"/>
      <c r="E44" s="754"/>
      <c r="F44" s="752"/>
      <c r="G44" s="755" t="str">
        <f t="shared" si="1"/>
        <v>.</v>
      </c>
      <c r="H44" s="752"/>
      <c r="I44" s="753"/>
      <c r="J44" s="753"/>
      <c r="K44" s="753"/>
      <c r="L44" s="770" t="str">
        <f t="shared" si="2"/>
        <v>.</v>
      </c>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row>
    <row r="45" spans="1:59" ht="12" x14ac:dyDescent="0.2">
      <c r="A45" s="841"/>
      <c r="B45" s="769" t="s">
        <v>581</v>
      </c>
      <c r="C45" s="809" t="str">
        <f>IF('WS3 - Notional General Income'!C48="","",'WS3 - Notional General Income'!C48)</f>
        <v/>
      </c>
      <c r="D45" s="753"/>
      <c r="E45" s="754"/>
      <c r="F45" s="752"/>
      <c r="G45" s="755" t="str">
        <f t="shared" si="1"/>
        <v>.</v>
      </c>
      <c r="H45" s="752"/>
      <c r="I45" s="753"/>
      <c r="J45" s="753"/>
      <c r="K45" s="753"/>
      <c r="L45" s="770" t="str">
        <f t="shared" si="2"/>
        <v>.</v>
      </c>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row>
    <row r="46" spans="1:59" ht="12" x14ac:dyDescent="0.2">
      <c r="A46" s="841"/>
      <c r="B46" s="769" t="s">
        <v>581</v>
      </c>
      <c r="C46" s="809" t="str">
        <f>IF('WS3 - Notional General Income'!C49="","",'WS3 - Notional General Income'!C49)</f>
        <v/>
      </c>
      <c r="D46" s="753"/>
      <c r="E46" s="754"/>
      <c r="F46" s="752"/>
      <c r="G46" s="755" t="str">
        <f t="shared" si="1"/>
        <v>.</v>
      </c>
      <c r="H46" s="752"/>
      <c r="I46" s="753"/>
      <c r="J46" s="753"/>
      <c r="K46" s="753"/>
      <c r="L46" s="770" t="str">
        <f t="shared" si="2"/>
        <v>.</v>
      </c>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row>
    <row r="47" spans="1:59" ht="12" x14ac:dyDescent="0.2">
      <c r="A47" s="841"/>
      <c r="B47" s="769" t="s">
        <v>581</v>
      </c>
      <c r="C47" s="809" t="str">
        <f>IF('WS3 - Notional General Income'!C50="","",'WS3 - Notional General Income'!C50)</f>
        <v/>
      </c>
      <c r="D47" s="753"/>
      <c r="E47" s="754"/>
      <c r="F47" s="752"/>
      <c r="G47" s="755" t="str">
        <f t="shared" si="1"/>
        <v>.</v>
      </c>
      <c r="H47" s="752"/>
      <c r="I47" s="753"/>
      <c r="J47" s="753"/>
      <c r="K47" s="753"/>
      <c r="L47" s="770" t="str">
        <f t="shared" si="2"/>
        <v>.</v>
      </c>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row>
    <row r="48" spans="1:59" ht="12" x14ac:dyDescent="0.2">
      <c r="A48" s="841"/>
      <c r="B48" s="769" t="s">
        <v>581</v>
      </c>
      <c r="C48" s="809" t="str">
        <f>IF('WS3 - Notional General Income'!C51="","",'WS3 - Notional General Income'!C51)</f>
        <v/>
      </c>
      <c r="D48" s="753"/>
      <c r="E48" s="754"/>
      <c r="F48" s="752"/>
      <c r="G48" s="755" t="str">
        <f t="shared" si="1"/>
        <v>.</v>
      </c>
      <c r="H48" s="752"/>
      <c r="I48" s="753"/>
      <c r="J48" s="753"/>
      <c r="K48" s="753"/>
      <c r="L48" s="770" t="str">
        <f t="shared" si="2"/>
        <v>.</v>
      </c>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row>
    <row r="49" spans="1:59" ht="12" x14ac:dyDescent="0.2">
      <c r="A49" s="841"/>
      <c r="B49" s="769" t="s">
        <v>581</v>
      </c>
      <c r="C49" s="809" t="str">
        <f>IF('WS3 - Notional General Income'!C52="","",'WS3 - Notional General Income'!C52)</f>
        <v/>
      </c>
      <c r="D49" s="753"/>
      <c r="E49" s="754"/>
      <c r="F49" s="752"/>
      <c r="G49" s="755" t="str">
        <f t="shared" si="1"/>
        <v>.</v>
      </c>
      <c r="H49" s="752"/>
      <c r="I49" s="753"/>
      <c r="J49" s="753"/>
      <c r="K49" s="753"/>
      <c r="L49" s="770" t="str">
        <f t="shared" si="2"/>
        <v>.</v>
      </c>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row>
    <row r="50" spans="1:59" ht="12" x14ac:dyDescent="0.2">
      <c r="A50" s="841"/>
      <c r="B50" s="769" t="s">
        <v>581</v>
      </c>
      <c r="C50" s="809" t="str">
        <f>IF('WS3 - Notional General Income'!C53="","",'WS3 - Notional General Income'!C53)</f>
        <v/>
      </c>
      <c r="D50" s="753"/>
      <c r="E50" s="754"/>
      <c r="F50" s="752"/>
      <c r="G50" s="755" t="str">
        <f t="shared" si="1"/>
        <v>.</v>
      </c>
      <c r="H50" s="752"/>
      <c r="I50" s="753"/>
      <c r="J50" s="753"/>
      <c r="K50" s="753"/>
      <c r="L50" s="770" t="str">
        <f t="shared" si="2"/>
        <v>.</v>
      </c>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row>
    <row r="51" spans="1:59" ht="12" x14ac:dyDescent="0.2">
      <c r="A51" s="841"/>
      <c r="B51" s="769" t="s">
        <v>581</v>
      </c>
      <c r="C51" s="809" t="str">
        <f>IF('WS3 - Notional General Income'!C54="","",'WS3 - Notional General Income'!C54)</f>
        <v/>
      </c>
      <c r="D51" s="753"/>
      <c r="E51" s="754"/>
      <c r="F51" s="752"/>
      <c r="G51" s="755" t="str">
        <f t="shared" si="1"/>
        <v>.</v>
      </c>
      <c r="H51" s="752"/>
      <c r="I51" s="753"/>
      <c r="J51" s="753"/>
      <c r="K51" s="753"/>
      <c r="L51" s="770" t="str">
        <f t="shared" si="2"/>
        <v>.</v>
      </c>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row>
    <row r="52" spans="1:59" ht="12" x14ac:dyDescent="0.2">
      <c r="A52" s="841"/>
      <c r="B52" s="769" t="s">
        <v>581</v>
      </c>
      <c r="C52" s="809" t="str">
        <f>IF('WS3 - Notional General Income'!C55="","",'WS3 - Notional General Income'!C55)</f>
        <v/>
      </c>
      <c r="D52" s="753"/>
      <c r="E52" s="754"/>
      <c r="F52" s="752"/>
      <c r="G52" s="755" t="str">
        <f t="shared" si="1"/>
        <v>.</v>
      </c>
      <c r="H52" s="752"/>
      <c r="I52" s="753"/>
      <c r="J52" s="753"/>
      <c r="K52" s="753"/>
      <c r="L52" s="770" t="str">
        <f t="shared" si="2"/>
        <v>.</v>
      </c>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row>
    <row r="53" spans="1:59" ht="12" x14ac:dyDescent="0.2">
      <c r="A53" s="841"/>
      <c r="B53" s="769" t="s">
        <v>581</v>
      </c>
      <c r="C53" s="809" t="str">
        <f>IF('WS3 - Notional General Income'!C56="","",'WS3 - Notional General Income'!C56)</f>
        <v/>
      </c>
      <c r="D53" s="753"/>
      <c r="E53" s="754"/>
      <c r="F53" s="752"/>
      <c r="G53" s="755" t="str">
        <f t="shared" si="1"/>
        <v>.</v>
      </c>
      <c r="H53" s="752"/>
      <c r="I53" s="753"/>
      <c r="J53" s="753"/>
      <c r="K53" s="753"/>
      <c r="L53" s="770" t="str">
        <f t="shared" si="2"/>
        <v>.</v>
      </c>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row>
    <row r="54" spans="1:59" ht="12" x14ac:dyDescent="0.2">
      <c r="A54" s="841"/>
      <c r="B54" s="769" t="s">
        <v>581</v>
      </c>
      <c r="C54" s="809" t="str">
        <f>IF('WS3 - Notional General Income'!C57="","",'WS3 - Notional General Income'!C57)</f>
        <v/>
      </c>
      <c r="D54" s="753"/>
      <c r="E54" s="754"/>
      <c r="F54" s="752"/>
      <c r="G54" s="755" t="str">
        <f t="shared" si="1"/>
        <v>.</v>
      </c>
      <c r="H54" s="752"/>
      <c r="I54" s="753"/>
      <c r="J54" s="753"/>
      <c r="K54" s="753"/>
      <c r="L54" s="770" t="str">
        <f t="shared" si="2"/>
        <v>.</v>
      </c>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row>
    <row r="55" spans="1:59" ht="12" x14ac:dyDescent="0.2">
      <c r="A55" s="841"/>
      <c r="B55" s="769" t="s">
        <v>581</v>
      </c>
      <c r="C55" s="809" t="str">
        <f>IF('WS3 - Notional General Income'!C58="","",'WS3 - Notional General Income'!C58)</f>
        <v/>
      </c>
      <c r="D55" s="753"/>
      <c r="E55" s="754"/>
      <c r="F55" s="752"/>
      <c r="G55" s="755" t="str">
        <f t="shared" si="1"/>
        <v>.</v>
      </c>
      <c r="H55" s="752"/>
      <c r="I55" s="753"/>
      <c r="J55" s="753"/>
      <c r="K55" s="753"/>
      <c r="L55" s="770" t="str">
        <f t="shared" si="2"/>
        <v>.</v>
      </c>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row>
    <row r="56" spans="1:59" ht="12" x14ac:dyDescent="0.2">
      <c r="A56" s="841"/>
      <c r="B56" s="769" t="s">
        <v>581</v>
      </c>
      <c r="C56" s="809" t="str">
        <f>IF('WS3 - Notional General Income'!C59="","",'WS3 - Notional General Income'!C59)</f>
        <v/>
      </c>
      <c r="D56" s="753"/>
      <c r="E56" s="754"/>
      <c r="F56" s="752"/>
      <c r="G56" s="755" t="str">
        <f t="shared" si="1"/>
        <v>.</v>
      </c>
      <c r="H56" s="752"/>
      <c r="I56" s="753"/>
      <c r="J56" s="753"/>
      <c r="K56" s="753"/>
      <c r="L56" s="770" t="str">
        <f t="shared" si="2"/>
        <v>.</v>
      </c>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row>
    <row r="57" spans="1:59" ht="12" x14ac:dyDescent="0.2">
      <c r="A57" s="841"/>
      <c r="B57" s="769" t="s">
        <v>581</v>
      </c>
      <c r="C57" s="809" t="str">
        <f>IF('WS3 - Notional General Income'!C60="","",'WS3 - Notional General Income'!C60)</f>
        <v/>
      </c>
      <c r="D57" s="753"/>
      <c r="E57" s="754"/>
      <c r="F57" s="752"/>
      <c r="G57" s="755" t="str">
        <f t="shared" si="1"/>
        <v>.</v>
      </c>
      <c r="H57" s="752"/>
      <c r="I57" s="753"/>
      <c r="J57" s="753"/>
      <c r="K57" s="753"/>
      <c r="L57" s="770" t="str">
        <f t="shared" si="2"/>
        <v>.</v>
      </c>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row>
    <row r="58" spans="1:59" ht="12" x14ac:dyDescent="0.2">
      <c r="A58" s="841"/>
      <c r="B58" s="769" t="s">
        <v>581</v>
      </c>
      <c r="C58" s="809" t="str">
        <f>IF('WS3 - Notional General Income'!C61="","",'WS3 - Notional General Income'!C61)</f>
        <v/>
      </c>
      <c r="D58" s="753"/>
      <c r="E58" s="754"/>
      <c r="F58" s="752"/>
      <c r="G58" s="755" t="str">
        <f t="shared" si="1"/>
        <v>.</v>
      </c>
      <c r="H58" s="752"/>
      <c r="I58" s="753"/>
      <c r="J58" s="753"/>
      <c r="K58" s="753"/>
      <c r="L58" s="770" t="str">
        <f t="shared" si="2"/>
        <v>.</v>
      </c>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row>
    <row r="59" spans="1:59" ht="12" x14ac:dyDescent="0.2">
      <c r="A59" s="841"/>
      <c r="B59" s="769" t="s">
        <v>581</v>
      </c>
      <c r="C59" s="809" t="str">
        <f>IF('WS3 - Notional General Income'!C62="","",'WS3 - Notional General Income'!C62)</f>
        <v/>
      </c>
      <c r="D59" s="753"/>
      <c r="E59" s="754"/>
      <c r="F59" s="752"/>
      <c r="G59" s="755" t="str">
        <f t="shared" si="1"/>
        <v>.</v>
      </c>
      <c r="H59" s="752"/>
      <c r="I59" s="753"/>
      <c r="J59" s="753"/>
      <c r="K59" s="753"/>
      <c r="L59" s="770" t="str">
        <f t="shared" si="2"/>
        <v>.</v>
      </c>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row>
    <row r="60" spans="1:59" ht="12" x14ac:dyDescent="0.2">
      <c r="A60" s="841"/>
      <c r="B60" s="769" t="s">
        <v>581</v>
      </c>
      <c r="C60" s="809" t="str">
        <f>IF('WS3 - Notional General Income'!C63="","",'WS3 - Notional General Income'!C63)</f>
        <v/>
      </c>
      <c r="D60" s="753"/>
      <c r="E60" s="754"/>
      <c r="F60" s="752"/>
      <c r="G60" s="755" t="str">
        <f t="shared" si="1"/>
        <v>.</v>
      </c>
      <c r="H60" s="752"/>
      <c r="I60" s="753"/>
      <c r="J60" s="753"/>
      <c r="K60" s="753"/>
      <c r="L60" s="770" t="str">
        <f t="shared" si="2"/>
        <v>.</v>
      </c>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row>
    <row r="61" spans="1:59" ht="12" x14ac:dyDescent="0.2">
      <c r="A61" s="841"/>
      <c r="B61" s="769" t="s">
        <v>581</v>
      </c>
      <c r="C61" s="809" t="str">
        <f>IF('WS3 - Notional General Income'!C64="","",'WS3 - Notional General Income'!C64)</f>
        <v/>
      </c>
      <c r="D61" s="753"/>
      <c r="E61" s="754"/>
      <c r="F61" s="752"/>
      <c r="G61" s="755" t="str">
        <f t="shared" si="1"/>
        <v>.</v>
      </c>
      <c r="H61" s="752"/>
      <c r="I61" s="753"/>
      <c r="J61" s="753"/>
      <c r="K61" s="753"/>
      <c r="L61" s="770" t="str">
        <f t="shared" si="2"/>
        <v>.</v>
      </c>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row>
    <row r="62" spans="1:59" ht="12" x14ac:dyDescent="0.2">
      <c r="A62" s="841"/>
      <c r="B62" s="769" t="s">
        <v>581</v>
      </c>
      <c r="C62" s="809" t="str">
        <f>IF('WS3 - Notional General Income'!C65="","",'WS3 - Notional General Income'!C65)</f>
        <v/>
      </c>
      <c r="D62" s="753"/>
      <c r="E62" s="754"/>
      <c r="F62" s="752"/>
      <c r="G62" s="755" t="str">
        <f t="shared" si="1"/>
        <v>.</v>
      </c>
      <c r="H62" s="752"/>
      <c r="I62" s="753"/>
      <c r="J62" s="753"/>
      <c r="K62" s="753"/>
      <c r="L62" s="770" t="str">
        <f t="shared" si="2"/>
        <v>.</v>
      </c>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row>
    <row r="63" spans="1:59" ht="12" x14ac:dyDescent="0.2">
      <c r="A63" s="841"/>
      <c r="B63" s="769" t="s">
        <v>581</v>
      </c>
      <c r="C63" s="809" t="str">
        <f>IF('WS3 - Notional General Income'!C66="","",'WS3 - Notional General Income'!C66)</f>
        <v/>
      </c>
      <c r="D63" s="753"/>
      <c r="E63" s="754"/>
      <c r="F63" s="752"/>
      <c r="G63" s="755" t="str">
        <f t="shared" si="1"/>
        <v>.</v>
      </c>
      <c r="H63" s="752"/>
      <c r="I63" s="753"/>
      <c r="J63" s="753"/>
      <c r="K63" s="753"/>
      <c r="L63" s="770" t="str">
        <f t="shared" si="2"/>
        <v>.</v>
      </c>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row>
    <row r="64" spans="1:59" s="6" customFormat="1" ht="12" x14ac:dyDescent="0.2">
      <c r="A64" s="841"/>
      <c r="B64" s="769"/>
      <c r="C64" s="736" t="s">
        <v>582</v>
      </c>
      <c r="D64" s="737">
        <f>SUM(D39:D63)</f>
        <v>3029</v>
      </c>
      <c r="E64" s="738"/>
      <c r="F64" s="739"/>
      <c r="G64" s="740"/>
      <c r="H64" s="739"/>
      <c r="I64" s="737">
        <f>SUM(I39:I63)</f>
        <v>1161</v>
      </c>
      <c r="J64" s="737">
        <f>SUM(J39:J63)</f>
        <v>4714875793</v>
      </c>
      <c r="K64" s="737">
        <f>SUM(K39:K63)</f>
        <v>159220987</v>
      </c>
      <c r="L64" s="741">
        <f>SUM(L39:L63)</f>
        <v>25688952.876854319</v>
      </c>
      <c r="M64" s="3"/>
      <c r="N64" s="2"/>
      <c r="O64" s="2"/>
      <c r="P64" s="2"/>
      <c r="Q64" s="2"/>
      <c r="R64" s="2"/>
      <c r="S64" s="2"/>
      <c r="T64" s="2"/>
      <c r="U64" s="2"/>
      <c r="V64" s="2"/>
      <c r="W64" s="3"/>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row>
    <row r="65" spans="1:59" ht="12" x14ac:dyDescent="0.2">
      <c r="A65" s="841"/>
      <c r="B65" s="769" t="s">
        <v>583</v>
      </c>
      <c r="C65" s="820" t="str">
        <f>IF('WS3 - Notional General Income'!C68="","",'WS3 - Notional General Income'!C68)</f>
        <v>Farmland</v>
      </c>
      <c r="D65" s="749"/>
      <c r="E65" s="1459"/>
      <c r="F65" s="748"/>
      <c r="G65" s="1460" t="str">
        <f t="shared" ref="G65:G74" si="3">IF(F65="",".",D65*F65/L65)</f>
        <v>.</v>
      </c>
      <c r="H65" s="752"/>
      <c r="I65" s="753"/>
      <c r="J65" s="753"/>
      <c r="K65" s="753"/>
      <c r="L65" s="770" t="str">
        <f t="shared" ref="L65:L74" si="4">IF(D65="",".",IF(F65&lt;&gt;"",F65*D65+J65*(E65/100),(J65-K65)*(E65/100)+H65*I65))</f>
        <v>.</v>
      </c>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row>
    <row r="66" spans="1:59" ht="12" x14ac:dyDescent="0.2">
      <c r="A66" s="841"/>
      <c r="B66" s="769" t="s">
        <v>583</v>
      </c>
      <c r="C66" s="809" t="str">
        <f>IF('WS3 - Notional General Income'!C69="","",'WS3 - Notional General Income'!C69)</f>
        <v/>
      </c>
      <c r="D66" s="753"/>
      <c r="E66" s="754"/>
      <c r="F66" s="752"/>
      <c r="G66" s="755" t="str">
        <f t="shared" si="3"/>
        <v>.</v>
      </c>
      <c r="H66" s="752"/>
      <c r="I66" s="753"/>
      <c r="J66" s="753"/>
      <c r="K66" s="753"/>
      <c r="L66" s="770" t="str">
        <f t="shared" si="4"/>
        <v>.</v>
      </c>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row>
    <row r="67" spans="1:59" ht="12" x14ac:dyDescent="0.2">
      <c r="A67" s="841"/>
      <c r="B67" s="769" t="s">
        <v>583</v>
      </c>
      <c r="C67" s="809" t="str">
        <f>IF('WS3 - Notional General Income'!C70="","",'WS3 - Notional General Income'!C70)</f>
        <v/>
      </c>
      <c r="D67" s="753"/>
      <c r="E67" s="754"/>
      <c r="F67" s="752"/>
      <c r="G67" s="755" t="str">
        <f t="shared" si="3"/>
        <v>.</v>
      </c>
      <c r="H67" s="752"/>
      <c r="I67" s="753"/>
      <c r="J67" s="753"/>
      <c r="K67" s="753"/>
      <c r="L67" s="770" t="str">
        <f t="shared" si="4"/>
        <v>.</v>
      </c>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row>
    <row r="68" spans="1:59" ht="12" x14ac:dyDescent="0.2">
      <c r="A68" s="841"/>
      <c r="B68" s="769" t="s">
        <v>583</v>
      </c>
      <c r="C68" s="809" t="str">
        <f>IF('WS3 - Notional General Income'!C71="","",'WS3 - Notional General Income'!C71)</f>
        <v/>
      </c>
      <c r="D68" s="753"/>
      <c r="E68" s="754"/>
      <c r="F68" s="752"/>
      <c r="G68" s="755" t="str">
        <f t="shared" si="3"/>
        <v>.</v>
      </c>
      <c r="H68" s="752"/>
      <c r="I68" s="753"/>
      <c r="J68" s="753"/>
      <c r="K68" s="753"/>
      <c r="L68" s="770" t="str">
        <f t="shared" si="4"/>
        <v>.</v>
      </c>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row>
    <row r="69" spans="1:59" ht="12" x14ac:dyDescent="0.2">
      <c r="A69" s="841"/>
      <c r="B69" s="769" t="s">
        <v>583</v>
      </c>
      <c r="C69" s="809" t="str">
        <f>IF('WS3 - Notional General Income'!C72="","",'WS3 - Notional General Income'!C72)</f>
        <v/>
      </c>
      <c r="D69" s="753"/>
      <c r="E69" s="754"/>
      <c r="F69" s="752"/>
      <c r="G69" s="755" t="str">
        <f t="shared" si="3"/>
        <v>.</v>
      </c>
      <c r="H69" s="752"/>
      <c r="I69" s="753"/>
      <c r="J69" s="753"/>
      <c r="K69" s="753"/>
      <c r="L69" s="770" t="str">
        <f t="shared" si="4"/>
        <v>.</v>
      </c>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row>
    <row r="70" spans="1:59" ht="12" x14ac:dyDescent="0.2">
      <c r="A70" s="841"/>
      <c r="B70" s="769" t="s">
        <v>583</v>
      </c>
      <c r="C70" s="809" t="str">
        <f>IF('WS3 - Notional General Income'!C73="","",'WS3 - Notional General Income'!C73)</f>
        <v/>
      </c>
      <c r="D70" s="753"/>
      <c r="E70" s="754"/>
      <c r="F70" s="752"/>
      <c r="G70" s="755" t="str">
        <f t="shared" si="3"/>
        <v>.</v>
      </c>
      <c r="H70" s="752"/>
      <c r="I70" s="753"/>
      <c r="J70" s="753"/>
      <c r="K70" s="753"/>
      <c r="L70" s="770" t="str">
        <f t="shared" si="4"/>
        <v>.</v>
      </c>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row>
    <row r="71" spans="1:59" ht="12" x14ac:dyDescent="0.2">
      <c r="A71" s="841"/>
      <c r="B71" s="769" t="s">
        <v>583</v>
      </c>
      <c r="C71" s="809" t="str">
        <f>IF('WS3 - Notional General Income'!C74="","",'WS3 - Notional General Income'!C74)</f>
        <v/>
      </c>
      <c r="D71" s="753"/>
      <c r="E71" s="754"/>
      <c r="F71" s="752"/>
      <c r="G71" s="755" t="str">
        <f t="shared" si="3"/>
        <v>.</v>
      </c>
      <c r="H71" s="752"/>
      <c r="I71" s="753"/>
      <c r="J71" s="753"/>
      <c r="K71" s="753"/>
      <c r="L71" s="770" t="str">
        <f t="shared" si="4"/>
        <v>.</v>
      </c>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row>
    <row r="72" spans="1:59" ht="12" x14ac:dyDescent="0.2">
      <c r="A72" s="841"/>
      <c r="B72" s="769" t="s">
        <v>583</v>
      </c>
      <c r="C72" s="809" t="str">
        <f>IF('WS3 - Notional General Income'!C75="","",'WS3 - Notional General Income'!C75)</f>
        <v/>
      </c>
      <c r="D72" s="753"/>
      <c r="E72" s="754"/>
      <c r="F72" s="752"/>
      <c r="G72" s="755" t="str">
        <f t="shared" si="3"/>
        <v>.</v>
      </c>
      <c r="H72" s="752"/>
      <c r="I72" s="753"/>
      <c r="J72" s="753"/>
      <c r="K72" s="753"/>
      <c r="L72" s="770" t="str">
        <f t="shared" si="4"/>
        <v>.</v>
      </c>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row>
    <row r="73" spans="1:59" ht="12" x14ac:dyDescent="0.2">
      <c r="A73" s="841"/>
      <c r="B73" s="769" t="s">
        <v>583</v>
      </c>
      <c r="C73" s="809" t="str">
        <f>IF('WS3 - Notional General Income'!C76="","",'WS3 - Notional General Income'!C76)</f>
        <v/>
      </c>
      <c r="D73" s="753"/>
      <c r="E73" s="754"/>
      <c r="F73" s="752"/>
      <c r="G73" s="755" t="str">
        <f t="shared" si="3"/>
        <v>.</v>
      </c>
      <c r="H73" s="752"/>
      <c r="I73" s="753"/>
      <c r="J73" s="753"/>
      <c r="K73" s="753"/>
      <c r="L73" s="770" t="str">
        <f t="shared" si="4"/>
        <v>.</v>
      </c>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row>
    <row r="74" spans="1:59" ht="12" x14ac:dyDescent="0.2">
      <c r="A74" s="841"/>
      <c r="B74" s="769" t="s">
        <v>583</v>
      </c>
      <c r="C74" s="809" t="str">
        <f>IF('WS3 - Notional General Income'!C77="","",'WS3 - Notional General Income'!C77)</f>
        <v/>
      </c>
      <c r="D74" s="753"/>
      <c r="E74" s="754"/>
      <c r="F74" s="752"/>
      <c r="G74" s="755" t="str">
        <f t="shared" si="3"/>
        <v>.</v>
      </c>
      <c r="H74" s="752"/>
      <c r="I74" s="753"/>
      <c r="J74" s="753"/>
      <c r="K74" s="753"/>
      <c r="L74" s="770" t="str">
        <f t="shared" si="4"/>
        <v>.</v>
      </c>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row>
    <row r="75" spans="1:59" s="6" customFormat="1" ht="12" x14ac:dyDescent="0.2">
      <c r="A75" s="841"/>
      <c r="B75" s="757"/>
      <c r="C75" s="736" t="s">
        <v>584</v>
      </c>
      <c r="D75" s="737">
        <f>SUM(D65:D74)</f>
        <v>0</v>
      </c>
      <c r="E75" s="738"/>
      <c r="F75" s="739"/>
      <c r="G75" s="740"/>
      <c r="H75" s="739"/>
      <c r="I75" s="737">
        <f>SUM(I65:I74)</f>
        <v>0</v>
      </c>
      <c r="J75" s="737">
        <f>SUM(J65:J74)</f>
        <v>0</v>
      </c>
      <c r="K75" s="737">
        <f>SUM(K65:K74)</f>
        <v>0</v>
      </c>
      <c r="L75" s="741">
        <f>SUM(L65:L74)</f>
        <v>0</v>
      </c>
      <c r="M75" s="3"/>
      <c r="N75" s="2"/>
      <c r="O75" s="2"/>
      <c r="P75" s="2"/>
      <c r="Q75" s="2"/>
      <c r="R75" s="2"/>
      <c r="S75" s="2"/>
      <c r="T75" s="2"/>
      <c r="U75" s="2"/>
      <c r="V75" s="2"/>
      <c r="W75" s="3"/>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row>
    <row r="76" spans="1:59" ht="12" x14ac:dyDescent="0.2">
      <c r="A76" s="841"/>
      <c r="B76" s="769" t="s">
        <v>585</v>
      </c>
      <c r="C76" s="809" t="str">
        <f>IF('WS3 - Notional General Income'!C79="","",'WS3 - Notional General Income'!C79)</f>
        <v/>
      </c>
      <c r="D76" s="753"/>
      <c r="E76" s="754"/>
      <c r="F76" s="752"/>
      <c r="G76" s="755" t="str">
        <f t="shared" ref="G76:G85" si="5">IF(F76="",".",D76*F76/L76)</f>
        <v>.</v>
      </c>
      <c r="H76" s="752"/>
      <c r="I76" s="753"/>
      <c r="J76" s="753"/>
      <c r="K76" s="753"/>
      <c r="L76" s="770" t="str">
        <f t="shared" ref="L76:L85" si="6">IF(D76="",".",IF(F76&lt;&gt;"",F76*D76+J76*(E76/100),(J76-K76)*(E76/100)+H76*I76))</f>
        <v>.</v>
      </c>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row>
    <row r="77" spans="1:59" ht="12" x14ac:dyDescent="0.2">
      <c r="A77" s="841"/>
      <c r="B77" s="769" t="s">
        <v>585</v>
      </c>
      <c r="C77" s="809" t="str">
        <f>IF('WS3 - Notional General Income'!C80="","",'WS3 - Notional General Income'!C80)</f>
        <v/>
      </c>
      <c r="D77" s="753"/>
      <c r="E77" s="754"/>
      <c r="F77" s="752"/>
      <c r="G77" s="755" t="str">
        <f t="shared" si="5"/>
        <v>.</v>
      </c>
      <c r="H77" s="752"/>
      <c r="I77" s="753"/>
      <c r="J77" s="753"/>
      <c r="K77" s="753"/>
      <c r="L77" s="770" t="str">
        <f t="shared" si="6"/>
        <v>.</v>
      </c>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row>
    <row r="78" spans="1:59" ht="12" x14ac:dyDescent="0.2">
      <c r="A78" s="841"/>
      <c r="B78" s="769" t="s">
        <v>585</v>
      </c>
      <c r="C78" s="809" t="str">
        <f>IF('WS3 - Notional General Income'!C81="","",'WS3 - Notional General Income'!C81)</f>
        <v/>
      </c>
      <c r="D78" s="753"/>
      <c r="E78" s="754"/>
      <c r="F78" s="752"/>
      <c r="G78" s="755" t="str">
        <f t="shared" si="5"/>
        <v>.</v>
      </c>
      <c r="H78" s="752"/>
      <c r="I78" s="753"/>
      <c r="J78" s="753"/>
      <c r="K78" s="753"/>
      <c r="L78" s="770" t="str">
        <f t="shared" si="6"/>
        <v>.</v>
      </c>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row>
    <row r="79" spans="1:59" ht="12" x14ac:dyDescent="0.2">
      <c r="A79" s="841"/>
      <c r="B79" s="769" t="s">
        <v>585</v>
      </c>
      <c r="C79" s="809" t="str">
        <f>IF('WS3 - Notional General Income'!C82="","",'WS3 - Notional General Income'!C82)</f>
        <v/>
      </c>
      <c r="D79" s="753"/>
      <c r="E79" s="754"/>
      <c r="F79" s="752"/>
      <c r="G79" s="755" t="str">
        <f t="shared" si="5"/>
        <v>.</v>
      </c>
      <c r="H79" s="752"/>
      <c r="I79" s="753"/>
      <c r="J79" s="753"/>
      <c r="K79" s="753"/>
      <c r="L79" s="770" t="str">
        <f t="shared" si="6"/>
        <v>.</v>
      </c>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row>
    <row r="80" spans="1:59" ht="12" x14ac:dyDescent="0.2">
      <c r="A80" s="841"/>
      <c r="B80" s="769" t="s">
        <v>585</v>
      </c>
      <c r="C80" s="809" t="str">
        <f>IF('WS3 - Notional General Income'!C83="","",'WS3 - Notional General Income'!C83)</f>
        <v/>
      </c>
      <c r="D80" s="753"/>
      <c r="E80" s="754"/>
      <c r="F80" s="752"/>
      <c r="G80" s="755" t="str">
        <f t="shared" si="5"/>
        <v>.</v>
      </c>
      <c r="H80" s="752"/>
      <c r="I80" s="753"/>
      <c r="J80" s="753"/>
      <c r="K80" s="753"/>
      <c r="L80" s="770" t="str">
        <f t="shared" si="6"/>
        <v>.</v>
      </c>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row>
    <row r="81" spans="1:59" ht="12" x14ac:dyDescent="0.2">
      <c r="A81" s="841"/>
      <c r="B81" s="769" t="s">
        <v>585</v>
      </c>
      <c r="C81" s="809" t="str">
        <f>IF('WS3 - Notional General Income'!C84="","",'WS3 - Notional General Income'!C84)</f>
        <v/>
      </c>
      <c r="D81" s="753"/>
      <c r="E81" s="754"/>
      <c r="F81" s="752"/>
      <c r="G81" s="755" t="str">
        <f t="shared" si="5"/>
        <v>.</v>
      </c>
      <c r="H81" s="752"/>
      <c r="I81" s="753"/>
      <c r="J81" s="753"/>
      <c r="K81" s="753"/>
      <c r="L81" s="770" t="str">
        <f t="shared" si="6"/>
        <v>.</v>
      </c>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row>
    <row r="82" spans="1:59" ht="12" x14ac:dyDescent="0.2">
      <c r="A82" s="841"/>
      <c r="B82" s="769" t="s">
        <v>585</v>
      </c>
      <c r="C82" s="809" t="str">
        <f>IF('WS3 - Notional General Income'!C85="","",'WS3 - Notional General Income'!C85)</f>
        <v/>
      </c>
      <c r="D82" s="753"/>
      <c r="E82" s="754"/>
      <c r="F82" s="752"/>
      <c r="G82" s="755" t="str">
        <f t="shared" si="5"/>
        <v>.</v>
      </c>
      <c r="H82" s="752"/>
      <c r="I82" s="753"/>
      <c r="J82" s="753"/>
      <c r="K82" s="753"/>
      <c r="L82" s="770" t="str">
        <f t="shared" si="6"/>
        <v>.</v>
      </c>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row>
    <row r="83" spans="1:59" ht="12" x14ac:dyDescent="0.2">
      <c r="A83" s="841"/>
      <c r="B83" s="769" t="s">
        <v>585</v>
      </c>
      <c r="C83" s="809" t="str">
        <f>IF('WS3 - Notional General Income'!C86="","",'WS3 - Notional General Income'!C86)</f>
        <v/>
      </c>
      <c r="D83" s="753"/>
      <c r="E83" s="754"/>
      <c r="F83" s="752"/>
      <c r="G83" s="755" t="str">
        <f t="shared" si="5"/>
        <v>.</v>
      </c>
      <c r="H83" s="752"/>
      <c r="I83" s="753"/>
      <c r="J83" s="753"/>
      <c r="K83" s="753"/>
      <c r="L83" s="770" t="str">
        <f t="shared" si="6"/>
        <v>.</v>
      </c>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row>
    <row r="84" spans="1:59" ht="12" x14ac:dyDescent="0.2">
      <c r="A84" s="841"/>
      <c r="B84" s="769" t="s">
        <v>585</v>
      </c>
      <c r="C84" s="809" t="str">
        <f>IF('WS3 - Notional General Income'!C87="","",'WS3 - Notional General Income'!C87)</f>
        <v/>
      </c>
      <c r="D84" s="753"/>
      <c r="E84" s="754"/>
      <c r="F84" s="752"/>
      <c r="G84" s="755" t="str">
        <f t="shared" si="5"/>
        <v>.</v>
      </c>
      <c r="H84" s="752"/>
      <c r="I84" s="753"/>
      <c r="J84" s="753"/>
      <c r="K84" s="753"/>
      <c r="L84" s="770" t="str">
        <f t="shared" si="6"/>
        <v>.</v>
      </c>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row>
    <row r="85" spans="1:59" ht="12" x14ac:dyDescent="0.2">
      <c r="A85" s="841"/>
      <c r="B85" s="769" t="s">
        <v>585</v>
      </c>
      <c r="C85" s="809" t="str">
        <f>IF('WS3 - Notional General Income'!C88="","",'WS3 - Notional General Income'!C88)</f>
        <v/>
      </c>
      <c r="D85" s="753"/>
      <c r="E85" s="754"/>
      <c r="F85" s="752"/>
      <c r="G85" s="755" t="str">
        <f t="shared" si="5"/>
        <v>.</v>
      </c>
      <c r="H85" s="752"/>
      <c r="I85" s="753"/>
      <c r="J85" s="753"/>
      <c r="K85" s="753"/>
      <c r="L85" s="770" t="str">
        <f t="shared" si="6"/>
        <v>.</v>
      </c>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row>
    <row r="86" spans="1:59" s="6" customFormat="1" ht="12" x14ac:dyDescent="0.2">
      <c r="A86" s="841"/>
      <c r="B86" s="736"/>
      <c r="C86" s="736" t="s">
        <v>586</v>
      </c>
      <c r="D86" s="737">
        <f>SUM(D76:D85)</f>
        <v>0</v>
      </c>
      <c r="E86" s="738"/>
      <c r="F86" s="739"/>
      <c r="G86" s="742"/>
      <c r="H86" s="739"/>
      <c r="I86" s="737">
        <f>SUM(I76:I85)</f>
        <v>0</v>
      </c>
      <c r="J86" s="737">
        <f>SUM(J76:J85)</f>
        <v>0</v>
      </c>
      <c r="K86" s="737">
        <f>SUM(K76:K85)</f>
        <v>0</v>
      </c>
      <c r="L86" s="741">
        <f>SUM(L76:L85)</f>
        <v>0</v>
      </c>
      <c r="M86" s="3"/>
      <c r="N86" s="2"/>
      <c r="O86" s="2"/>
      <c r="P86" s="2"/>
      <c r="Q86" s="2"/>
      <c r="R86" s="2"/>
      <c r="S86" s="2"/>
      <c r="T86" s="2"/>
      <c r="U86" s="2"/>
      <c r="V86" s="2"/>
      <c r="W86" s="3"/>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row>
    <row r="87" spans="1:59" ht="12" x14ac:dyDescent="0.2">
      <c r="A87" s="841"/>
      <c r="B87" s="810" t="s">
        <v>587</v>
      </c>
      <c r="C87" s="811"/>
      <c r="D87" s="743">
        <f>D38+D64+D75+D86</f>
        <v>32457</v>
      </c>
      <c r="E87" s="290"/>
      <c r="F87" s="772"/>
      <c r="G87" s="772" t="s">
        <v>588</v>
      </c>
      <c r="H87" s="290"/>
      <c r="I87" s="290"/>
      <c r="J87" s="745">
        <f>J38+J64+J75+J86</f>
        <v>46670593811</v>
      </c>
      <c r="K87" s="746" t="s">
        <v>589</v>
      </c>
      <c r="L87" s="812">
        <f>L38+L64+L75+L86</f>
        <v>62504804.204755157</v>
      </c>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row>
    <row r="88" spans="1:59" ht="12" x14ac:dyDescent="0.2">
      <c r="A88" s="841"/>
      <c r="B88" s="775"/>
      <c r="C88" s="775"/>
      <c r="D88" s="776"/>
      <c r="E88" s="776"/>
      <c r="F88" s="777"/>
      <c r="G88" s="776"/>
      <c r="H88" s="776"/>
      <c r="I88" s="776"/>
      <c r="J88" s="776"/>
      <c r="K88" s="778"/>
      <c r="L88" s="784"/>
      <c r="M88" s="46"/>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row>
    <row r="89" spans="1:59" ht="12" customHeight="1" x14ac:dyDescent="0.2">
      <c r="A89" s="841"/>
      <c r="B89" s="39"/>
      <c r="C89" s="39"/>
      <c r="D89" s="3"/>
      <c r="E89" s="3"/>
      <c r="F89" s="2"/>
      <c r="G89" s="3"/>
      <c r="H89" s="3"/>
      <c r="I89" s="3"/>
      <c r="J89" s="3"/>
      <c r="K89" s="46"/>
      <c r="L89" s="47"/>
      <c r="M89" s="46"/>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row>
    <row r="90" spans="1:59" ht="12" customHeight="1" x14ac:dyDescent="0.2">
      <c r="A90" s="841"/>
      <c r="B90" s="38"/>
      <c r="C90" s="38"/>
      <c r="D90" s="1"/>
      <c r="E90" s="1"/>
      <c r="F90" s="1"/>
      <c r="G90" s="3"/>
      <c r="H90" s="3"/>
      <c r="I90" s="3"/>
      <c r="J90" s="3"/>
      <c r="K90" s="41"/>
      <c r="L90" s="4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row>
    <row r="91" spans="1:59" x14ac:dyDescent="0.2">
      <c r="A91" s="841">
        <f>A16+1</f>
        <v>2</v>
      </c>
      <c r="B91" s="461" t="str">
        <f>"Table "&amp;A1&amp;"."&amp;A91&amp;": Calculation of Notional General Income - Special Rates ($ nominal)"</f>
        <v>Table 4.2: Calculation of Notional General Income - Special Rates ($ nominal)</v>
      </c>
      <c r="C91" s="42"/>
      <c r="D91" s="1"/>
      <c r="E91" s="1"/>
      <c r="F91" s="1"/>
      <c r="H91" s="19"/>
      <c r="I91" s="19"/>
      <c r="J91" s="19"/>
      <c r="K91" s="44"/>
      <c r="L91" s="44"/>
      <c r="M91" s="6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row>
    <row r="92" spans="1:59" ht="36" x14ac:dyDescent="0.2">
      <c r="A92" s="841"/>
      <c r="B92" s="795" t="s">
        <v>568</v>
      </c>
      <c r="C92" s="795" t="s">
        <v>590</v>
      </c>
      <c r="D92" s="734" t="s">
        <v>570</v>
      </c>
      <c r="E92" s="734" t="s">
        <v>591</v>
      </c>
      <c r="F92" s="734" t="s">
        <v>572</v>
      </c>
      <c r="G92" s="734" t="s">
        <v>573</v>
      </c>
      <c r="H92" s="734" t="s">
        <v>574</v>
      </c>
      <c r="I92" s="734" t="s">
        <v>575</v>
      </c>
      <c r="J92" s="734" t="s">
        <v>607</v>
      </c>
      <c r="K92" s="822" t="s">
        <v>577</v>
      </c>
      <c r="L92" s="796" t="s">
        <v>593</v>
      </c>
      <c r="M92" s="27"/>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row>
    <row r="93" spans="1:59" ht="12" x14ac:dyDescent="0.2">
      <c r="A93" s="841"/>
      <c r="B93" s="731" t="s">
        <v>579</v>
      </c>
      <c r="C93" s="820" t="str">
        <f>IF('WS3 - Notional General Income'!C96="","",'WS3 - Notional General Income'!C96)</f>
        <v/>
      </c>
      <c r="D93" s="752"/>
      <c r="E93" s="754"/>
      <c r="F93" s="752"/>
      <c r="G93" s="755" t="str">
        <f t="shared" ref="G93:G124" si="7">IF(F93="",".",D93*F93/L93)</f>
        <v>.</v>
      </c>
      <c r="H93" s="752"/>
      <c r="I93" s="752"/>
      <c r="J93" s="753"/>
      <c r="K93" s="823"/>
      <c r="L93" s="747" t="str">
        <f t="shared" ref="L93:L124" si="8">IF(D93="",".",IF(F93&lt;&gt;"",F93*D93+J93*(E93/100),(J93-K93)*(E93/100)+H93*I93))</f>
        <v>.</v>
      </c>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row>
    <row r="94" spans="1:59" ht="12" x14ac:dyDescent="0.2">
      <c r="A94" s="841"/>
      <c r="B94" s="731" t="s">
        <v>579</v>
      </c>
      <c r="C94" s="820" t="str">
        <f>IF('WS3 - Notional General Income'!C97="","",'WS3 - Notional General Income'!C97)</f>
        <v/>
      </c>
      <c r="D94" s="752"/>
      <c r="E94" s="754"/>
      <c r="F94" s="752"/>
      <c r="G94" s="755" t="str">
        <f t="shared" si="7"/>
        <v>.</v>
      </c>
      <c r="H94" s="752"/>
      <c r="I94" s="752"/>
      <c r="J94" s="753"/>
      <c r="K94" s="823"/>
      <c r="L94" s="747" t="str">
        <f t="shared" si="8"/>
        <v>.</v>
      </c>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row>
    <row r="95" spans="1:59" ht="12" x14ac:dyDescent="0.2">
      <c r="A95" s="841"/>
      <c r="B95" s="731" t="s">
        <v>579</v>
      </c>
      <c r="C95" s="820" t="str">
        <f>IF('WS3 - Notional General Income'!C98="","",'WS3 - Notional General Income'!C98)</f>
        <v/>
      </c>
      <c r="D95" s="752"/>
      <c r="E95" s="754"/>
      <c r="F95" s="752"/>
      <c r="G95" s="755" t="str">
        <f t="shared" si="7"/>
        <v>.</v>
      </c>
      <c r="H95" s="752"/>
      <c r="I95" s="752"/>
      <c r="J95" s="753"/>
      <c r="K95" s="823"/>
      <c r="L95" s="747" t="str">
        <f t="shared" si="8"/>
        <v>.</v>
      </c>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row>
    <row r="96" spans="1:59" ht="12" x14ac:dyDescent="0.2">
      <c r="A96" s="841"/>
      <c r="B96" s="731" t="s">
        <v>579</v>
      </c>
      <c r="C96" s="820" t="str">
        <f>IF('WS3 - Notional General Income'!C99="","",'WS3 - Notional General Income'!C99)</f>
        <v/>
      </c>
      <c r="D96" s="752"/>
      <c r="E96" s="754"/>
      <c r="F96" s="752"/>
      <c r="G96" s="755" t="str">
        <f t="shared" si="7"/>
        <v>.</v>
      </c>
      <c r="H96" s="752"/>
      <c r="I96" s="752"/>
      <c r="J96" s="753"/>
      <c r="K96" s="823"/>
      <c r="L96" s="747" t="str">
        <f t="shared" si="8"/>
        <v>.</v>
      </c>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row>
    <row r="97" spans="1:59" ht="12" x14ac:dyDescent="0.2">
      <c r="A97" s="841"/>
      <c r="B97" s="731" t="s">
        <v>579</v>
      </c>
      <c r="C97" s="820" t="str">
        <f>IF('WS3 - Notional General Income'!C100="","",'WS3 - Notional General Income'!C100)</f>
        <v/>
      </c>
      <c r="D97" s="752"/>
      <c r="E97" s="754"/>
      <c r="F97" s="752"/>
      <c r="G97" s="755" t="str">
        <f t="shared" si="7"/>
        <v>.</v>
      </c>
      <c r="H97" s="752"/>
      <c r="I97" s="752"/>
      <c r="J97" s="753"/>
      <c r="K97" s="823"/>
      <c r="L97" s="747" t="str">
        <f t="shared" si="8"/>
        <v>.</v>
      </c>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row>
    <row r="98" spans="1:59" ht="12" x14ac:dyDescent="0.2">
      <c r="A98" s="841"/>
      <c r="B98" s="731" t="s">
        <v>579</v>
      </c>
      <c r="C98" s="820" t="str">
        <f>IF('WS3 - Notional General Income'!C101="","",'WS3 - Notional General Income'!C101)</f>
        <v/>
      </c>
      <c r="D98" s="752"/>
      <c r="E98" s="754"/>
      <c r="F98" s="752"/>
      <c r="G98" s="755" t="str">
        <f t="shared" si="7"/>
        <v>.</v>
      </c>
      <c r="H98" s="752"/>
      <c r="I98" s="752"/>
      <c r="J98" s="753"/>
      <c r="K98" s="823"/>
      <c r="L98" s="747" t="str">
        <f t="shared" si="8"/>
        <v>.</v>
      </c>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row>
    <row r="99" spans="1:59" ht="12" x14ac:dyDescent="0.2">
      <c r="A99" s="841"/>
      <c r="B99" s="731" t="s">
        <v>579</v>
      </c>
      <c r="C99" s="820" t="str">
        <f>IF('WS3 - Notional General Income'!C102="","",'WS3 - Notional General Income'!C102)</f>
        <v/>
      </c>
      <c r="D99" s="752"/>
      <c r="E99" s="754"/>
      <c r="F99" s="752"/>
      <c r="G99" s="755" t="str">
        <f t="shared" si="7"/>
        <v>.</v>
      </c>
      <c r="H99" s="752"/>
      <c r="I99" s="752"/>
      <c r="J99" s="753"/>
      <c r="K99" s="823"/>
      <c r="L99" s="747" t="str">
        <f t="shared" si="8"/>
        <v>.</v>
      </c>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row>
    <row r="100" spans="1:59" ht="12" x14ac:dyDescent="0.2">
      <c r="A100" s="841"/>
      <c r="B100" s="731" t="s">
        <v>579</v>
      </c>
      <c r="C100" s="820" t="str">
        <f>IF('WS3 - Notional General Income'!C103="","",'WS3 - Notional General Income'!C103)</f>
        <v/>
      </c>
      <c r="D100" s="752"/>
      <c r="E100" s="754"/>
      <c r="F100" s="752"/>
      <c r="G100" s="755" t="str">
        <f t="shared" si="7"/>
        <v>.</v>
      </c>
      <c r="H100" s="752"/>
      <c r="I100" s="752"/>
      <c r="J100" s="753"/>
      <c r="K100" s="823"/>
      <c r="L100" s="747" t="str">
        <f t="shared" si="8"/>
        <v>.</v>
      </c>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row>
    <row r="101" spans="1:59" ht="12" x14ac:dyDescent="0.2">
      <c r="A101" s="841"/>
      <c r="B101" s="731" t="s">
        <v>579</v>
      </c>
      <c r="C101" s="820" t="str">
        <f>IF('WS3 - Notional General Income'!C104="","",'WS3 - Notional General Income'!C104)</f>
        <v/>
      </c>
      <c r="D101" s="752"/>
      <c r="E101" s="754"/>
      <c r="F101" s="752"/>
      <c r="G101" s="755" t="str">
        <f t="shared" si="7"/>
        <v>.</v>
      </c>
      <c r="H101" s="752"/>
      <c r="I101" s="752"/>
      <c r="J101" s="753"/>
      <c r="K101" s="823"/>
      <c r="L101" s="747" t="str">
        <f t="shared" si="8"/>
        <v>.</v>
      </c>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row>
    <row r="102" spans="1:59" ht="12" x14ac:dyDescent="0.2">
      <c r="A102" s="841"/>
      <c r="B102" s="731" t="s">
        <v>579</v>
      </c>
      <c r="C102" s="820" t="str">
        <f>IF('WS3 - Notional General Income'!C105="","",'WS3 - Notional General Income'!C105)</f>
        <v/>
      </c>
      <c r="D102" s="752"/>
      <c r="E102" s="754"/>
      <c r="F102" s="752"/>
      <c r="G102" s="755" t="str">
        <f t="shared" si="7"/>
        <v>.</v>
      </c>
      <c r="H102" s="752"/>
      <c r="I102" s="752"/>
      <c r="J102" s="753"/>
      <c r="K102" s="823"/>
      <c r="L102" s="747" t="str">
        <f t="shared" si="8"/>
        <v>.</v>
      </c>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row>
    <row r="103" spans="1:59" ht="12" x14ac:dyDescent="0.2">
      <c r="A103" s="841"/>
      <c r="B103" s="731" t="s">
        <v>581</v>
      </c>
      <c r="C103" s="820" t="str">
        <f>IF('WS3 - Notional General Income'!C106="","",'WS3 - Notional General Income'!C106)</f>
        <v/>
      </c>
      <c r="D103" s="752"/>
      <c r="E103" s="754"/>
      <c r="F103" s="752"/>
      <c r="G103" s="755" t="str">
        <f t="shared" si="7"/>
        <v>.</v>
      </c>
      <c r="H103" s="752"/>
      <c r="I103" s="752"/>
      <c r="J103" s="753"/>
      <c r="K103" s="823"/>
      <c r="L103" s="747" t="str">
        <f t="shared" si="8"/>
        <v>.</v>
      </c>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row>
    <row r="104" spans="1:59" ht="12" x14ac:dyDescent="0.2">
      <c r="A104" s="841"/>
      <c r="B104" s="731" t="s">
        <v>581</v>
      </c>
      <c r="C104" s="820" t="str">
        <f>IF('WS3 - Notional General Income'!C107="","",'WS3 - Notional General Income'!C107)</f>
        <v/>
      </c>
      <c r="D104" s="752"/>
      <c r="E104" s="754"/>
      <c r="F104" s="752"/>
      <c r="G104" s="755" t="str">
        <f t="shared" si="7"/>
        <v>.</v>
      </c>
      <c r="H104" s="752"/>
      <c r="I104" s="752"/>
      <c r="J104" s="753"/>
      <c r="K104" s="823"/>
      <c r="L104" s="747" t="str">
        <f t="shared" si="8"/>
        <v>.</v>
      </c>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row>
    <row r="105" spans="1:59" ht="12" x14ac:dyDescent="0.2">
      <c r="A105" s="841"/>
      <c r="B105" s="731" t="s">
        <v>581</v>
      </c>
      <c r="C105" s="820" t="str">
        <f>IF('WS3 - Notional General Income'!C108="","",'WS3 - Notional General Income'!C108)</f>
        <v/>
      </c>
      <c r="D105" s="752"/>
      <c r="E105" s="754"/>
      <c r="F105" s="752"/>
      <c r="G105" s="755" t="str">
        <f t="shared" si="7"/>
        <v>.</v>
      </c>
      <c r="H105" s="752"/>
      <c r="I105" s="752"/>
      <c r="J105" s="753"/>
      <c r="K105" s="823"/>
      <c r="L105" s="747" t="str">
        <f t="shared" si="8"/>
        <v>.</v>
      </c>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row>
    <row r="106" spans="1:59" ht="12" x14ac:dyDescent="0.2">
      <c r="A106" s="841"/>
      <c r="B106" s="731" t="s">
        <v>581</v>
      </c>
      <c r="C106" s="820" t="str">
        <f>IF('WS3 - Notional General Income'!C109="","",'WS3 - Notional General Income'!C109)</f>
        <v/>
      </c>
      <c r="D106" s="752"/>
      <c r="E106" s="754"/>
      <c r="F106" s="752"/>
      <c r="G106" s="755" t="str">
        <f t="shared" si="7"/>
        <v>.</v>
      </c>
      <c r="H106" s="752"/>
      <c r="I106" s="752"/>
      <c r="J106" s="753"/>
      <c r="K106" s="823"/>
      <c r="L106" s="747" t="str">
        <f t="shared" si="8"/>
        <v>.</v>
      </c>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row>
    <row r="107" spans="1:59" ht="12" x14ac:dyDescent="0.2">
      <c r="A107" s="841"/>
      <c r="B107" s="731" t="s">
        <v>581</v>
      </c>
      <c r="C107" s="820" t="str">
        <f>IF('WS3 - Notional General Income'!C110="","",'WS3 - Notional General Income'!C110)</f>
        <v/>
      </c>
      <c r="D107" s="752"/>
      <c r="E107" s="754"/>
      <c r="F107" s="752"/>
      <c r="G107" s="755" t="str">
        <f t="shared" si="7"/>
        <v>.</v>
      </c>
      <c r="H107" s="752"/>
      <c r="I107" s="752"/>
      <c r="J107" s="753"/>
      <c r="K107" s="823"/>
      <c r="L107" s="747" t="str">
        <f t="shared" si="8"/>
        <v>.</v>
      </c>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row>
    <row r="108" spans="1:59" ht="12" x14ac:dyDescent="0.2">
      <c r="A108" s="841"/>
      <c r="B108" s="731" t="s">
        <v>581</v>
      </c>
      <c r="C108" s="820" t="str">
        <f>IF('WS3 - Notional General Income'!C111="","",'WS3 - Notional General Income'!C111)</f>
        <v/>
      </c>
      <c r="D108" s="752"/>
      <c r="E108" s="754"/>
      <c r="F108" s="752"/>
      <c r="G108" s="755" t="str">
        <f t="shared" si="7"/>
        <v>.</v>
      </c>
      <c r="H108" s="752"/>
      <c r="I108" s="752"/>
      <c r="J108" s="753"/>
      <c r="K108" s="823"/>
      <c r="L108" s="747" t="str">
        <f t="shared" si="8"/>
        <v>.</v>
      </c>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row>
    <row r="109" spans="1:59" ht="12" x14ac:dyDescent="0.2">
      <c r="A109" s="841"/>
      <c r="B109" s="731" t="s">
        <v>581</v>
      </c>
      <c r="C109" s="820" t="str">
        <f>IF('WS3 - Notional General Income'!C112="","",'WS3 - Notional General Income'!C112)</f>
        <v/>
      </c>
      <c r="D109" s="752"/>
      <c r="E109" s="754"/>
      <c r="F109" s="752"/>
      <c r="G109" s="755" t="str">
        <f t="shared" si="7"/>
        <v>.</v>
      </c>
      <c r="H109" s="752"/>
      <c r="I109" s="752"/>
      <c r="J109" s="753"/>
      <c r="K109" s="823"/>
      <c r="L109" s="747" t="str">
        <f t="shared" si="8"/>
        <v>.</v>
      </c>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row>
    <row r="110" spans="1:59" ht="12" x14ac:dyDescent="0.2">
      <c r="A110" s="841"/>
      <c r="B110" s="731" t="s">
        <v>581</v>
      </c>
      <c r="C110" s="820" t="str">
        <f>IF('WS3 - Notional General Income'!C113="","",'WS3 - Notional General Income'!C113)</f>
        <v/>
      </c>
      <c r="D110" s="752"/>
      <c r="E110" s="754"/>
      <c r="F110" s="752"/>
      <c r="G110" s="755" t="str">
        <f t="shared" si="7"/>
        <v>.</v>
      </c>
      <c r="H110" s="752"/>
      <c r="I110" s="752"/>
      <c r="J110" s="753"/>
      <c r="K110" s="823"/>
      <c r="L110" s="747" t="str">
        <f t="shared" si="8"/>
        <v>.</v>
      </c>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row>
    <row r="111" spans="1:59" ht="12" x14ac:dyDescent="0.2">
      <c r="A111" s="841"/>
      <c r="B111" s="731" t="s">
        <v>581</v>
      </c>
      <c r="C111" s="820" t="str">
        <f>IF('WS3 - Notional General Income'!C114="","",'WS3 - Notional General Income'!C114)</f>
        <v/>
      </c>
      <c r="D111" s="752"/>
      <c r="E111" s="754"/>
      <c r="F111" s="752"/>
      <c r="G111" s="755" t="str">
        <f t="shared" si="7"/>
        <v>.</v>
      </c>
      <c r="H111" s="752"/>
      <c r="I111" s="752"/>
      <c r="J111" s="753"/>
      <c r="K111" s="823"/>
      <c r="L111" s="747" t="str">
        <f t="shared" si="8"/>
        <v>.</v>
      </c>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row>
    <row r="112" spans="1:59" ht="12" x14ac:dyDescent="0.2">
      <c r="A112" s="841"/>
      <c r="B112" s="731" t="s">
        <v>581</v>
      </c>
      <c r="C112" s="820" t="str">
        <f>IF('WS3 - Notional General Income'!C115="","",'WS3 - Notional General Income'!C115)</f>
        <v/>
      </c>
      <c r="D112" s="752"/>
      <c r="E112" s="754"/>
      <c r="F112" s="752"/>
      <c r="G112" s="755" t="str">
        <f t="shared" si="7"/>
        <v>.</v>
      </c>
      <c r="H112" s="752"/>
      <c r="I112" s="752"/>
      <c r="J112" s="753"/>
      <c r="K112" s="823"/>
      <c r="L112" s="747" t="str">
        <f t="shared" si="8"/>
        <v>.</v>
      </c>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row>
    <row r="113" spans="1:59" ht="12" x14ac:dyDescent="0.2">
      <c r="A113" s="841"/>
      <c r="B113" s="731" t="s">
        <v>581</v>
      </c>
      <c r="C113" s="820" t="str">
        <f>IF('WS3 - Notional General Income'!C116="","",'WS3 - Notional General Income'!C116)</f>
        <v/>
      </c>
      <c r="D113" s="752"/>
      <c r="E113" s="754"/>
      <c r="F113" s="752"/>
      <c r="G113" s="755" t="str">
        <f t="shared" si="7"/>
        <v>.</v>
      </c>
      <c r="H113" s="752"/>
      <c r="I113" s="752"/>
      <c r="J113" s="753"/>
      <c r="K113" s="823"/>
      <c r="L113" s="747" t="str">
        <f t="shared" si="8"/>
        <v>.</v>
      </c>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row>
    <row r="114" spans="1:59" ht="12" x14ac:dyDescent="0.2">
      <c r="A114" s="841"/>
      <c r="B114" s="731" t="s">
        <v>581</v>
      </c>
      <c r="C114" s="820" t="str">
        <f>IF('WS3 - Notional General Income'!C117="","",'WS3 - Notional General Income'!C117)</f>
        <v/>
      </c>
      <c r="D114" s="752"/>
      <c r="E114" s="754"/>
      <c r="F114" s="752"/>
      <c r="G114" s="755" t="str">
        <f t="shared" si="7"/>
        <v>.</v>
      </c>
      <c r="H114" s="752"/>
      <c r="I114" s="752"/>
      <c r="J114" s="753"/>
      <c r="K114" s="823"/>
      <c r="L114" s="747" t="str">
        <f t="shared" si="8"/>
        <v>.</v>
      </c>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row>
    <row r="115" spans="1:59" ht="12" x14ac:dyDescent="0.2">
      <c r="A115" s="841"/>
      <c r="B115" s="731" t="s">
        <v>581</v>
      </c>
      <c r="C115" s="820" t="str">
        <f>IF('WS3 - Notional General Income'!C118="","",'WS3 - Notional General Income'!C118)</f>
        <v/>
      </c>
      <c r="D115" s="752"/>
      <c r="E115" s="754"/>
      <c r="F115" s="752"/>
      <c r="G115" s="755" t="str">
        <f t="shared" si="7"/>
        <v>.</v>
      </c>
      <c r="H115" s="752"/>
      <c r="I115" s="752"/>
      <c r="J115" s="753"/>
      <c r="K115" s="823"/>
      <c r="L115" s="747" t="str">
        <f t="shared" si="8"/>
        <v>.</v>
      </c>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row>
    <row r="116" spans="1:59" ht="12" x14ac:dyDescent="0.2">
      <c r="A116" s="841"/>
      <c r="B116" s="731" t="s">
        <v>581</v>
      </c>
      <c r="C116" s="820" t="str">
        <f>IF('WS3 - Notional General Income'!C119="","",'WS3 - Notional General Income'!C119)</f>
        <v/>
      </c>
      <c r="D116" s="752"/>
      <c r="E116" s="754"/>
      <c r="F116" s="752"/>
      <c r="G116" s="755" t="str">
        <f t="shared" si="7"/>
        <v>.</v>
      </c>
      <c r="H116" s="752"/>
      <c r="I116" s="752"/>
      <c r="J116" s="753"/>
      <c r="K116" s="823"/>
      <c r="L116" s="747" t="str">
        <f t="shared" si="8"/>
        <v>.</v>
      </c>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row>
    <row r="117" spans="1:59" ht="12" x14ac:dyDescent="0.2">
      <c r="A117" s="841"/>
      <c r="B117" s="731" t="s">
        <v>581</v>
      </c>
      <c r="C117" s="820" t="str">
        <f>IF('WS3 - Notional General Income'!C120="","",'WS3 - Notional General Income'!C120)</f>
        <v/>
      </c>
      <c r="D117" s="752"/>
      <c r="E117" s="754"/>
      <c r="F117" s="752"/>
      <c r="G117" s="755" t="str">
        <f t="shared" si="7"/>
        <v>.</v>
      </c>
      <c r="H117" s="752"/>
      <c r="I117" s="752"/>
      <c r="J117" s="753"/>
      <c r="K117" s="823"/>
      <c r="L117" s="747" t="str">
        <f t="shared" si="8"/>
        <v>.</v>
      </c>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row>
    <row r="118" spans="1:59" ht="12" x14ac:dyDescent="0.2">
      <c r="A118" s="841"/>
      <c r="B118" s="731" t="s">
        <v>581</v>
      </c>
      <c r="C118" s="820" t="str">
        <f>IF('WS3 - Notional General Income'!C121="","",'WS3 - Notional General Income'!C121)</f>
        <v/>
      </c>
      <c r="D118" s="752"/>
      <c r="E118" s="754"/>
      <c r="F118" s="752"/>
      <c r="G118" s="755" t="str">
        <f t="shared" si="7"/>
        <v>.</v>
      </c>
      <c r="H118" s="752"/>
      <c r="I118" s="752"/>
      <c r="J118" s="753"/>
      <c r="K118" s="823"/>
      <c r="L118" s="747" t="str">
        <f t="shared" si="8"/>
        <v>.</v>
      </c>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row>
    <row r="119" spans="1:59" ht="12" x14ac:dyDescent="0.2">
      <c r="A119" s="841"/>
      <c r="B119" s="731" t="s">
        <v>581</v>
      </c>
      <c r="C119" s="820" t="str">
        <f>IF('WS3 - Notional General Income'!C122="","",'WS3 - Notional General Income'!C122)</f>
        <v/>
      </c>
      <c r="D119" s="752"/>
      <c r="E119" s="754"/>
      <c r="F119" s="752"/>
      <c r="G119" s="755" t="str">
        <f t="shared" si="7"/>
        <v>.</v>
      </c>
      <c r="H119" s="752"/>
      <c r="I119" s="752"/>
      <c r="J119" s="753"/>
      <c r="K119" s="823"/>
      <c r="L119" s="747" t="str">
        <f t="shared" si="8"/>
        <v>.</v>
      </c>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row>
    <row r="120" spans="1:59" ht="12" x14ac:dyDescent="0.2">
      <c r="A120" s="841"/>
      <c r="B120" s="731" t="s">
        <v>581</v>
      </c>
      <c r="C120" s="820" t="str">
        <f>IF('WS3 - Notional General Income'!C123="","",'WS3 - Notional General Income'!C123)</f>
        <v/>
      </c>
      <c r="D120" s="752"/>
      <c r="E120" s="754"/>
      <c r="F120" s="752"/>
      <c r="G120" s="755" t="str">
        <f t="shared" si="7"/>
        <v>.</v>
      </c>
      <c r="H120" s="752"/>
      <c r="I120" s="752"/>
      <c r="J120" s="753"/>
      <c r="K120" s="823"/>
      <c r="L120" s="747" t="str">
        <f t="shared" si="8"/>
        <v>.</v>
      </c>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row>
    <row r="121" spans="1:59" ht="12" x14ac:dyDescent="0.2">
      <c r="A121" s="841"/>
      <c r="B121" s="731" t="s">
        <v>581</v>
      </c>
      <c r="C121" s="820" t="str">
        <f>IF('WS3 - Notional General Income'!C124="","",'WS3 - Notional General Income'!C124)</f>
        <v/>
      </c>
      <c r="D121" s="752"/>
      <c r="E121" s="754"/>
      <c r="F121" s="752"/>
      <c r="G121" s="755" t="str">
        <f t="shared" si="7"/>
        <v>.</v>
      </c>
      <c r="H121" s="752"/>
      <c r="I121" s="752"/>
      <c r="J121" s="753"/>
      <c r="K121" s="823"/>
      <c r="L121" s="747" t="str">
        <f t="shared" si="8"/>
        <v>.</v>
      </c>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row>
    <row r="122" spans="1:59" ht="12" x14ac:dyDescent="0.2">
      <c r="A122" s="841"/>
      <c r="B122" s="731" t="s">
        <v>581</v>
      </c>
      <c r="C122" s="820" t="str">
        <f>IF('WS3 - Notional General Income'!C125="","",'WS3 - Notional General Income'!C125)</f>
        <v/>
      </c>
      <c r="D122" s="752"/>
      <c r="E122" s="754"/>
      <c r="F122" s="752"/>
      <c r="G122" s="755" t="str">
        <f t="shared" si="7"/>
        <v>.</v>
      </c>
      <c r="H122" s="752"/>
      <c r="I122" s="752"/>
      <c r="J122" s="753"/>
      <c r="K122" s="823"/>
      <c r="L122" s="747" t="str">
        <f t="shared" si="8"/>
        <v>.</v>
      </c>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row>
    <row r="123" spans="1:59" ht="12" x14ac:dyDescent="0.2">
      <c r="A123" s="841"/>
      <c r="B123" s="731" t="s">
        <v>583</v>
      </c>
      <c r="C123" s="820" t="str">
        <f>IF('WS3 - Notional General Income'!C126="","",'WS3 - Notional General Income'!C126)</f>
        <v/>
      </c>
      <c r="D123" s="752"/>
      <c r="E123" s="754"/>
      <c r="F123" s="752"/>
      <c r="G123" s="755" t="str">
        <f t="shared" si="7"/>
        <v>.</v>
      </c>
      <c r="H123" s="752"/>
      <c r="I123" s="752"/>
      <c r="J123" s="753"/>
      <c r="K123" s="823"/>
      <c r="L123" s="747" t="str">
        <f t="shared" si="8"/>
        <v>.</v>
      </c>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row>
    <row r="124" spans="1:59" ht="12" x14ac:dyDescent="0.2">
      <c r="A124" s="841"/>
      <c r="B124" s="731" t="s">
        <v>583</v>
      </c>
      <c r="C124" s="820" t="str">
        <f>IF('WS3 - Notional General Income'!C127="","",'WS3 - Notional General Income'!C127)</f>
        <v/>
      </c>
      <c r="D124" s="752"/>
      <c r="E124" s="754"/>
      <c r="F124" s="752"/>
      <c r="G124" s="755" t="str">
        <f t="shared" si="7"/>
        <v>.</v>
      </c>
      <c r="H124" s="752"/>
      <c r="I124" s="752"/>
      <c r="J124" s="753"/>
      <c r="K124" s="823"/>
      <c r="L124" s="747" t="str">
        <f t="shared" si="8"/>
        <v>.</v>
      </c>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row>
    <row r="125" spans="1:59" ht="12" x14ac:dyDescent="0.2">
      <c r="A125" s="841"/>
      <c r="B125" s="731" t="s">
        <v>583</v>
      </c>
      <c r="C125" s="820" t="str">
        <f>IF('WS3 - Notional General Income'!C128="","",'WS3 - Notional General Income'!C128)</f>
        <v/>
      </c>
      <c r="D125" s="752"/>
      <c r="E125" s="754"/>
      <c r="F125" s="752"/>
      <c r="G125" s="755" t="str">
        <f t="shared" ref="G125:G142" si="9">IF(F125="",".",D125*F125/L125)</f>
        <v>.</v>
      </c>
      <c r="H125" s="752"/>
      <c r="I125" s="752"/>
      <c r="J125" s="753"/>
      <c r="K125" s="823"/>
      <c r="L125" s="747" t="str">
        <f t="shared" ref="L125:L142" si="10">IF(D125="",".",IF(F125&lt;&gt;"",F125*D125+J125*(E125/100),(J125-K125)*(E125/100)+H125*I125))</f>
        <v>.</v>
      </c>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row>
    <row r="126" spans="1:59" ht="12" x14ac:dyDescent="0.2">
      <c r="A126" s="841"/>
      <c r="B126" s="731" t="s">
        <v>583</v>
      </c>
      <c r="C126" s="820" t="str">
        <f>IF('WS3 - Notional General Income'!C129="","",'WS3 - Notional General Income'!C129)</f>
        <v/>
      </c>
      <c r="D126" s="752"/>
      <c r="E126" s="754"/>
      <c r="F126" s="752"/>
      <c r="G126" s="755" t="str">
        <f t="shared" si="9"/>
        <v>.</v>
      </c>
      <c r="H126" s="752"/>
      <c r="I126" s="752"/>
      <c r="J126" s="753"/>
      <c r="K126" s="823"/>
      <c r="L126" s="747" t="str">
        <f t="shared" si="10"/>
        <v>.</v>
      </c>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row>
    <row r="127" spans="1:59" ht="12" x14ac:dyDescent="0.2">
      <c r="A127" s="841"/>
      <c r="B127" s="731" t="s">
        <v>583</v>
      </c>
      <c r="C127" s="820" t="str">
        <f>IF('WS3 - Notional General Income'!C130="","",'WS3 - Notional General Income'!C130)</f>
        <v/>
      </c>
      <c r="D127" s="752"/>
      <c r="E127" s="754"/>
      <c r="F127" s="752"/>
      <c r="G127" s="755" t="str">
        <f t="shared" si="9"/>
        <v>.</v>
      </c>
      <c r="H127" s="752"/>
      <c r="I127" s="752"/>
      <c r="J127" s="753"/>
      <c r="K127" s="823"/>
      <c r="L127" s="747" t="str">
        <f t="shared" si="10"/>
        <v>.</v>
      </c>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row>
    <row r="128" spans="1:59" ht="12" x14ac:dyDescent="0.2">
      <c r="A128" s="841"/>
      <c r="B128" s="731" t="s">
        <v>583</v>
      </c>
      <c r="C128" s="820" t="str">
        <f>IF('WS3 - Notional General Income'!C131="","",'WS3 - Notional General Income'!C131)</f>
        <v/>
      </c>
      <c r="D128" s="752"/>
      <c r="E128" s="754"/>
      <c r="F128" s="752"/>
      <c r="G128" s="755" t="str">
        <f t="shared" si="9"/>
        <v>.</v>
      </c>
      <c r="H128" s="752"/>
      <c r="I128" s="752"/>
      <c r="J128" s="753"/>
      <c r="K128" s="823"/>
      <c r="L128" s="747" t="str">
        <f t="shared" si="10"/>
        <v>.</v>
      </c>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row>
    <row r="129" spans="1:59" ht="12" x14ac:dyDescent="0.2">
      <c r="A129" s="841"/>
      <c r="B129" s="731" t="s">
        <v>583</v>
      </c>
      <c r="C129" s="820" t="str">
        <f>IF('WS3 - Notional General Income'!C132="","",'WS3 - Notional General Income'!C132)</f>
        <v/>
      </c>
      <c r="D129" s="752"/>
      <c r="E129" s="754"/>
      <c r="F129" s="752"/>
      <c r="G129" s="755" t="str">
        <f t="shared" si="9"/>
        <v>.</v>
      </c>
      <c r="H129" s="752"/>
      <c r="I129" s="752"/>
      <c r="J129" s="753"/>
      <c r="K129" s="823"/>
      <c r="L129" s="747" t="str">
        <f t="shared" si="10"/>
        <v>.</v>
      </c>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row>
    <row r="130" spans="1:59" ht="12" x14ac:dyDescent="0.2">
      <c r="A130" s="841"/>
      <c r="B130" s="731" t="s">
        <v>583</v>
      </c>
      <c r="C130" s="820" t="str">
        <f>IF('WS3 - Notional General Income'!C133="","",'WS3 - Notional General Income'!C133)</f>
        <v/>
      </c>
      <c r="D130" s="752"/>
      <c r="E130" s="754"/>
      <c r="F130" s="752"/>
      <c r="G130" s="755" t="str">
        <f t="shared" si="9"/>
        <v>.</v>
      </c>
      <c r="H130" s="752"/>
      <c r="I130" s="752"/>
      <c r="J130" s="753"/>
      <c r="K130" s="823"/>
      <c r="L130" s="747" t="str">
        <f t="shared" si="10"/>
        <v>.</v>
      </c>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row>
    <row r="131" spans="1:59" ht="12" x14ac:dyDescent="0.2">
      <c r="A131" s="841"/>
      <c r="B131" s="731" t="s">
        <v>583</v>
      </c>
      <c r="C131" s="820" t="str">
        <f>IF('WS3 - Notional General Income'!C134="","",'WS3 - Notional General Income'!C134)</f>
        <v/>
      </c>
      <c r="D131" s="752"/>
      <c r="E131" s="754"/>
      <c r="F131" s="752"/>
      <c r="G131" s="755" t="str">
        <f t="shared" si="9"/>
        <v>.</v>
      </c>
      <c r="H131" s="752"/>
      <c r="I131" s="752"/>
      <c r="J131" s="753"/>
      <c r="K131" s="823"/>
      <c r="L131" s="747" t="str">
        <f t="shared" si="10"/>
        <v>.</v>
      </c>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row>
    <row r="132" spans="1:59" ht="12" x14ac:dyDescent="0.2">
      <c r="A132" s="841"/>
      <c r="B132" s="731" t="s">
        <v>583</v>
      </c>
      <c r="C132" s="820" t="str">
        <f>IF('WS3 - Notional General Income'!C135="","",'WS3 - Notional General Income'!C135)</f>
        <v/>
      </c>
      <c r="D132" s="752"/>
      <c r="E132" s="754"/>
      <c r="F132" s="752"/>
      <c r="G132" s="755" t="str">
        <f t="shared" si="9"/>
        <v>.</v>
      </c>
      <c r="H132" s="752"/>
      <c r="I132" s="752"/>
      <c r="J132" s="753"/>
      <c r="K132" s="823"/>
      <c r="L132" s="747" t="str">
        <f t="shared" si="10"/>
        <v>.</v>
      </c>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row>
    <row r="133" spans="1:59" ht="12" x14ac:dyDescent="0.2">
      <c r="A133" s="841"/>
      <c r="B133" s="731" t="s">
        <v>585</v>
      </c>
      <c r="C133" s="820" t="str">
        <f>IF('WS3 - Notional General Income'!C136="","",'WS3 - Notional General Income'!C136)</f>
        <v/>
      </c>
      <c r="D133" s="752"/>
      <c r="E133" s="754"/>
      <c r="F133" s="752"/>
      <c r="G133" s="755" t="str">
        <f t="shared" si="9"/>
        <v>.</v>
      </c>
      <c r="H133" s="752"/>
      <c r="I133" s="752"/>
      <c r="J133" s="753"/>
      <c r="K133" s="823"/>
      <c r="L133" s="747" t="str">
        <f t="shared" si="10"/>
        <v>.</v>
      </c>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row>
    <row r="134" spans="1:59" ht="12" x14ac:dyDescent="0.2">
      <c r="A134" s="841"/>
      <c r="B134" s="731" t="s">
        <v>585</v>
      </c>
      <c r="C134" s="820" t="str">
        <f>IF('WS3 - Notional General Income'!C137="","",'WS3 - Notional General Income'!C137)</f>
        <v/>
      </c>
      <c r="D134" s="752"/>
      <c r="E134" s="754"/>
      <c r="F134" s="752"/>
      <c r="G134" s="755" t="str">
        <f t="shared" si="9"/>
        <v>.</v>
      </c>
      <c r="H134" s="752"/>
      <c r="I134" s="752"/>
      <c r="J134" s="753"/>
      <c r="K134" s="823"/>
      <c r="L134" s="747" t="str">
        <f t="shared" si="10"/>
        <v>.</v>
      </c>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row>
    <row r="135" spans="1:59" ht="12" x14ac:dyDescent="0.2">
      <c r="A135" s="841"/>
      <c r="B135" s="731" t="s">
        <v>585</v>
      </c>
      <c r="C135" s="820" t="str">
        <f>IF('WS3 - Notional General Income'!C138="","",'WS3 - Notional General Income'!C138)</f>
        <v/>
      </c>
      <c r="D135" s="752"/>
      <c r="E135" s="754"/>
      <c r="F135" s="752"/>
      <c r="G135" s="755" t="str">
        <f t="shared" si="9"/>
        <v>.</v>
      </c>
      <c r="H135" s="752"/>
      <c r="I135" s="752"/>
      <c r="J135" s="753"/>
      <c r="K135" s="823"/>
      <c r="L135" s="747" t="str">
        <f t="shared" si="10"/>
        <v>.</v>
      </c>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row>
    <row r="136" spans="1:59" ht="12" x14ac:dyDescent="0.2">
      <c r="A136" s="841"/>
      <c r="B136" s="731" t="s">
        <v>585</v>
      </c>
      <c r="C136" s="820" t="str">
        <f>IF('WS3 - Notional General Income'!C139="","",'WS3 - Notional General Income'!C139)</f>
        <v/>
      </c>
      <c r="D136" s="752"/>
      <c r="E136" s="754"/>
      <c r="F136" s="752"/>
      <c r="G136" s="755" t="str">
        <f t="shared" si="9"/>
        <v>.</v>
      </c>
      <c r="H136" s="752"/>
      <c r="I136" s="752"/>
      <c r="J136" s="753"/>
      <c r="K136" s="823"/>
      <c r="L136" s="747" t="str">
        <f t="shared" si="10"/>
        <v>.</v>
      </c>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row>
    <row r="137" spans="1:59" ht="12" x14ac:dyDescent="0.2">
      <c r="A137" s="841"/>
      <c r="B137" s="731" t="s">
        <v>585</v>
      </c>
      <c r="C137" s="820" t="str">
        <f>IF('WS3 - Notional General Income'!C140="","",'WS3 - Notional General Income'!C140)</f>
        <v/>
      </c>
      <c r="D137" s="752"/>
      <c r="E137" s="754"/>
      <c r="F137" s="752"/>
      <c r="G137" s="755" t="str">
        <f t="shared" si="9"/>
        <v>.</v>
      </c>
      <c r="H137" s="752"/>
      <c r="I137" s="752"/>
      <c r="J137" s="753"/>
      <c r="K137" s="823"/>
      <c r="L137" s="747" t="str">
        <f t="shared" si="10"/>
        <v>.</v>
      </c>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row>
    <row r="138" spans="1:59" ht="12" x14ac:dyDescent="0.2">
      <c r="A138" s="841"/>
      <c r="B138" s="731" t="s">
        <v>585</v>
      </c>
      <c r="C138" s="820" t="str">
        <f>IF('WS3 - Notional General Income'!C141="","",'WS3 - Notional General Income'!C141)</f>
        <v/>
      </c>
      <c r="D138" s="752"/>
      <c r="E138" s="754"/>
      <c r="F138" s="752"/>
      <c r="G138" s="755" t="str">
        <f t="shared" si="9"/>
        <v>.</v>
      </c>
      <c r="H138" s="752"/>
      <c r="I138" s="752"/>
      <c r="J138" s="753"/>
      <c r="K138" s="823"/>
      <c r="L138" s="747" t="str">
        <f t="shared" si="10"/>
        <v>.</v>
      </c>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row>
    <row r="139" spans="1:59" ht="12" x14ac:dyDescent="0.2">
      <c r="A139" s="841"/>
      <c r="B139" s="731" t="s">
        <v>585</v>
      </c>
      <c r="C139" s="820" t="str">
        <f>IF('WS3 - Notional General Income'!C142="","",'WS3 - Notional General Income'!C142)</f>
        <v/>
      </c>
      <c r="D139" s="752"/>
      <c r="E139" s="754"/>
      <c r="F139" s="752"/>
      <c r="G139" s="755" t="str">
        <f t="shared" si="9"/>
        <v>.</v>
      </c>
      <c r="H139" s="752"/>
      <c r="I139" s="752"/>
      <c r="J139" s="753"/>
      <c r="K139" s="823"/>
      <c r="L139" s="747" t="str">
        <f t="shared" si="10"/>
        <v>.</v>
      </c>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row>
    <row r="140" spans="1:59" ht="12" x14ac:dyDescent="0.2">
      <c r="A140" s="841"/>
      <c r="B140" s="731" t="s">
        <v>585</v>
      </c>
      <c r="C140" s="820" t="str">
        <f>IF('WS3 - Notional General Income'!C143="","",'WS3 - Notional General Income'!C143)</f>
        <v/>
      </c>
      <c r="D140" s="752"/>
      <c r="E140" s="754"/>
      <c r="F140" s="752"/>
      <c r="G140" s="755" t="str">
        <f t="shared" si="9"/>
        <v>.</v>
      </c>
      <c r="H140" s="752"/>
      <c r="I140" s="752"/>
      <c r="J140" s="753"/>
      <c r="K140" s="823"/>
      <c r="L140" s="747" t="str">
        <f t="shared" si="10"/>
        <v>.</v>
      </c>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row>
    <row r="141" spans="1:59" ht="12" x14ac:dyDescent="0.2">
      <c r="A141" s="841"/>
      <c r="B141" s="731" t="s">
        <v>585</v>
      </c>
      <c r="C141" s="820" t="str">
        <f>IF('WS3 - Notional General Income'!C144="","",'WS3 - Notional General Income'!C144)</f>
        <v/>
      </c>
      <c r="D141" s="752"/>
      <c r="E141" s="754"/>
      <c r="F141" s="752"/>
      <c r="G141" s="755" t="str">
        <f t="shared" si="9"/>
        <v>.</v>
      </c>
      <c r="H141" s="752"/>
      <c r="I141" s="752"/>
      <c r="J141" s="753"/>
      <c r="K141" s="823"/>
      <c r="L141" s="747" t="str">
        <f t="shared" si="10"/>
        <v>.</v>
      </c>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row>
    <row r="142" spans="1:59" ht="12" x14ac:dyDescent="0.2">
      <c r="A142" s="841"/>
      <c r="B142" s="733" t="s">
        <v>585</v>
      </c>
      <c r="C142" s="821" t="str">
        <f>IF('WS3 - Notional General Income'!C145="","",'WS3 - Notional General Income'!C145)</f>
        <v/>
      </c>
      <c r="D142" s="780"/>
      <c r="E142" s="781"/>
      <c r="F142" s="780"/>
      <c r="G142" s="782" t="str">
        <f t="shared" si="9"/>
        <v>.</v>
      </c>
      <c r="H142" s="780"/>
      <c r="I142" s="780"/>
      <c r="J142" s="783"/>
      <c r="K142" s="824"/>
      <c r="L142" s="747" t="str">
        <f t="shared" si="10"/>
        <v>.</v>
      </c>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row>
    <row r="143" spans="1:59" ht="12" x14ac:dyDescent="0.2">
      <c r="A143" s="841"/>
      <c r="B143" s="299"/>
      <c r="C143" s="3"/>
      <c r="D143" s="3"/>
      <c r="E143" s="3"/>
      <c r="F143" s="2"/>
      <c r="G143" s="3"/>
      <c r="H143" s="3"/>
      <c r="I143" s="3"/>
      <c r="J143" s="46"/>
      <c r="K143" s="47" t="s">
        <v>589</v>
      </c>
      <c r="L143" s="812">
        <f>SUM(L93:L142)</f>
        <v>0</v>
      </c>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row>
    <row r="144" spans="1:59" x14ac:dyDescent="0.2">
      <c r="A144" s="841"/>
      <c r="B144" s="815"/>
      <c r="C144" s="816"/>
      <c r="D144" s="140"/>
      <c r="E144" s="140"/>
      <c r="F144" s="817"/>
      <c r="G144" s="140"/>
      <c r="H144" s="140"/>
      <c r="I144" s="140"/>
      <c r="J144" s="140"/>
      <c r="K144" s="818"/>
      <c r="L144" s="819"/>
      <c r="M144" s="451"/>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row>
    <row r="145" spans="1:59" ht="12" customHeight="1" x14ac:dyDescent="0.2">
      <c r="A145" s="841"/>
      <c r="B145" s="813"/>
      <c r="C145" s="813"/>
      <c r="D145" s="3"/>
      <c r="E145" s="3"/>
      <c r="F145" s="181"/>
      <c r="G145" s="3"/>
      <c r="H145" s="3"/>
      <c r="I145" s="3"/>
      <c r="J145" s="3"/>
      <c r="K145" s="451"/>
      <c r="L145" s="814"/>
      <c r="M145" s="451"/>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row>
    <row r="146" spans="1:59" ht="12" customHeight="1" x14ac:dyDescent="0.25">
      <c r="A146" s="841"/>
      <c r="B146" s="463"/>
      <c r="C146" s="463"/>
      <c r="D146" s="3"/>
      <c r="E146" s="3"/>
      <c r="F146" s="3"/>
      <c r="G146" s="3"/>
      <c r="H146" s="3"/>
      <c r="I146" s="3"/>
      <c r="J146" s="3"/>
      <c r="K146" s="25"/>
      <c r="L146" s="25"/>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row>
    <row r="147" spans="1:59" ht="20.65" customHeight="1" x14ac:dyDescent="0.35">
      <c r="A147" s="841">
        <f>A91+1</f>
        <v>3</v>
      </c>
      <c r="B147" s="461" t="str">
        <f>"Table "&amp;A1&amp;"."&amp;A147&amp;": Calculation of Notional General Income - Annual Charges ($ nominal)"</f>
        <v>Table 4.3: Calculation of Notional General Income - Annual Charges ($ nominal)</v>
      </c>
      <c r="D147" s="23"/>
      <c r="E147" s="23"/>
      <c r="F147" s="23"/>
      <c r="H147" s="23"/>
      <c r="I147" s="23"/>
      <c r="J147" s="23"/>
      <c r="K147" s="23"/>
      <c r="L147" s="24"/>
      <c r="M147" s="460"/>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row>
    <row r="148" spans="1:59" ht="24" x14ac:dyDescent="0.2">
      <c r="A148" s="841"/>
      <c r="B148" s="831" t="s">
        <v>594</v>
      </c>
      <c r="C148" s="832"/>
      <c r="D148" s="832"/>
      <c r="E148" s="832"/>
      <c r="F148" s="832"/>
      <c r="G148" s="833"/>
      <c r="H148" s="794"/>
      <c r="I148" s="834"/>
      <c r="J148" s="734" t="s">
        <v>595</v>
      </c>
      <c r="K148" s="734" t="s">
        <v>596</v>
      </c>
      <c r="L148" s="734" t="s">
        <v>608</v>
      </c>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row>
    <row r="149" spans="1:59" ht="12" x14ac:dyDescent="0.2">
      <c r="A149" s="841"/>
      <c r="B149" s="786"/>
      <c r="C149" s="206"/>
      <c r="D149" s="206"/>
      <c r="E149" s="206"/>
      <c r="F149" s="206"/>
      <c r="G149" s="206"/>
      <c r="H149" s="206"/>
      <c r="I149" s="206"/>
      <c r="J149" s="835"/>
      <c r="K149" s="836"/>
      <c r="L149" s="787" t="str">
        <f t="shared" ref="L149:L156" si="11">IF(B149="",".",J149*K149)</f>
        <v>.</v>
      </c>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row>
    <row r="150" spans="1:59" ht="12" x14ac:dyDescent="0.2">
      <c r="A150" s="841"/>
      <c r="B150" s="786"/>
      <c r="C150" s="206"/>
      <c r="D150" s="206"/>
      <c r="E150" s="206"/>
      <c r="F150" s="206"/>
      <c r="G150" s="206"/>
      <c r="H150" s="206"/>
      <c r="I150" s="206"/>
      <c r="J150" s="837"/>
      <c r="K150" s="771"/>
      <c r="L150" s="787" t="str">
        <f t="shared" si="11"/>
        <v>.</v>
      </c>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row>
    <row r="151" spans="1:59" ht="12" x14ac:dyDescent="0.2">
      <c r="A151" s="841"/>
      <c r="B151" s="786"/>
      <c r="C151" s="206"/>
      <c r="D151" s="206"/>
      <c r="E151" s="206"/>
      <c r="F151" s="206"/>
      <c r="G151" s="206"/>
      <c r="H151" s="206"/>
      <c r="I151" s="206"/>
      <c r="J151" s="837"/>
      <c r="K151" s="771"/>
      <c r="L151" s="787" t="str">
        <f t="shared" si="11"/>
        <v>.</v>
      </c>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row>
    <row r="152" spans="1:59" ht="12" x14ac:dyDescent="0.2">
      <c r="A152" s="841"/>
      <c r="B152" s="786"/>
      <c r="C152" s="206"/>
      <c r="D152" s="206"/>
      <c r="E152" s="206"/>
      <c r="F152" s="206"/>
      <c r="G152" s="206"/>
      <c r="H152" s="206"/>
      <c r="I152" s="206"/>
      <c r="J152" s="837"/>
      <c r="K152" s="771"/>
      <c r="L152" s="787" t="str">
        <f t="shared" si="11"/>
        <v>.</v>
      </c>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row>
    <row r="153" spans="1:59" ht="12" x14ac:dyDescent="0.2">
      <c r="A153" s="841"/>
      <c r="B153" s="786"/>
      <c r="C153" s="206"/>
      <c r="D153" s="206"/>
      <c r="E153" s="206"/>
      <c r="F153" s="206"/>
      <c r="G153" s="206"/>
      <c r="H153" s="206"/>
      <c r="I153" s="206"/>
      <c r="J153" s="837"/>
      <c r="K153" s="771"/>
      <c r="L153" s="787" t="str">
        <f t="shared" si="11"/>
        <v>.</v>
      </c>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row>
    <row r="154" spans="1:59" ht="12" x14ac:dyDescent="0.2">
      <c r="A154" s="841"/>
      <c r="B154" s="786"/>
      <c r="C154" s="206"/>
      <c r="D154" s="206"/>
      <c r="E154" s="206"/>
      <c r="F154" s="206"/>
      <c r="G154" s="206"/>
      <c r="H154" s="206"/>
      <c r="I154" s="206"/>
      <c r="J154" s="837"/>
      <c r="K154" s="771"/>
      <c r="L154" s="787" t="str">
        <f t="shared" si="11"/>
        <v>.</v>
      </c>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row>
    <row r="155" spans="1:59" ht="12" x14ac:dyDescent="0.2">
      <c r="A155" s="841"/>
      <c r="B155" s="786"/>
      <c r="C155" s="206"/>
      <c r="D155" s="206"/>
      <c r="E155" s="206"/>
      <c r="F155" s="206"/>
      <c r="G155" s="206"/>
      <c r="H155" s="206"/>
      <c r="I155" s="206"/>
      <c r="J155" s="837"/>
      <c r="K155" s="771"/>
      <c r="L155" s="787" t="str">
        <f t="shared" si="11"/>
        <v>.</v>
      </c>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row>
    <row r="156" spans="1:59" ht="12" x14ac:dyDescent="0.2">
      <c r="A156" s="841"/>
      <c r="B156" s="800"/>
      <c r="C156" s="801"/>
      <c r="D156" s="801"/>
      <c r="E156" s="801"/>
      <c r="F156" s="801"/>
      <c r="G156" s="801"/>
      <c r="H156" s="801"/>
      <c r="I156" s="839"/>
      <c r="J156" s="838"/>
      <c r="K156" s="799"/>
      <c r="L156" s="787" t="str">
        <f t="shared" si="11"/>
        <v>.</v>
      </c>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row>
    <row r="157" spans="1:59" ht="12" x14ac:dyDescent="0.2">
      <c r="A157" s="841"/>
      <c r="B157" s="788"/>
      <c r="C157" s="39"/>
      <c r="D157" s="3"/>
      <c r="E157" s="3"/>
      <c r="F157" s="2"/>
      <c r="G157" s="3"/>
      <c r="H157" s="3"/>
      <c r="I157" s="3"/>
      <c r="J157" s="47"/>
      <c r="K157" s="47" t="s">
        <v>589</v>
      </c>
      <c r="L157" s="745">
        <f>SUM(L149:L156)</f>
        <v>0</v>
      </c>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row>
    <row r="158" spans="1:59" x14ac:dyDescent="0.2">
      <c r="A158" s="841"/>
      <c r="B158" s="788"/>
      <c r="C158" s="39"/>
      <c r="D158" s="3"/>
      <c r="E158" s="3"/>
      <c r="F158" s="2"/>
      <c r="G158" s="3"/>
      <c r="H158" s="3"/>
      <c r="I158" s="3"/>
      <c r="J158" s="3"/>
      <c r="K158" s="46"/>
      <c r="L158" s="789"/>
      <c r="M158" s="451"/>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row>
    <row r="159" spans="1:59" x14ac:dyDescent="0.2">
      <c r="A159" s="841"/>
      <c r="B159" s="299"/>
      <c r="C159" s="3"/>
      <c r="D159" s="3"/>
      <c r="E159" s="3"/>
      <c r="F159" s="2"/>
      <c r="G159" s="3"/>
      <c r="H159" s="3"/>
      <c r="I159" s="3"/>
      <c r="J159" s="3"/>
      <c r="K159" s="46"/>
      <c r="L159" s="789"/>
      <c r="M159" s="451"/>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row>
    <row r="160" spans="1:59" ht="12" x14ac:dyDescent="0.2">
      <c r="A160" s="841"/>
      <c r="B160" s="299"/>
      <c r="C160" s="3"/>
      <c r="D160" s="3"/>
      <c r="E160" s="3"/>
      <c r="F160" s="38" t="s">
        <v>609</v>
      </c>
      <c r="G160" s="3"/>
      <c r="H160" s="2"/>
      <c r="I160" s="3"/>
      <c r="J160" s="46"/>
      <c r="K160" s="3"/>
      <c r="L160" s="745">
        <f>L87+L143+L157</f>
        <v>62504804.204755157</v>
      </c>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row>
    <row r="161" spans="1:59" x14ac:dyDescent="0.2">
      <c r="A161" s="841"/>
      <c r="B161" s="788"/>
      <c r="C161" s="39"/>
      <c r="D161" s="3"/>
      <c r="E161" s="3"/>
      <c r="F161" s="2"/>
      <c r="G161" s="3"/>
      <c r="H161" s="3"/>
      <c r="I161" s="3"/>
      <c r="J161" s="3"/>
      <c r="K161" s="46"/>
      <c r="L161" s="789"/>
      <c r="M161" s="451"/>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row>
    <row r="162" spans="1:59" ht="12" x14ac:dyDescent="0.2">
      <c r="A162" s="841"/>
      <c r="B162" s="299"/>
      <c r="C162" s="3"/>
      <c r="D162" s="3"/>
      <c r="E162" s="3"/>
      <c r="F162" s="2" t="s">
        <v>610</v>
      </c>
      <c r="G162" s="2"/>
      <c r="H162" s="3"/>
      <c r="I162" s="3"/>
      <c r="J162" s="292"/>
      <c r="K162" s="3"/>
      <c r="L162" s="745">
        <f>-'WS2-Proposal'!K50</f>
        <v>0</v>
      </c>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row>
    <row r="163" spans="1:59" ht="12" x14ac:dyDescent="0.2">
      <c r="A163" s="841"/>
      <c r="B163" s="299"/>
      <c r="C163" s="3"/>
      <c r="D163" s="3"/>
      <c r="E163" s="3"/>
      <c r="F163" s="2"/>
      <c r="G163" s="3"/>
      <c r="H163" s="3"/>
      <c r="I163" s="3"/>
      <c r="J163" s="46"/>
      <c r="K163" s="51"/>
      <c r="L163" s="825"/>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row>
    <row r="164" spans="1:59" ht="12" x14ac:dyDescent="0.2">
      <c r="A164" s="841"/>
      <c r="B164" s="299"/>
      <c r="C164" s="3"/>
      <c r="D164" s="3"/>
      <c r="E164" s="3"/>
      <c r="F164" s="2" t="s">
        <v>611</v>
      </c>
      <c r="G164" s="3"/>
      <c r="H164" s="3"/>
      <c r="I164" s="3"/>
      <c r="J164" s="46"/>
      <c r="K164" s="3"/>
      <c r="L164" s="826">
        <f>L160+L162</f>
        <v>62504804.204755157</v>
      </c>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row>
    <row r="165" spans="1:59" x14ac:dyDescent="0.2">
      <c r="A165" s="841"/>
      <c r="B165" s="299"/>
      <c r="C165" s="3"/>
      <c r="D165" s="3"/>
      <c r="E165" s="3"/>
      <c r="F165" s="181"/>
      <c r="G165" s="3"/>
      <c r="H165" s="3"/>
      <c r="I165" s="3"/>
      <c r="J165" s="451"/>
      <c r="K165" s="50"/>
      <c r="L165" s="827"/>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row>
    <row r="166" spans="1:59" x14ac:dyDescent="0.2">
      <c r="A166" s="841"/>
      <c r="B166" s="692" t="s">
        <v>612</v>
      </c>
      <c r="C166" s="461"/>
      <c r="D166" s="3"/>
      <c r="E166" s="3"/>
      <c r="F166" s="181"/>
      <c r="G166" s="3"/>
      <c r="H166" s="3"/>
      <c r="I166" s="3"/>
      <c r="J166" s="3"/>
      <c r="K166" s="451"/>
      <c r="L166" s="828"/>
      <c r="M166" s="451"/>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row>
    <row r="167" spans="1:59" x14ac:dyDescent="0.2">
      <c r="A167" s="841"/>
      <c r="B167" s="344"/>
      <c r="C167" s="140"/>
      <c r="D167" s="140"/>
      <c r="E167" s="140"/>
      <c r="F167" s="140"/>
      <c r="G167" s="140"/>
      <c r="H167" s="140"/>
      <c r="I167" s="140"/>
      <c r="J167" s="140"/>
      <c r="K167" s="829"/>
      <c r="L167" s="830"/>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row>
    <row r="168" spans="1:59" x14ac:dyDescent="0.2">
      <c r="A168" s="841"/>
      <c r="B168" s="20"/>
      <c r="C168" s="3"/>
      <c r="D168" s="3"/>
      <c r="E168" s="3"/>
      <c r="F168" s="3"/>
      <c r="G168" s="3"/>
      <c r="H168" s="3"/>
      <c r="I168" s="3"/>
      <c r="J168" s="3"/>
      <c r="K168" s="34"/>
      <c r="L168" s="34"/>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row>
    <row r="169" spans="1:59" x14ac:dyDescent="0.2">
      <c r="A169" s="841"/>
      <c r="B169" s="20"/>
      <c r="C169" s="3"/>
      <c r="D169" s="3"/>
      <c r="E169" s="3"/>
      <c r="F169" s="3"/>
      <c r="G169" s="3"/>
      <c r="H169" s="3"/>
      <c r="I169" s="3"/>
      <c r="J169" s="3"/>
      <c r="K169" s="34"/>
      <c r="L169" s="34"/>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row>
    <row r="170" spans="1:59" x14ac:dyDescent="0.2">
      <c r="A170" s="841"/>
      <c r="B170" s="20"/>
      <c r="C170" s="3"/>
      <c r="D170" s="3"/>
      <c r="E170" s="3"/>
      <c r="F170" s="3"/>
      <c r="G170" s="3"/>
      <c r="H170" s="3"/>
      <c r="I170" s="3"/>
      <c r="J170" s="3"/>
      <c r="K170" s="34"/>
      <c r="L170" s="34"/>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row>
    <row r="171" spans="1:59" x14ac:dyDescent="0.2">
      <c r="A171" s="841"/>
      <c r="B171" s="20"/>
      <c r="C171" s="3"/>
      <c r="D171" s="3"/>
      <c r="E171" s="3"/>
      <c r="F171" s="3"/>
      <c r="G171" s="3"/>
      <c r="H171" s="3"/>
      <c r="I171" s="3"/>
      <c r="J171" s="3"/>
      <c r="K171" s="541"/>
      <c r="L171" s="54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row>
    <row r="172" spans="1:59" x14ac:dyDescent="0.2">
      <c r="A172" s="841"/>
      <c r="B172" s="20"/>
      <c r="C172" s="3"/>
      <c r="D172" s="3"/>
      <c r="E172" s="3"/>
      <c r="F172" s="3"/>
      <c r="G172" s="3"/>
      <c r="H172" s="3"/>
      <c r="I172" s="3"/>
      <c r="J172" s="3"/>
      <c r="K172" s="541"/>
      <c r="L172" s="54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row>
    <row r="173" spans="1:59" x14ac:dyDescent="0.2">
      <c r="A173" s="841"/>
      <c r="B173" s="20"/>
      <c r="C173" s="3"/>
      <c r="D173" s="3"/>
      <c r="E173" s="3"/>
      <c r="F173" s="3"/>
      <c r="G173" s="3"/>
      <c r="H173" s="3"/>
      <c r="I173" s="3"/>
      <c r="J173" s="3"/>
      <c r="K173" s="541"/>
      <c r="L173" s="54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row>
    <row r="174" spans="1:59" x14ac:dyDescent="0.2">
      <c r="A174" s="841"/>
      <c r="B174" s="3"/>
      <c r="C174" s="3"/>
      <c r="D174" s="3"/>
      <c r="E174" s="3"/>
      <c r="F174" s="3"/>
      <c r="G174" s="3"/>
      <c r="H174" s="3"/>
      <c r="I174" s="3"/>
      <c r="J174" s="3"/>
      <c r="K174" s="541"/>
      <c r="L174" s="54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row>
    <row r="175" spans="1:59" x14ac:dyDescent="0.2">
      <c r="A175" s="841"/>
      <c r="B175" s="3"/>
      <c r="C175" s="3"/>
      <c r="D175" s="3"/>
      <c r="E175" s="3"/>
      <c r="F175" s="3"/>
      <c r="G175" s="3"/>
      <c r="H175" s="3"/>
      <c r="I175" s="3"/>
      <c r="J175" s="3"/>
      <c r="K175" s="541"/>
      <c r="L175" s="54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row>
    <row r="176" spans="1:59" x14ac:dyDescent="0.2">
      <c r="A176" s="841"/>
      <c r="B176" s="3"/>
      <c r="C176" s="3"/>
      <c r="D176" s="3"/>
      <c r="E176" s="3"/>
      <c r="F176" s="3"/>
      <c r="G176" s="3"/>
      <c r="H176" s="3"/>
      <c r="I176" s="3"/>
      <c r="J176" s="3"/>
      <c r="K176" s="541"/>
      <c r="L176" s="54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row>
    <row r="177" spans="1:59" x14ac:dyDescent="0.2">
      <c r="A177" s="841"/>
      <c r="B177" s="3"/>
      <c r="C177" s="3"/>
      <c r="D177" s="3"/>
      <c r="E177" s="3"/>
      <c r="F177" s="3"/>
      <c r="G177" s="3"/>
      <c r="H177" s="3"/>
      <c r="I177" s="3"/>
      <c r="J177" s="3"/>
      <c r="K177" s="541"/>
      <c r="L177" s="54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row>
    <row r="178" spans="1:59" x14ac:dyDescent="0.2">
      <c r="A178" s="841"/>
      <c r="B178" s="3"/>
      <c r="C178" s="3"/>
      <c r="D178" s="3"/>
      <c r="E178" s="3"/>
      <c r="F178" s="3"/>
      <c r="G178" s="3"/>
      <c r="H178" s="3"/>
      <c r="I178" s="3"/>
      <c r="J178" s="3"/>
      <c r="K178" s="541"/>
      <c r="L178" s="54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row>
    <row r="179" spans="1:59" x14ac:dyDescent="0.2">
      <c r="A179" s="841"/>
      <c r="B179" s="3"/>
      <c r="C179" s="3"/>
      <c r="D179" s="3"/>
      <c r="E179" s="3"/>
      <c r="F179" s="3"/>
      <c r="G179" s="3"/>
      <c r="H179" s="3"/>
      <c r="I179" s="3"/>
      <c r="J179" s="3"/>
      <c r="K179" s="541"/>
      <c r="L179" s="54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row>
    <row r="180" spans="1:59" x14ac:dyDescent="0.2">
      <c r="A180" s="841"/>
      <c r="B180" s="3"/>
      <c r="C180" s="3"/>
      <c r="D180" s="3"/>
      <c r="E180" s="3"/>
      <c r="F180" s="3"/>
      <c r="G180" s="3"/>
      <c r="H180" s="3"/>
      <c r="I180" s="3"/>
      <c r="J180" s="3"/>
      <c r="K180" s="541"/>
      <c r="L180" s="54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row>
    <row r="181" spans="1:59" x14ac:dyDescent="0.2">
      <c r="A181" s="841"/>
      <c r="B181" s="3"/>
      <c r="C181" s="3"/>
      <c r="D181" s="3"/>
      <c r="E181" s="3"/>
      <c r="F181" s="3"/>
      <c r="G181" s="3"/>
      <c r="H181" s="3"/>
      <c r="I181" s="3"/>
      <c r="J181" s="3"/>
      <c r="K181" s="541"/>
      <c r="L181" s="54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row>
    <row r="182" spans="1:59" x14ac:dyDescent="0.2">
      <c r="A182" s="841"/>
      <c r="B182" s="3"/>
      <c r="C182" s="3"/>
      <c r="D182" s="3"/>
      <c r="E182" s="3"/>
      <c r="F182" s="3"/>
      <c r="G182" s="3"/>
      <c r="H182" s="3"/>
      <c r="I182" s="3"/>
      <c r="J182" s="3"/>
      <c r="K182" s="541"/>
      <c r="L182" s="54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row>
    <row r="183" spans="1:59" x14ac:dyDescent="0.2">
      <c r="A183" s="841"/>
      <c r="B183" s="3"/>
      <c r="C183" s="3"/>
      <c r="D183" s="3"/>
      <c r="E183" s="3"/>
      <c r="F183" s="3"/>
      <c r="G183" s="3"/>
      <c r="H183" s="3"/>
      <c r="I183" s="3"/>
      <c r="J183" s="3"/>
      <c r="K183" s="541"/>
      <c r="L183" s="54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row>
    <row r="184" spans="1:59" x14ac:dyDescent="0.2">
      <c r="A184" s="841"/>
      <c r="B184" s="3"/>
      <c r="C184" s="3"/>
      <c r="D184" s="3"/>
      <c r="E184" s="3"/>
      <c r="F184" s="3"/>
      <c r="G184" s="3"/>
      <c r="H184" s="3"/>
      <c r="I184" s="3"/>
      <c r="J184" s="3"/>
      <c r="K184" s="541"/>
      <c r="L184" s="54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row>
    <row r="185" spans="1:59" x14ac:dyDescent="0.2">
      <c r="A185" s="841"/>
      <c r="B185" s="3"/>
      <c r="C185" s="3"/>
      <c r="D185" s="3"/>
      <c r="E185" s="3"/>
      <c r="F185" s="3"/>
      <c r="G185" s="3"/>
      <c r="H185" s="3"/>
      <c r="I185" s="3"/>
      <c r="J185" s="3"/>
      <c r="K185" s="541"/>
      <c r="L185" s="54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row>
    <row r="186" spans="1:59" x14ac:dyDescent="0.2">
      <c r="A186" s="841"/>
      <c r="B186" s="3"/>
      <c r="C186" s="3"/>
      <c r="D186" s="3"/>
      <c r="E186" s="3"/>
      <c r="F186" s="3"/>
      <c r="G186" s="3"/>
      <c r="H186" s="3"/>
      <c r="I186" s="3"/>
      <c r="J186" s="3"/>
      <c r="K186" s="541"/>
      <c r="L186" s="54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row>
    <row r="187" spans="1:59" x14ac:dyDescent="0.2">
      <c r="A187" s="841"/>
      <c r="B187" s="3"/>
      <c r="C187" s="3"/>
      <c r="D187" s="3"/>
      <c r="E187" s="3"/>
      <c r="F187" s="3"/>
      <c r="G187" s="3"/>
      <c r="H187" s="3"/>
      <c r="I187" s="3"/>
      <c r="J187" s="3"/>
      <c r="K187" s="541"/>
      <c r="L187" s="54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row>
    <row r="188" spans="1:59" x14ac:dyDescent="0.2">
      <c r="A188" s="841"/>
      <c r="B188" s="3"/>
      <c r="C188" s="3"/>
      <c r="D188" s="3"/>
      <c r="E188" s="3"/>
      <c r="F188" s="3"/>
      <c r="G188" s="3"/>
      <c r="H188" s="3"/>
      <c r="I188" s="3"/>
      <c r="J188" s="3"/>
      <c r="K188" s="541"/>
      <c r="L188" s="54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row>
    <row r="189" spans="1:59" x14ac:dyDescent="0.2">
      <c r="A189" s="841"/>
      <c r="B189" s="3"/>
      <c r="C189" s="3"/>
      <c r="D189" s="3"/>
      <c r="E189" s="3"/>
      <c r="F189" s="3"/>
      <c r="G189" s="3"/>
      <c r="H189" s="3"/>
      <c r="I189" s="3"/>
      <c r="J189" s="3"/>
      <c r="K189" s="541"/>
      <c r="L189" s="54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row>
    <row r="190" spans="1:59" x14ac:dyDescent="0.2">
      <c r="A190" s="841"/>
      <c r="B190" s="3"/>
      <c r="C190" s="3"/>
      <c r="D190" s="3"/>
      <c r="E190" s="3"/>
      <c r="F190" s="3"/>
      <c r="G190" s="3"/>
      <c r="H190" s="3"/>
      <c r="I190" s="3"/>
      <c r="J190" s="3"/>
      <c r="K190" s="541"/>
      <c r="L190" s="54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row>
    <row r="191" spans="1:59" x14ac:dyDescent="0.2">
      <c r="A191" s="841"/>
      <c r="B191" s="3"/>
      <c r="C191" s="3"/>
      <c r="D191" s="3"/>
      <c r="E191" s="3"/>
      <c r="F191" s="3"/>
      <c r="G191" s="3"/>
      <c r="H191" s="3"/>
      <c r="I191" s="3"/>
      <c r="J191" s="3"/>
      <c r="K191" s="541"/>
      <c r="L191" s="54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row>
  </sheetData>
  <sheetProtection algorithmName="SHA-512" hashValue="vLiSZRClXEvxECEU5UCIowZTiQRT5jfQ7AKIu9EYMPx7VAgMyAEFuKA2nYtVSJpUFvyHTtvRSde5HJOW/LkSqw==" saltValue="sMiLWTugV/n8N/CSHxND+A==" spinCount="100000" sheet="1" formatColumns="0" formatRows="0"/>
  <phoneticPr fontId="3" type="noConversion"/>
  <conditionalFormatting sqref="B3">
    <cfRule type="cellIs" dxfId="16" priority="2" operator="equal">
      <formula>0</formula>
    </cfRule>
  </conditionalFormatting>
  <conditionalFormatting sqref="J162">
    <cfRule type="cellIs" dxfId="15" priority="1" operator="equal">
      <formula>"ok"</formula>
    </cfRule>
  </conditionalFormatting>
  <dataValidations xWindow="587" yWindow="874" count="5">
    <dataValidation allowBlank="1" showErrorMessage="1" promptTitle="Note:" prompt="Do not forget to enter base date at the top of this form._x000a_" sqref="L160"/>
    <dataValidation allowBlank="1" showInputMessage="1" showErrorMessage="1" promptTitle="Note:" prompt="Please enter Minimum, Ad Valorem Rate and Base Amount for this rating category/sub-category on the same row._x000a__x000a_Section 500 permits a maximum of 50% of category/sub-category income as a Base Amount." sqref="F76:F85 F93:F142 F18:F22 F39:F63 F25:F37 F65:F74"/>
    <dataValidation allowBlank="1" showInputMessage="1" showErrorMessage="1" promptTitle="Note:" prompt="Total land value includes all rateable parcels including those parcels subject to a minimum." sqref="J76:J85 J93:J142 J18:J37 J65:J74 J39:J63"/>
    <dataValidation operator="greaterThan" allowBlank="1" showInputMessage="1" showErrorMessage="1" errorTitle="Data Entry Error" error="Number must be greater than zero." promptTitle="Note:" prompt="Please enter Minimum, Ad Valorem Rate and Base Amount for this rating category/sub-category on the same row." sqref="E93:E142 E18:E22 E76:E85 E39:E63 E25:E37 E65:E74"/>
    <dataValidation allowBlank="1" showInputMessage="1" showErrorMessage="1" promptTitle="Note:" prompt="Please enter Minimum, Ad Valorem Rate and Base Amount for this rating category/sub-category on the same row." sqref="H93:H142 H39:H63 H65:H74 H76:H85 H18:H37"/>
  </dataValidations>
  <printOptions horizontalCentered="1"/>
  <pageMargins left="0.74803149606299213" right="0.74803149606299213" top="0.15748031496062992" bottom="0.15748031496062992" header="0.15748031496062992" footer="0.15748031496062992"/>
  <pageSetup paperSize="9" scale="79" fitToHeight="0" orientation="landscape" r:id="rId1"/>
  <headerFooter alignWithMargins="0">
    <oddHeader>&amp;C&amp;"Calibri"&amp;10&amp;KFF0000 UNOFFICIAL&amp;1#_x000D_</oddHeader>
    <oddFooter>&amp;C_x000D_&amp;1#&amp;"Calibri"&amp;10&amp;KFF0000 UNOFFICIAL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XEZ197"/>
  <sheetViews>
    <sheetView showGridLines="0" zoomScaleNormal="100" workbookViewId="0">
      <selection activeCell="BE166" sqref="BE166"/>
    </sheetView>
  </sheetViews>
  <sheetFormatPr defaultColWidth="9.140625" defaultRowHeight="12.75" x14ac:dyDescent="0.2"/>
  <cols>
    <col min="1" max="1" width="2.7109375" style="840" customWidth="1"/>
    <col min="2" max="2" width="14.28515625" customWidth="1"/>
    <col min="3" max="3" width="39.42578125" customWidth="1"/>
    <col min="4" max="4" width="17.140625" customWidth="1"/>
    <col min="5" max="5" width="11.7109375" customWidth="1"/>
    <col min="6" max="6" width="11.42578125" customWidth="1"/>
    <col min="7" max="7" width="13.28515625" customWidth="1"/>
    <col min="8" max="8" width="13.140625" customWidth="1"/>
    <col min="9" max="9" width="20.85546875" customWidth="1"/>
    <col min="10" max="10" width="20.28515625" customWidth="1"/>
    <col min="11" max="11" width="16.140625" style="11" customWidth="1"/>
    <col min="12" max="12" width="18.7109375" style="11" customWidth="1"/>
    <col min="13" max="13" width="15.140625" bestFit="1" customWidth="1"/>
    <col min="14" max="14" width="11.42578125" customWidth="1"/>
    <col min="15" max="18" width="11.28515625" customWidth="1"/>
    <col min="19" max="19" width="17.85546875" bestFit="1" customWidth="1"/>
    <col min="20" max="20" width="14.28515625" customWidth="1"/>
    <col min="21" max="21" width="18.42578125" customWidth="1"/>
    <col min="22" max="22" width="16.42578125" customWidth="1"/>
    <col min="23" max="23" width="13.85546875" customWidth="1"/>
    <col min="24" max="24" width="11.140625" customWidth="1"/>
    <col min="25" max="25" width="10.140625" customWidth="1"/>
    <col min="26" max="26" width="12.28515625" customWidth="1"/>
    <col min="27" max="27" width="13.85546875" customWidth="1"/>
    <col min="28" max="28" width="15.28515625" customWidth="1"/>
    <col min="29" max="29" width="16" customWidth="1"/>
    <col min="30" max="30" width="14.85546875" customWidth="1"/>
    <col min="31" max="31" width="14.7109375" customWidth="1"/>
    <col min="32" max="32" width="14.42578125" customWidth="1"/>
    <col min="33" max="33" width="12.7109375" customWidth="1"/>
    <col min="34" max="34" width="16.85546875" customWidth="1"/>
    <col min="35" max="35" width="18" customWidth="1"/>
    <col min="36" max="36" width="13.42578125" customWidth="1"/>
    <col min="37" max="37" width="16.85546875" customWidth="1"/>
    <col min="38" max="38" width="18.140625" customWidth="1"/>
    <col min="39" max="39" width="17.85546875" customWidth="1"/>
    <col min="40" max="40" width="20.140625" customWidth="1"/>
    <col min="41" max="41" width="13.140625" customWidth="1"/>
    <col min="42" max="42" width="14.42578125" customWidth="1"/>
    <col min="43" max="43" width="16.42578125" customWidth="1"/>
    <col min="44" max="44" width="12.42578125" customWidth="1"/>
    <col min="45" max="45" width="13" customWidth="1"/>
    <col min="46" max="46" width="17" customWidth="1"/>
    <col min="47" max="47" width="13.42578125" customWidth="1"/>
    <col min="48" max="48" width="15.85546875" customWidth="1"/>
    <col min="49" max="49" width="17.85546875" customWidth="1"/>
    <col min="50" max="50" width="19.140625" customWidth="1"/>
    <col min="51" max="51" width="12.140625" customWidth="1"/>
    <col min="52" max="52" width="16.85546875" customWidth="1"/>
    <col min="53" max="53" width="14.140625" customWidth="1"/>
    <col min="54" max="54" width="16" customWidth="1"/>
    <col min="55" max="55" width="18.85546875" customWidth="1"/>
    <col min="56" max="56" width="14.42578125" customWidth="1"/>
    <col min="57" max="57" width="16.28515625" customWidth="1"/>
  </cols>
  <sheetData>
    <row r="1" spans="1:2041 2051:3068 3078:4095 4105:6136 6146:7163 7173:8190 8200:10231 10241:11258 11268:12285 12295:13312 13322:15353 15363:16380" thickBot="1" x14ac:dyDescent="0.25">
      <c r="A1" s="840">
        <v>5</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2041 2051:3068 3078:4095 4105:6136 6146:7163 7173:8190 8200:10231 10241:11258 11268:12285 12295:13312 13322:15353 15363:16380" ht="15.75" x14ac:dyDescent="0.25">
      <c r="A2" s="841"/>
      <c r="B2" s="1565" t="str">
        <f>'WS3 - Notional General Income'!B2</f>
        <v>APPLICATION FOR SPECIAL VARIATION - WILLOUGHBY CITY COUNCIL</v>
      </c>
      <c r="C2" s="1550"/>
      <c r="D2" s="1550"/>
      <c r="E2" s="1550"/>
      <c r="F2" s="1550"/>
      <c r="G2" s="1550"/>
      <c r="H2" s="1550"/>
      <c r="I2" s="1550"/>
      <c r="J2" s="1550"/>
      <c r="K2" s="1550"/>
      <c r="L2" s="1551"/>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2041 2051:3068 3078:4095 4105:6136 6146:7163 7173:8190 8200:10231 10241:11258 11268:12285 12295:13312 13322:15353 15363:16380" ht="12" customHeight="1" x14ac:dyDescent="0.2">
      <c r="A3" s="841"/>
      <c r="B3" s="1561"/>
      <c r="C3" s="1566"/>
      <c r="D3" s="1566"/>
      <c r="E3" s="1566"/>
      <c r="F3" s="1566"/>
      <c r="G3" s="1567"/>
      <c r="H3" s="1568"/>
      <c r="I3" s="1568"/>
      <c r="J3" s="1568"/>
      <c r="K3" s="1568"/>
      <c r="L3" s="1569"/>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2041 2051:3068 3078:4095 4105:6136 6146:7163 7173:8190 8200:10231 10241:11258 11268:12285 12295:13312 13322:15353 15363:16380" s="58" customFormat="1" ht="16.5" thickBot="1" x14ac:dyDescent="0.3">
      <c r="A4" s="843"/>
      <c r="B4" s="1570" t="str">
        <f>"WORKSHEET "&amp;A1&amp;": CALCULATION OF NOTIONAL GENERAL INCOME FOR YEARS 2 TO 7 ("&amp;'WS0 - Input data'!L58&amp;" TO "&amp;'WS0 - Input data'!Q58&amp;")"</f>
        <v>WORKSHEET 5: CALCULATION OF NOTIONAL GENERAL INCOME FOR YEARS 2 TO 7 (2025-26 TO 2030-31)</v>
      </c>
      <c r="C4" s="1554"/>
      <c r="D4" s="1554"/>
      <c r="E4" s="1554"/>
      <c r="F4" s="1554"/>
      <c r="G4" s="1554"/>
      <c r="H4" s="1554"/>
      <c r="I4" s="1554"/>
      <c r="J4" s="1554"/>
      <c r="K4" s="1554"/>
      <c r="L4" s="1560"/>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row>
    <row r="5" spans="1:2041 2051:3068 3078:4095 4105:6136 6146:7163 7173:8190 8200:10231 10241:11258 11268:12285 12295:13312 13322:15353 15363:16380" s="58" customFormat="1" ht="12" customHeight="1" x14ac:dyDescent="0.2">
      <c r="A5" s="841"/>
      <c r="C5" s="19"/>
      <c r="E5" s="19"/>
      <c r="F5" s="43"/>
      <c r="H5" s="43"/>
      <c r="I5" s="43"/>
      <c r="J5" s="43"/>
      <c r="K5" s="43"/>
      <c r="L5" s="63"/>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row>
    <row r="6" spans="1:2041 2051:3068 3078:4095 4105:6136 6146:7163 7173:8190 8200:10231 10241:11258 11268:12285 12295:13312 13322:15353 15363:16380" s="58" customFormat="1" ht="12" customHeight="1" x14ac:dyDescent="0.2">
      <c r="A6" s="841"/>
      <c r="C6" s="19"/>
      <c r="E6" s="19"/>
      <c r="F6" s="43"/>
      <c r="H6"/>
      <c r="I6" s="43"/>
      <c r="J6" s="43"/>
      <c r="K6" s="43"/>
      <c r="L6" s="63"/>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row>
    <row r="7" spans="1:2041 2051:3068 3078:4095 4105:6136 6146:7163 7173:8190 8200:10231 10241:11258 11268:12285 12295:13312 13322:15353 15363:16380" s="58" customFormat="1" ht="15" x14ac:dyDescent="0.2">
      <c r="A7" s="841"/>
      <c r="B7" s="461" t="s">
        <v>496</v>
      </c>
      <c r="C7" s="19"/>
      <c r="E7" s="19"/>
      <c r="F7" s="43"/>
      <c r="H7" s="43"/>
      <c r="I7" s="43"/>
      <c r="J7" s="43"/>
      <c r="K7" s="43"/>
      <c r="L7" s="63"/>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row>
    <row r="8" spans="1:2041 2051:3068 3078:4095 4105:6136 6146:7163 7173:8190 8200:10231 10241:11258 11268:12285 12295:13312 13322:15353 15363:16380" ht="20.25" customHeight="1" x14ac:dyDescent="0.2">
      <c r="B8" s="844" t="s">
        <v>613</v>
      </c>
      <c r="C8" s="845"/>
      <c r="D8" s="845"/>
      <c r="E8" s="845"/>
      <c r="F8" s="845"/>
      <c r="G8" s="845"/>
      <c r="H8" s="845"/>
      <c r="I8" s="141"/>
      <c r="J8" s="675"/>
      <c r="K8" s="804"/>
      <c r="L8" s="805"/>
    </row>
    <row r="9" spans="1:2041 2051:3068 3078:4095 4105:6136 6146:7163 7173:8190 8200:10231 10241:11258 11268:12285 12295:13312 13322:15353 15363:16380" s="58" customFormat="1" ht="15" x14ac:dyDescent="0.2">
      <c r="A9" s="841"/>
      <c r="B9" s="299" t="s">
        <v>614</v>
      </c>
      <c r="C9" s="19"/>
      <c r="D9" s="19"/>
      <c r="E9" s="19"/>
      <c r="F9" s="19"/>
      <c r="G9" s="49"/>
      <c r="H9" s="19"/>
      <c r="I9" s="19"/>
      <c r="J9" s="63"/>
      <c r="K9" s="63"/>
      <c r="L9" s="720"/>
      <c r="M9" s="55"/>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row>
    <row r="10" spans="1:2041 2051:3068 3078:4095 4105:6136 6146:7163 7173:8190 8200:10231 10241:11258 11268:12285 12295:13312 13322:15353 15363:16380" s="58" customFormat="1" ht="15" x14ac:dyDescent="0.2">
      <c r="A10" s="841"/>
      <c r="B10" s="299" t="str">
        <f>"&gt; Please make sure Valuations Objection Income at row "&amp;ROW(F168)&amp;" is filled out or zero is entered if there is none."</f>
        <v>&gt; Please make sure Valuations Objection Income at row 168 is filled out or zero is entered if there is none.</v>
      </c>
      <c r="C10" s="19"/>
      <c r="D10" s="19"/>
      <c r="E10" s="19"/>
      <c r="F10" s="19"/>
      <c r="G10" s="49"/>
      <c r="H10" s="19"/>
      <c r="I10" s="19"/>
      <c r="J10" s="63"/>
      <c r="K10" s="63"/>
      <c r="L10" s="720"/>
      <c r="M10" s="55"/>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row>
    <row r="11" spans="1:2041 2051:3068 3078:4095 4105:6136 6146:7163 7173:8190 8200:10231 10241:11258 11268:12285 12295:13312 13322:15353 15363:16380" s="58" customFormat="1" ht="15" x14ac:dyDescent="0.2">
      <c r="A11" s="841"/>
      <c r="B11" s="299" t="str">
        <f>"&gt; Please make sure all years (2 to 7) are completed."</f>
        <v>&gt; Please make sure all years (2 to 7) are completed.</v>
      </c>
      <c r="C11" s="19"/>
      <c r="D11" s="19"/>
      <c r="E11" s="19"/>
      <c r="F11" s="19"/>
      <c r="G11" s="49"/>
      <c r="H11" s="19"/>
      <c r="I11" s="19"/>
      <c r="J11" s="63"/>
      <c r="K11" s="63"/>
      <c r="L11" s="720"/>
      <c r="M11" s="55"/>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row>
    <row r="12" spans="1:2041 2051:3068 3078:4095 4105:6136 6146:7163 7173:8190 8200:10231 10241:11258 11268:12285 12295:13312 13322:15353 15363:16380" s="63" customFormat="1" ht="15" customHeight="1" x14ac:dyDescent="0.2">
      <c r="A12" s="841"/>
      <c r="B12" s="685" t="s">
        <v>499</v>
      </c>
      <c r="D12" s="3"/>
      <c r="K12" s="2"/>
      <c r="L12" s="699"/>
      <c r="M12" s="55"/>
      <c r="V12" s="1"/>
      <c r="W12" s="49"/>
      <c r="X12" s="49"/>
      <c r="Y12" s="2"/>
      <c r="AC12" s="49"/>
      <c r="BJ12" s="1621"/>
      <c r="BK12" s="1621"/>
      <c r="BL12" s="2"/>
      <c r="BW12" s="29"/>
      <c r="BX12" s="2"/>
      <c r="BY12" s="2"/>
      <c r="CJ12" s="29"/>
      <c r="CK12" s="2"/>
      <c r="CL12" s="2"/>
      <c r="CW12" s="29"/>
      <c r="CX12" s="2"/>
      <c r="CY12" s="2"/>
      <c r="DJ12" s="29"/>
      <c r="DK12" s="2"/>
      <c r="DL12" s="2"/>
      <c r="DW12" s="29"/>
      <c r="DX12" s="2"/>
      <c r="DY12" s="2"/>
      <c r="EJ12" s="29"/>
      <c r="EK12" s="2"/>
      <c r="EL12" s="2"/>
      <c r="EW12" s="29"/>
      <c r="EX12" s="2"/>
      <c r="EY12" s="2"/>
      <c r="FJ12" s="29"/>
      <c r="FK12" s="2"/>
      <c r="FL12" s="2"/>
      <c r="FW12" s="29"/>
      <c r="FX12" s="2"/>
      <c r="FY12" s="2"/>
      <c r="GJ12" s="29"/>
      <c r="GK12" s="2"/>
      <c r="GL12" s="2"/>
      <c r="GW12" s="29"/>
      <c r="GX12" s="2"/>
      <c r="GY12" s="2"/>
      <c r="HJ12" s="29"/>
      <c r="HK12" s="2"/>
      <c r="HL12" s="2"/>
      <c r="HW12" s="29"/>
      <c r="HX12" s="2"/>
      <c r="HY12" s="2"/>
      <c r="IJ12" s="29"/>
      <c r="IK12" s="2"/>
      <c r="IL12" s="2"/>
      <c r="IW12" s="29"/>
      <c r="IX12" s="2"/>
      <c r="IY12" s="2"/>
      <c r="JJ12" s="29"/>
      <c r="JK12" s="2"/>
      <c r="JL12" s="2"/>
      <c r="JW12" s="29"/>
      <c r="JX12" s="2"/>
      <c r="JY12" s="2"/>
      <c r="KJ12" s="29"/>
      <c r="KK12" s="2"/>
      <c r="KL12" s="2"/>
      <c r="KW12" s="29"/>
      <c r="KX12" s="2"/>
      <c r="KY12" s="2"/>
      <c r="LJ12" s="29"/>
      <c r="LK12" s="2"/>
      <c r="LL12" s="2"/>
      <c r="LW12" s="29"/>
      <c r="LX12" s="2"/>
      <c r="LY12" s="2"/>
      <c r="MJ12" s="29"/>
      <c r="MK12" s="2"/>
      <c r="ML12" s="2"/>
      <c r="MW12" s="29"/>
      <c r="MX12" s="2"/>
      <c r="MY12" s="2"/>
      <c r="NJ12" s="29"/>
      <c r="NK12" s="2"/>
      <c r="NL12" s="2"/>
      <c r="NW12" s="29"/>
      <c r="NX12" s="2"/>
      <c r="NY12" s="2"/>
      <c r="OJ12" s="29"/>
      <c r="OK12" s="2"/>
      <c r="OL12" s="2"/>
      <c r="OW12" s="29"/>
      <c r="OX12" s="2"/>
      <c r="OY12" s="2"/>
      <c r="PJ12" s="29"/>
      <c r="PK12" s="2"/>
      <c r="PL12" s="2"/>
      <c r="PW12" s="29"/>
      <c r="PX12" s="2"/>
      <c r="PY12" s="2"/>
      <c r="QJ12" s="29"/>
      <c r="QK12" s="2"/>
      <c r="QL12" s="2"/>
      <c r="QW12" s="29"/>
      <c r="QX12" s="2"/>
      <c r="QY12" s="2"/>
      <c r="RJ12" s="29"/>
      <c r="RK12" s="2"/>
      <c r="RL12" s="2"/>
      <c r="RW12" s="29"/>
      <c r="RX12" s="2"/>
      <c r="RY12" s="2"/>
      <c r="SJ12" s="29"/>
      <c r="SK12" s="2"/>
      <c r="SL12" s="2"/>
      <c r="SW12" s="29"/>
      <c r="SX12" s="2"/>
      <c r="SY12" s="2"/>
      <c r="TJ12" s="29"/>
      <c r="TK12" s="2"/>
      <c r="TL12" s="2"/>
      <c r="TW12" s="29"/>
      <c r="TX12" s="2"/>
      <c r="TY12" s="2"/>
      <c r="UJ12" s="29"/>
      <c r="UK12" s="2"/>
      <c r="UL12" s="2"/>
      <c r="UW12" s="29"/>
      <c r="UX12" s="2"/>
      <c r="UY12" s="2"/>
      <c r="VJ12" s="29"/>
      <c r="VK12" s="2"/>
      <c r="VL12" s="2"/>
      <c r="VW12" s="29"/>
      <c r="VX12" s="2"/>
      <c r="VY12" s="2"/>
      <c r="WJ12" s="29"/>
      <c r="WK12" s="2"/>
      <c r="WL12" s="2"/>
      <c r="WW12" s="29"/>
      <c r="WX12" s="2"/>
      <c r="WY12" s="2"/>
      <c r="XJ12" s="29"/>
      <c r="XK12" s="2"/>
      <c r="XL12" s="2"/>
      <c r="XW12" s="29"/>
      <c r="XX12" s="2"/>
      <c r="XY12" s="2"/>
      <c r="YJ12" s="29"/>
      <c r="YK12" s="2"/>
      <c r="YL12" s="2"/>
      <c r="YW12" s="29"/>
      <c r="YX12" s="2"/>
      <c r="YY12" s="2"/>
      <c r="ZJ12" s="29"/>
      <c r="ZK12" s="2"/>
      <c r="ZL12" s="2"/>
      <c r="ZW12" s="29"/>
      <c r="ZX12" s="2"/>
      <c r="ZY12" s="2"/>
      <c r="AAJ12" s="29"/>
      <c r="AAK12" s="2"/>
      <c r="AAL12" s="2"/>
      <c r="AAW12" s="29"/>
      <c r="AAX12" s="2"/>
      <c r="AAY12" s="2"/>
      <c r="ABJ12" s="29"/>
      <c r="ABK12" s="2"/>
      <c r="ABL12" s="2"/>
      <c r="ABW12" s="29"/>
      <c r="ABX12" s="2"/>
      <c r="ABY12" s="2"/>
      <c r="ACJ12" s="29"/>
      <c r="ACK12" s="2"/>
      <c r="ACL12" s="2"/>
      <c r="ACW12" s="29"/>
      <c r="ACX12" s="2"/>
      <c r="ACY12" s="2"/>
      <c r="ADJ12" s="29"/>
      <c r="ADK12" s="2"/>
      <c r="ADL12" s="2"/>
      <c r="ADW12" s="29"/>
      <c r="ADX12" s="2"/>
      <c r="ADY12" s="2"/>
      <c r="AEJ12" s="29"/>
      <c r="AEK12" s="2"/>
      <c r="AEL12" s="2"/>
      <c r="AEW12" s="29"/>
      <c r="AEX12" s="2"/>
      <c r="AEY12" s="2"/>
      <c r="AFJ12" s="29"/>
      <c r="AFK12" s="2"/>
      <c r="AFL12" s="2"/>
      <c r="AFW12" s="29"/>
      <c r="AFX12" s="2"/>
      <c r="AFY12" s="2"/>
      <c r="AGJ12" s="29"/>
      <c r="AGK12" s="2"/>
      <c r="AGL12" s="2"/>
      <c r="AGW12" s="29"/>
      <c r="AGX12" s="2"/>
      <c r="AGY12" s="2"/>
      <c r="AHJ12" s="29"/>
      <c r="AHK12" s="2"/>
      <c r="AHL12" s="2"/>
      <c r="AHW12" s="29"/>
      <c r="AHX12" s="2"/>
      <c r="AHY12" s="2"/>
      <c r="AIJ12" s="29"/>
      <c r="AIK12" s="2"/>
      <c r="AIL12" s="2"/>
      <c r="AIW12" s="29"/>
      <c r="AIX12" s="2"/>
      <c r="AIY12" s="2"/>
      <c r="AJJ12" s="29"/>
      <c r="AJK12" s="2"/>
      <c r="AJL12" s="2"/>
      <c r="AJW12" s="29"/>
      <c r="AJX12" s="2"/>
      <c r="AJY12" s="2"/>
      <c r="AKJ12" s="29"/>
      <c r="AKK12" s="2"/>
      <c r="AKL12" s="2"/>
      <c r="AKW12" s="29"/>
      <c r="AKX12" s="2"/>
      <c r="AKY12" s="2"/>
      <c r="ALJ12" s="29"/>
      <c r="ALK12" s="2"/>
      <c r="ALL12" s="2"/>
      <c r="ALW12" s="29"/>
      <c r="ALX12" s="2"/>
      <c r="ALY12" s="2"/>
      <c r="AMJ12" s="29"/>
      <c r="AMK12" s="2"/>
      <c r="AML12" s="2"/>
      <c r="AMW12" s="29"/>
      <c r="AMX12" s="2"/>
      <c r="AMY12" s="2"/>
      <c r="ANJ12" s="29"/>
      <c r="ANK12" s="2"/>
      <c r="ANL12" s="2"/>
      <c r="ANW12" s="29"/>
      <c r="ANX12" s="2"/>
      <c r="ANY12" s="2"/>
      <c r="AOJ12" s="29"/>
      <c r="AOK12" s="2"/>
      <c r="AOL12" s="2"/>
      <c r="AOW12" s="29"/>
      <c r="AOX12" s="2"/>
      <c r="AOY12" s="2"/>
      <c r="APJ12" s="29"/>
      <c r="APK12" s="2"/>
      <c r="APL12" s="2"/>
      <c r="APW12" s="29"/>
      <c r="APX12" s="2"/>
      <c r="APY12" s="2"/>
      <c r="AQJ12" s="29"/>
      <c r="AQK12" s="2"/>
      <c r="AQL12" s="2"/>
      <c r="AQW12" s="29"/>
      <c r="AQX12" s="2"/>
      <c r="AQY12" s="2"/>
      <c r="ARJ12" s="29"/>
      <c r="ARK12" s="2"/>
      <c r="ARL12" s="2"/>
      <c r="ARW12" s="29"/>
      <c r="ARX12" s="2"/>
      <c r="ARY12" s="2"/>
      <c r="ASJ12" s="29"/>
      <c r="ASK12" s="2"/>
      <c r="ASL12" s="2"/>
      <c r="ASW12" s="29"/>
      <c r="ASX12" s="2"/>
      <c r="ASY12" s="2"/>
      <c r="ATJ12" s="29"/>
      <c r="ATK12" s="2"/>
      <c r="ATL12" s="2"/>
      <c r="ATW12" s="29"/>
      <c r="ATX12" s="2"/>
      <c r="ATY12" s="2"/>
      <c r="AUJ12" s="29"/>
      <c r="AUK12" s="2"/>
      <c r="AUL12" s="2"/>
      <c r="AUW12" s="29"/>
      <c r="AUX12" s="2"/>
      <c r="AUY12" s="2"/>
      <c r="AVJ12" s="29"/>
      <c r="AVK12" s="2"/>
      <c r="AVL12" s="2"/>
      <c r="AVW12" s="29"/>
      <c r="AVX12" s="2"/>
      <c r="AVY12" s="2"/>
      <c r="AWJ12" s="29"/>
      <c r="AWK12" s="2"/>
      <c r="AWL12" s="2"/>
      <c r="AWW12" s="29"/>
      <c r="AWX12" s="2"/>
      <c r="AWY12" s="2"/>
      <c r="AXJ12" s="29"/>
      <c r="AXK12" s="2"/>
      <c r="AXL12" s="2"/>
      <c r="AXW12" s="29"/>
      <c r="AXX12" s="2"/>
      <c r="AXY12" s="2"/>
      <c r="AYJ12" s="29"/>
      <c r="AYK12" s="2"/>
      <c r="AYL12" s="2"/>
      <c r="AYW12" s="29"/>
      <c r="AYX12" s="2"/>
      <c r="AYY12" s="2"/>
      <c r="AZJ12" s="29"/>
      <c r="AZK12" s="2"/>
      <c r="AZL12" s="2"/>
      <c r="AZW12" s="29"/>
      <c r="AZX12" s="2"/>
      <c r="AZY12" s="2"/>
      <c r="BAJ12" s="29"/>
      <c r="BAK12" s="2"/>
      <c r="BAL12" s="2"/>
      <c r="BAW12" s="29"/>
      <c r="BAX12" s="2"/>
      <c r="BAY12" s="2"/>
      <c r="BBJ12" s="29"/>
      <c r="BBK12" s="2"/>
      <c r="BBL12" s="2"/>
      <c r="BBW12" s="29"/>
      <c r="BBX12" s="2"/>
      <c r="BBY12" s="2"/>
      <c r="BCJ12" s="29"/>
      <c r="BCK12" s="2"/>
      <c r="BCL12" s="2"/>
      <c r="BCW12" s="29"/>
      <c r="BCX12" s="2"/>
      <c r="BCY12" s="2"/>
      <c r="BDJ12" s="29"/>
      <c r="BDK12" s="2"/>
      <c r="BDL12" s="2"/>
      <c r="BDW12" s="29"/>
      <c r="BDX12" s="2"/>
      <c r="BDY12" s="2"/>
      <c r="BEJ12" s="29"/>
      <c r="BEK12" s="2"/>
      <c r="BEL12" s="2"/>
      <c r="BEW12" s="29"/>
      <c r="BEX12" s="2"/>
      <c r="BEY12" s="2"/>
      <c r="BFJ12" s="29"/>
      <c r="BFK12" s="2"/>
      <c r="BFL12" s="2"/>
      <c r="BFW12" s="29"/>
      <c r="BFX12" s="2"/>
      <c r="BFY12" s="2"/>
      <c r="BGJ12" s="29"/>
      <c r="BGK12" s="2"/>
      <c r="BGL12" s="2"/>
      <c r="BGW12" s="29"/>
      <c r="BGX12" s="2"/>
      <c r="BGY12" s="2"/>
      <c r="BHJ12" s="29"/>
      <c r="BHK12" s="2"/>
      <c r="BHL12" s="2"/>
      <c r="BHW12" s="29"/>
      <c r="BHX12" s="2"/>
      <c r="BHY12" s="2"/>
      <c r="BIJ12" s="29"/>
      <c r="BIK12" s="2"/>
      <c r="BIL12" s="2"/>
      <c r="BIW12" s="29"/>
      <c r="BIX12" s="2"/>
      <c r="BIY12" s="2"/>
      <c r="BJJ12" s="29"/>
      <c r="BJK12" s="2"/>
      <c r="BJL12" s="2"/>
      <c r="BJW12" s="29"/>
      <c r="BJX12" s="2"/>
      <c r="BJY12" s="2"/>
      <c r="BKJ12" s="29"/>
      <c r="BKK12" s="2"/>
      <c r="BKL12" s="2"/>
      <c r="BKW12" s="29"/>
      <c r="BKX12" s="2"/>
      <c r="BKY12" s="2"/>
      <c r="BLJ12" s="29"/>
      <c r="BLK12" s="2"/>
      <c r="BLL12" s="2"/>
      <c r="BLW12" s="29"/>
      <c r="BLX12" s="2"/>
      <c r="BLY12" s="2"/>
      <c r="BMJ12" s="29"/>
      <c r="BMK12" s="2"/>
      <c r="BML12" s="2"/>
      <c r="BMW12" s="29"/>
      <c r="BMX12" s="2"/>
      <c r="BMY12" s="2"/>
      <c r="BNJ12" s="29"/>
      <c r="BNK12" s="2"/>
      <c r="BNL12" s="2"/>
      <c r="BNW12" s="29"/>
      <c r="BNX12" s="2"/>
      <c r="BNY12" s="2"/>
      <c r="BOJ12" s="29"/>
      <c r="BOK12" s="2"/>
      <c r="BOL12" s="2"/>
      <c r="BOW12" s="29"/>
      <c r="BOX12" s="2"/>
      <c r="BOY12" s="2"/>
      <c r="BPJ12" s="29"/>
      <c r="BPK12" s="2"/>
      <c r="BPL12" s="2"/>
      <c r="BPW12" s="29"/>
      <c r="BPX12" s="2"/>
      <c r="BPY12" s="2"/>
      <c r="BQJ12" s="29"/>
      <c r="BQK12" s="2"/>
      <c r="BQL12" s="2"/>
      <c r="BQW12" s="29"/>
      <c r="BQX12" s="2"/>
      <c r="BQY12" s="2"/>
      <c r="BRJ12" s="29"/>
      <c r="BRK12" s="2"/>
      <c r="BRL12" s="2"/>
      <c r="BRW12" s="29"/>
      <c r="BRX12" s="2"/>
      <c r="BRY12" s="2"/>
      <c r="BSJ12" s="29"/>
      <c r="BSK12" s="2"/>
      <c r="BSL12" s="2"/>
      <c r="BSW12" s="29"/>
      <c r="BSX12" s="2"/>
      <c r="BSY12" s="2"/>
      <c r="BTJ12" s="29"/>
      <c r="BTK12" s="2"/>
      <c r="BTL12" s="2"/>
      <c r="BTW12" s="29"/>
      <c r="BTX12" s="2"/>
      <c r="BTY12" s="2"/>
      <c r="BUJ12" s="29"/>
      <c r="BUK12" s="2"/>
      <c r="BUL12" s="2"/>
      <c r="BUW12" s="29"/>
      <c r="BUX12" s="2"/>
      <c r="BUY12" s="2"/>
      <c r="BVJ12" s="29"/>
      <c r="BVK12" s="2"/>
      <c r="BVL12" s="2"/>
      <c r="BVW12" s="29"/>
      <c r="BVX12" s="2"/>
      <c r="BVY12" s="2"/>
      <c r="BWJ12" s="29"/>
      <c r="BWK12" s="2"/>
      <c r="BWL12" s="2"/>
      <c r="BWW12" s="29"/>
      <c r="BWX12" s="2"/>
      <c r="BWY12" s="2"/>
      <c r="BXJ12" s="29"/>
      <c r="BXK12" s="2"/>
      <c r="BXL12" s="2"/>
      <c r="BXW12" s="29"/>
      <c r="BXX12" s="2"/>
      <c r="BXY12" s="2"/>
      <c r="BYJ12" s="29"/>
      <c r="BYK12" s="2"/>
      <c r="BYL12" s="2"/>
      <c r="BYW12" s="29"/>
      <c r="BYX12" s="2"/>
      <c r="BYY12" s="2"/>
      <c r="BZJ12" s="29"/>
      <c r="BZK12" s="2"/>
      <c r="BZL12" s="2"/>
      <c r="BZW12" s="29"/>
      <c r="BZX12" s="2"/>
      <c r="BZY12" s="2"/>
      <c r="CAJ12" s="29"/>
      <c r="CAK12" s="2"/>
      <c r="CAL12" s="2"/>
      <c r="CAW12" s="29"/>
      <c r="CAX12" s="2"/>
      <c r="CAY12" s="2"/>
      <c r="CBJ12" s="29"/>
      <c r="CBK12" s="2"/>
      <c r="CBL12" s="2"/>
      <c r="CBW12" s="29"/>
      <c r="CBX12" s="2"/>
      <c r="CBY12" s="2"/>
      <c r="CCJ12" s="29"/>
      <c r="CCK12" s="2"/>
      <c r="CCL12" s="2"/>
      <c r="CCW12" s="29"/>
      <c r="CCX12" s="2"/>
      <c r="CCY12" s="2"/>
      <c r="CDJ12" s="29"/>
      <c r="CDK12" s="2"/>
      <c r="CDL12" s="2"/>
      <c r="CDW12" s="29"/>
      <c r="CDX12" s="2"/>
      <c r="CDY12" s="2"/>
      <c r="CEJ12" s="29"/>
      <c r="CEK12" s="2"/>
      <c r="CEL12" s="2"/>
      <c r="CEW12" s="29"/>
      <c r="CEX12" s="2"/>
      <c r="CEY12" s="2"/>
      <c r="CFJ12" s="29"/>
      <c r="CFK12" s="2"/>
      <c r="CFL12" s="2"/>
      <c r="CFW12" s="29"/>
      <c r="CFX12" s="2"/>
      <c r="CFY12" s="2"/>
      <c r="CGJ12" s="29"/>
      <c r="CGK12" s="2"/>
      <c r="CGL12" s="2"/>
      <c r="CGW12" s="29"/>
      <c r="CGX12" s="2"/>
      <c r="CGY12" s="2"/>
      <c r="CHJ12" s="29"/>
      <c r="CHK12" s="2"/>
      <c r="CHL12" s="2"/>
      <c r="CHW12" s="29"/>
      <c r="CHX12" s="2"/>
      <c r="CHY12" s="2"/>
      <c r="CIJ12" s="29"/>
      <c r="CIK12" s="2"/>
      <c r="CIL12" s="2"/>
      <c r="CIW12" s="29"/>
      <c r="CIX12" s="2"/>
      <c r="CIY12" s="2"/>
      <c r="CJJ12" s="29"/>
      <c r="CJK12" s="2"/>
      <c r="CJL12" s="2"/>
      <c r="CJW12" s="29"/>
      <c r="CJX12" s="2"/>
      <c r="CJY12" s="2"/>
      <c r="CKJ12" s="29"/>
      <c r="CKK12" s="2"/>
      <c r="CKL12" s="2"/>
      <c r="CKW12" s="29"/>
      <c r="CKX12" s="2"/>
      <c r="CKY12" s="2"/>
      <c r="CLJ12" s="29"/>
      <c r="CLK12" s="2"/>
      <c r="CLL12" s="2"/>
      <c r="CLW12" s="29"/>
      <c r="CLX12" s="2"/>
      <c r="CLY12" s="2"/>
      <c r="CMJ12" s="29"/>
      <c r="CMK12" s="2"/>
      <c r="CML12" s="2"/>
      <c r="CMW12" s="29"/>
      <c r="CMX12" s="2"/>
      <c r="CMY12" s="2"/>
      <c r="CNJ12" s="29"/>
      <c r="CNK12" s="2"/>
      <c r="CNL12" s="2"/>
      <c r="CNW12" s="29"/>
      <c r="CNX12" s="2"/>
      <c r="CNY12" s="2"/>
      <c r="COJ12" s="29"/>
      <c r="COK12" s="2"/>
      <c r="COL12" s="2"/>
      <c r="COW12" s="29"/>
      <c r="COX12" s="2"/>
      <c r="COY12" s="2"/>
      <c r="CPJ12" s="29"/>
      <c r="CPK12" s="2"/>
      <c r="CPL12" s="2"/>
      <c r="CPW12" s="29"/>
      <c r="CPX12" s="2"/>
      <c r="CPY12" s="2"/>
      <c r="CQJ12" s="29"/>
      <c r="CQK12" s="2"/>
      <c r="CQL12" s="2"/>
      <c r="CQW12" s="29"/>
      <c r="CQX12" s="2"/>
      <c r="CQY12" s="2"/>
      <c r="CRJ12" s="29"/>
      <c r="CRK12" s="2"/>
      <c r="CRL12" s="2"/>
      <c r="CRW12" s="29"/>
      <c r="CRX12" s="2"/>
      <c r="CRY12" s="2"/>
      <c r="CSJ12" s="29"/>
      <c r="CSK12" s="2"/>
      <c r="CSL12" s="2"/>
      <c r="CSW12" s="29"/>
      <c r="CSX12" s="2"/>
      <c r="CSY12" s="2"/>
      <c r="CTJ12" s="29"/>
      <c r="CTK12" s="2"/>
      <c r="CTL12" s="2"/>
      <c r="CTW12" s="29"/>
      <c r="CTX12" s="2"/>
      <c r="CTY12" s="2"/>
      <c r="CUJ12" s="29"/>
      <c r="CUK12" s="2"/>
      <c r="CUL12" s="2"/>
      <c r="CUW12" s="29"/>
      <c r="CUX12" s="2"/>
      <c r="CUY12" s="2"/>
      <c r="CVJ12" s="29"/>
      <c r="CVK12" s="2"/>
      <c r="CVL12" s="2"/>
      <c r="CVW12" s="29"/>
      <c r="CVX12" s="2"/>
      <c r="CVY12" s="2"/>
      <c r="CWJ12" s="29"/>
      <c r="CWK12" s="2"/>
      <c r="CWL12" s="2"/>
      <c r="CWW12" s="29"/>
      <c r="CWX12" s="2"/>
      <c r="CWY12" s="2"/>
      <c r="CXJ12" s="29"/>
      <c r="CXK12" s="2"/>
      <c r="CXL12" s="2"/>
      <c r="CXW12" s="29"/>
      <c r="CXX12" s="2"/>
      <c r="CXY12" s="2"/>
      <c r="CYJ12" s="29"/>
      <c r="CYK12" s="2"/>
      <c r="CYL12" s="2"/>
      <c r="CYW12" s="29"/>
      <c r="CYX12" s="2"/>
      <c r="CYY12" s="2"/>
      <c r="CZJ12" s="29"/>
      <c r="CZK12" s="2"/>
      <c r="CZL12" s="2"/>
      <c r="CZW12" s="29"/>
      <c r="CZX12" s="2"/>
      <c r="CZY12" s="2"/>
      <c r="DAJ12" s="29"/>
      <c r="DAK12" s="2"/>
      <c r="DAL12" s="2"/>
      <c r="DAW12" s="29"/>
      <c r="DAX12" s="2"/>
      <c r="DAY12" s="2"/>
      <c r="DBJ12" s="29"/>
      <c r="DBK12" s="2"/>
      <c r="DBL12" s="2"/>
      <c r="DBW12" s="29"/>
      <c r="DBX12" s="2"/>
      <c r="DBY12" s="2"/>
      <c r="DCJ12" s="29"/>
      <c r="DCK12" s="2"/>
      <c r="DCL12" s="2"/>
      <c r="DCW12" s="29"/>
      <c r="DCX12" s="2"/>
      <c r="DCY12" s="2"/>
      <c r="DDJ12" s="29"/>
      <c r="DDK12" s="2"/>
      <c r="DDL12" s="2"/>
      <c r="DDW12" s="29"/>
      <c r="DDX12" s="2"/>
      <c r="DDY12" s="2"/>
      <c r="DEJ12" s="29"/>
      <c r="DEK12" s="2"/>
      <c r="DEL12" s="2"/>
      <c r="DEW12" s="29"/>
      <c r="DEX12" s="2"/>
      <c r="DEY12" s="2"/>
      <c r="DFJ12" s="29"/>
      <c r="DFK12" s="2"/>
      <c r="DFL12" s="2"/>
      <c r="DFW12" s="29"/>
      <c r="DFX12" s="2"/>
      <c r="DFY12" s="2"/>
      <c r="DGJ12" s="29"/>
      <c r="DGK12" s="2"/>
      <c r="DGL12" s="2"/>
      <c r="DGW12" s="29"/>
      <c r="DGX12" s="2"/>
      <c r="DGY12" s="2"/>
      <c r="DHJ12" s="29"/>
      <c r="DHK12" s="2"/>
      <c r="DHL12" s="2"/>
      <c r="DHW12" s="29"/>
      <c r="DHX12" s="2"/>
      <c r="DHY12" s="2"/>
      <c r="DIJ12" s="29"/>
      <c r="DIK12" s="2"/>
      <c r="DIL12" s="2"/>
      <c r="DIW12" s="29"/>
      <c r="DIX12" s="2"/>
      <c r="DIY12" s="2"/>
      <c r="DJJ12" s="29"/>
      <c r="DJK12" s="2"/>
      <c r="DJL12" s="2"/>
      <c r="DJW12" s="29"/>
      <c r="DJX12" s="2"/>
      <c r="DJY12" s="2"/>
      <c r="DKJ12" s="29"/>
      <c r="DKK12" s="2"/>
      <c r="DKL12" s="2"/>
      <c r="DKW12" s="29"/>
      <c r="DKX12" s="2"/>
      <c r="DKY12" s="2"/>
      <c r="DLJ12" s="29"/>
      <c r="DLK12" s="2"/>
      <c r="DLL12" s="2"/>
      <c r="DLW12" s="29"/>
      <c r="DLX12" s="2"/>
      <c r="DLY12" s="2"/>
      <c r="DMJ12" s="29"/>
      <c r="DMK12" s="2"/>
      <c r="DML12" s="2"/>
      <c r="DMW12" s="29"/>
      <c r="DMX12" s="2"/>
      <c r="DMY12" s="2"/>
      <c r="DNJ12" s="29"/>
      <c r="DNK12" s="2"/>
      <c r="DNL12" s="2"/>
      <c r="DNW12" s="29"/>
      <c r="DNX12" s="2"/>
      <c r="DNY12" s="2"/>
      <c r="DOJ12" s="29"/>
      <c r="DOK12" s="2"/>
      <c r="DOL12" s="2"/>
      <c r="DOW12" s="29"/>
      <c r="DOX12" s="2"/>
      <c r="DOY12" s="2"/>
      <c r="DPJ12" s="29"/>
      <c r="DPK12" s="2"/>
      <c r="DPL12" s="2"/>
      <c r="DPW12" s="29"/>
      <c r="DPX12" s="2"/>
      <c r="DPY12" s="2"/>
      <c r="DQJ12" s="29"/>
      <c r="DQK12" s="2"/>
      <c r="DQL12" s="2"/>
      <c r="DQW12" s="29"/>
      <c r="DQX12" s="2"/>
      <c r="DQY12" s="2"/>
      <c r="DRJ12" s="29"/>
      <c r="DRK12" s="2"/>
      <c r="DRL12" s="2"/>
      <c r="DRW12" s="29"/>
      <c r="DRX12" s="2"/>
      <c r="DRY12" s="2"/>
      <c r="DSJ12" s="29"/>
      <c r="DSK12" s="2"/>
      <c r="DSL12" s="2"/>
      <c r="DSW12" s="29"/>
      <c r="DSX12" s="2"/>
      <c r="DSY12" s="2"/>
      <c r="DTJ12" s="29"/>
      <c r="DTK12" s="2"/>
      <c r="DTL12" s="2"/>
      <c r="DTW12" s="29"/>
      <c r="DTX12" s="2"/>
      <c r="DTY12" s="2"/>
      <c r="DUJ12" s="29"/>
      <c r="DUK12" s="2"/>
      <c r="DUL12" s="2"/>
      <c r="DUW12" s="29"/>
      <c r="DUX12" s="2"/>
      <c r="DUY12" s="2"/>
      <c r="DVJ12" s="29"/>
      <c r="DVK12" s="2"/>
      <c r="DVL12" s="2"/>
      <c r="DVW12" s="29"/>
      <c r="DVX12" s="2"/>
      <c r="DVY12" s="2"/>
      <c r="DWJ12" s="29"/>
      <c r="DWK12" s="2"/>
      <c r="DWL12" s="2"/>
      <c r="DWW12" s="29"/>
      <c r="DWX12" s="2"/>
      <c r="DWY12" s="2"/>
      <c r="DXJ12" s="29"/>
      <c r="DXK12" s="2"/>
      <c r="DXL12" s="2"/>
      <c r="DXW12" s="29"/>
      <c r="DXX12" s="2"/>
      <c r="DXY12" s="2"/>
      <c r="DYJ12" s="29"/>
      <c r="DYK12" s="2"/>
      <c r="DYL12" s="2"/>
      <c r="DYW12" s="29"/>
      <c r="DYX12" s="2"/>
      <c r="DYY12" s="2"/>
      <c r="DZJ12" s="29"/>
      <c r="DZK12" s="2"/>
      <c r="DZL12" s="2"/>
      <c r="DZW12" s="29"/>
      <c r="DZX12" s="2"/>
      <c r="DZY12" s="2"/>
      <c r="EAJ12" s="29"/>
      <c r="EAK12" s="2"/>
      <c r="EAL12" s="2"/>
      <c r="EAW12" s="29"/>
      <c r="EAX12" s="2"/>
      <c r="EAY12" s="2"/>
      <c r="EBJ12" s="29"/>
      <c r="EBK12" s="2"/>
      <c r="EBL12" s="2"/>
      <c r="EBW12" s="29"/>
      <c r="EBX12" s="2"/>
      <c r="EBY12" s="2"/>
      <c r="ECJ12" s="29"/>
      <c r="ECK12" s="2"/>
      <c r="ECL12" s="2"/>
      <c r="ECW12" s="29"/>
      <c r="ECX12" s="2"/>
      <c r="ECY12" s="2"/>
      <c r="EDJ12" s="29"/>
      <c r="EDK12" s="2"/>
      <c r="EDL12" s="2"/>
      <c r="EDW12" s="29"/>
      <c r="EDX12" s="2"/>
      <c r="EDY12" s="2"/>
      <c r="EEJ12" s="29"/>
      <c r="EEK12" s="2"/>
      <c r="EEL12" s="2"/>
      <c r="EEW12" s="29"/>
      <c r="EEX12" s="2"/>
      <c r="EEY12" s="2"/>
      <c r="EFJ12" s="29"/>
      <c r="EFK12" s="2"/>
      <c r="EFL12" s="2"/>
      <c r="EFW12" s="29"/>
      <c r="EFX12" s="2"/>
      <c r="EFY12" s="2"/>
      <c r="EGJ12" s="29"/>
      <c r="EGK12" s="2"/>
      <c r="EGL12" s="2"/>
      <c r="EGW12" s="29"/>
      <c r="EGX12" s="2"/>
      <c r="EGY12" s="2"/>
      <c r="EHJ12" s="29"/>
      <c r="EHK12" s="2"/>
      <c r="EHL12" s="2"/>
      <c r="EHW12" s="29"/>
      <c r="EHX12" s="2"/>
      <c r="EHY12" s="2"/>
      <c r="EIJ12" s="29"/>
      <c r="EIK12" s="2"/>
      <c r="EIL12" s="2"/>
      <c r="EIW12" s="29"/>
      <c r="EIX12" s="2"/>
      <c r="EIY12" s="2"/>
      <c r="EJJ12" s="29"/>
      <c r="EJK12" s="2"/>
      <c r="EJL12" s="2"/>
      <c r="EJW12" s="29"/>
      <c r="EJX12" s="2"/>
      <c r="EJY12" s="2"/>
      <c r="EKJ12" s="29"/>
      <c r="EKK12" s="2"/>
      <c r="EKL12" s="2"/>
      <c r="EKW12" s="29"/>
      <c r="EKX12" s="2"/>
      <c r="EKY12" s="2"/>
      <c r="ELJ12" s="29"/>
      <c r="ELK12" s="2"/>
      <c r="ELL12" s="2"/>
      <c r="ELW12" s="29"/>
      <c r="ELX12" s="2"/>
      <c r="ELY12" s="2"/>
      <c r="EMJ12" s="29"/>
      <c r="EMK12" s="2"/>
      <c r="EML12" s="2"/>
      <c r="EMW12" s="29"/>
      <c r="EMX12" s="2"/>
      <c r="EMY12" s="2"/>
      <c r="ENJ12" s="29"/>
      <c r="ENK12" s="2"/>
      <c r="ENL12" s="2"/>
      <c r="ENW12" s="29"/>
      <c r="ENX12" s="2"/>
      <c r="ENY12" s="2"/>
      <c r="EOJ12" s="29"/>
      <c r="EOK12" s="2"/>
      <c r="EOL12" s="2"/>
      <c r="EOW12" s="29"/>
      <c r="EOX12" s="2"/>
      <c r="EOY12" s="2"/>
      <c r="EPJ12" s="29"/>
      <c r="EPK12" s="2"/>
      <c r="EPL12" s="2"/>
      <c r="EPW12" s="29"/>
      <c r="EPX12" s="2"/>
      <c r="EPY12" s="2"/>
      <c r="EQJ12" s="29"/>
      <c r="EQK12" s="2"/>
      <c r="EQL12" s="2"/>
      <c r="EQW12" s="29"/>
      <c r="EQX12" s="2"/>
      <c r="EQY12" s="2"/>
      <c r="ERJ12" s="29"/>
      <c r="ERK12" s="2"/>
      <c r="ERL12" s="2"/>
      <c r="ERW12" s="29"/>
      <c r="ERX12" s="2"/>
      <c r="ERY12" s="2"/>
      <c r="ESJ12" s="29"/>
      <c r="ESK12" s="2"/>
      <c r="ESL12" s="2"/>
      <c r="ESW12" s="29"/>
      <c r="ESX12" s="2"/>
      <c r="ESY12" s="2"/>
      <c r="ETJ12" s="29"/>
      <c r="ETK12" s="2"/>
      <c r="ETL12" s="2"/>
      <c r="ETW12" s="29"/>
      <c r="ETX12" s="2"/>
      <c r="ETY12" s="2"/>
      <c r="EUJ12" s="29"/>
      <c r="EUK12" s="2"/>
      <c r="EUL12" s="2"/>
      <c r="EUW12" s="29"/>
      <c r="EUX12" s="2"/>
      <c r="EUY12" s="2"/>
      <c r="EVJ12" s="29"/>
      <c r="EVK12" s="2"/>
      <c r="EVL12" s="2"/>
      <c r="EVW12" s="29"/>
      <c r="EVX12" s="2"/>
      <c r="EVY12" s="2"/>
      <c r="EWJ12" s="29"/>
      <c r="EWK12" s="2"/>
      <c r="EWL12" s="2"/>
      <c r="EWW12" s="29"/>
      <c r="EWX12" s="2"/>
      <c r="EWY12" s="2"/>
      <c r="EXJ12" s="29"/>
      <c r="EXK12" s="2"/>
      <c r="EXL12" s="2"/>
      <c r="EXW12" s="29"/>
      <c r="EXX12" s="2"/>
      <c r="EXY12" s="2"/>
      <c r="EYJ12" s="29"/>
      <c r="EYK12" s="2"/>
      <c r="EYL12" s="2"/>
      <c r="EYW12" s="29"/>
      <c r="EYX12" s="2"/>
      <c r="EYY12" s="2"/>
      <c r="EZJ12" s="29"/>
      <c r="EZK12" s="2"/>
      <c r="EZL12" s="2"/>
      <c r="EZW12" s="29"/>
      <c r="EZX12" s="2"/>
      <c r="EZY12" s="2"/>
      <c r="FAJ12" s="29"/>
      <c r="FAK12" s="2"/>
      <c r="FAL12" s="2"/>
      <c r="FAW12" s="29"/>
      <c r="FAX12" s="2"/>
      <c r="FAY12" s="2"/>
      <c r="FBJ12" s="29"/>
      <c r="FBK12" s="2"/>
      <c r="FBL12" s="2"/>
      <c r="FBW12" s="29"/>
      <c r="FBX12" s="2"/>
      <c r="FBY12" s="2"/>
      <c r="FCJ12" s="29"/>
      <c r="FCK12" s="2"/>
      <c r="FCL12" s="2"/>
      <c r="FCW12" s="29"/>
      <c r="FCX12" s="2"/>
      <c r="FCY12" s="2"/>
      <c r="FDJ12" s="29"/>
      <c r="FDK12" s="2"/>
      <c r="FDL12" s="2"/>
      <c r="FDW12" s="29"/>
      <c r="FDX12" s="2"/>
      <c r="FDY12" s="2"/>
      <c r="FEJ12" s="29"/>
      <c r="FEK12" s="2"/>
      <c r="FEL12" s="2"/>
      <c r="FEW12" s="29"/>
      <c r="FEX12" s="2"/>
      <c r="FEY12" s="2"/>
      <c r="FFJ12" s="29"/>
      <c r="FFK12" s="2"/>
      <c r="FFL12" s="2"/>
      <c r="FFW12" s="29"/>
      <c r="FFX12" s="2"/>
      <c r="FFY12" s="2"/>
      <c r="FGJ12" s="29"/>
      <c r="FGK12" s="2"/>
      <c r="FGL12" s="2"/>
      <c r="FGW12" s="29"/>
      <c r="FGX12" s="2"/>
      <c r="FGY12" s="2"/>
      <c r="FHJ12" s="29"/>
      <c r="FHK12" s="2"/>
      <c r="FHL12" s="2"/>
      <c r="FHW12" s="29"/>
      <c r="FHX12" s="2"/>
      <c r="FHY12" s="2"/>
      <c r="FIJ12" s="29"/>
      <c r="FIK12" s="2"/>
      <c r="FIL12" s="2"/>
      <c r="FIW12" s="29"/>
      <c r="FIX12" s="2"/>
      <c r="FIY12" s="2"/>
      <c r="FJJ12" s="29"/>
      <c r="FJK12" s="2"/>
      <c r="FJL12" s="2"/>
      <c r="FJW12" s="29"/>
      <c r="FJX12" s="2"/>
      <c r="FJY12" s="2"/>
      <c r="FKJ12" s="29"/>
      <c r="FKK12" s="2"/>
      <c r="FKL12" s="2"/>
      <c r="FKW12" s="29"/>
      <c r="FKX12" s="2"/>
      <c r="FKY12" s="2"/>
      <c r="FLJ12" s="29"/>
      <c r="FLK12" s="2"/>
      <c r="FLL12" s="2"/>
      <c r="FLW12" s="29"/>
      <c r="FLX12" s="2"/>
      <c r="FLY12" s="2"/>
      <c r="FMJ12" s="29"/>
      <c r="FMK12" s="2"/>
      <c r="FML12" s="2"/>
      <c r="FMW12" s="29"/>
      <c r="FMX12" s="2"/>
      <c r="FMY12" s="2"/>
      <c r="FNJ12" s="29"/>
      <c r="FNK12" s="2"/>
      <c r="FNL12" s="2"/>
      <c r="FNW12" s="29"/>
      <c r="FNX12" s="2"/>
      <c r="FNY12" s="2"/>
      <c r="FOJ12" s="29"/>
      <c r="FOK12" s="2"/>
      <c r="FOL12" s="2"/>
      <c r="FOW12" s="29"/>
      <c r="FOX12" s="2"/>
      <c r="FOY12" s="2"/>
      <c r="FPJ12" s="29"/>
      <c r="FPK12" s="2"/>
      <c r="FPL12" s="2"/>
      <c r="FPW12" s="29"/>
      <c r="FPX12" s="2"/>
      <c r="FPY12" s="2"/>
      <c r="FQJ12" s="29"/>
      <c r="FQK12" s="2"/>
      <c r="FQL12" s="2"/>
      <c r="FQW12" s="29"/>
      <c r="FQX12" s="2"/>
      <c r="FQY12" s="2"/>
      <c r="FRJ12" s="29"/>
      <c r="FRK12" s="2"/>
      <c r="FRL12" s="2"/>
      <c r="FRW12" s="29"/>
      <c r="FRX12" s="2"/>
      <c r="FRY12" s="2"/>
      <c r="FSJ12" s="29"/>
      <c r="FSK12" s="2"/>
      <c r="FSL12" s="2"/>
      <c r="FSW12" s="29"/>
      <c r="FSX12" s="2"/>
      <c r="FSY12" s="2"/>
      <c r="FTJ12" s="29"/>
      <c r="FTK12" s="2"/>
      <c r="FTL12" s="2"/>
      <c r="FTW12" s="29"/>
      <c r="FTX12" s="2"/>
      <c r="FTY12" s="2"/>
      <c r="FUJ12" s="29"/>
      <c r="FUK12" s="2"/>
      <c r="FUL12" s="2"/>
      <c r="FUW12" s="29"/>
      <c r="FUX12" s="2"/>
      <c r="FUY12" s="2"/>
      <c r="FVJ12" s="29"/>
      <c r="FVK12" s="2"/>
      <c r="FVL12" s="2"/>
      <c r="FVW12" s="29"/>
      <c r="FVX12" s="2"/>
      <c r="FVY12" s="2"/>
      <c r="FWJ12" s="29"/>
      <c r="FWK12" s="2"/>
      <c r="FWL12" s="2"/>
      <c r="FWW12" s="29"/>
      <c r="FWX12" s="2"/>
      <c r="FWY12" s="2"/>
      <c r="FXJ12" s="29"/>
      <c r="FXK12" s="2"/>
      <c r="FXL12" s="2"/>
      <c r="FXW12" s="29"/>
      <c r="FXX12" s="2"/>
      <c r="FXY12" s="2"/>
      <c r="FYJ12" s="29"/>
      <c r="FYK12" s="2"/>
      <c r="FYL12" s="2"/>
      <c r="FYW12" s="29"/>
      <c r="FYX12" s="2"/>
      <c r="FYY12" s="2"/>
      <c r="FZJ12" s="29"/>
      <c r="FZK12" s="2"/>
      <c r="FZL12" s="2"/>
      <c r="FZW12" s="29"/>
      <c r="FZX12" s="2"/>
      <c r="FZY12" s="2"/>
      <c r="GAJ12" s="29"/>
      <c r="GAK12" s="2"/>
      <c r="GAL12" s="2"/>
      <c r="GAW12" s="29"/>
      <c r="GAX12" s="2"/>
      <c r="GAY12" s="2"/>
      <c r="GBJ12" s="29"/>
      <c r="GBK12" s="2"/>
      <c r="GBL12" s="2"/>
      <c r="GBW12" s="29"/>
      <c r="GBX12" s="2"/>
      <c r="GBY12" s="2"/>
      <c r="GCJ12" s="29"/>
      <c r="GCK12" s="2"/>
      <c r="GCL12" s="2"/>
      <c r="GCW12" s="29"/>
      <c r="GCX12" s="2"/>
      <c r="GCY12" s="2"/>
      <c r="GDJ12" s="29"/>
      <c r="GDK12" s="2"/>
      <c r="GDL12" s="2"/>
      <c r="GDW12" s="29"/>
      <c r="GDX12" s="2"/>
      <c r="GDY12" s="2"/>
      <c r="GEJ12" s="29"/>
      <c r="GEK12" s="2"/>
      <c r="GEL12" s="2"/>
      <c r="GEW12" s="29"/>
      <c r="GEX12" s="2"/>
      <c r="GEY12" s="2"/>
      <c r="GFJ12" s="29"/>
      <c r="GFK12" s="2"/>
      <c r="GFL12" s="2"/>
      <c r="GFW12" s="29"/>
      <c r="GFX12" s="2"/>
      <c r="GFY12" s="2"/>
      <c r="GGJ12" s="29"/>
      <c r="GGK12" s="2"/>
      <c r="GGL12" s="2"/>
      <c r="GGW12" s="29"/>
      <c r="GGX12" s="2"/>
      <c r="GGY12" s="2"/>
      <c r="GHJ12" s="29"/>
      <c r="GHK12" s="2"/>
      <c r="GHL12" s="2"/>
      <c r="GHW12" s="29"/>
      <c r="GHX12" s="2"/>
      <c r="GHY12" s="2"/>
      <c r="GIJ12" s="29"/>
      <c r="GIK12" s="2"/>
      <c r="GIL12" s="2"/>
      <c r="GIW12" s="29"/>
      <c r="GIX12" s="2"/>
      <c r="GIY12" s="2"/>
      <c r="GJJ12" s="29"/>
      <c r="GJK12" s="2"/>
      <c r="GJL12" s="2"/>
      <c r="GJW12" s="29"/>
      <c r="GJX12" s="2"/>
      <c r="GJY12" s="2"/>
      <c r="GKJ12" s="29"/>
      <c r="GKK12" s="2"/>
      <c r="GKL12" s="2"/>
      <c r="GKW12" s="29"/>
      <c r="GKX12" s="2"/>
      <c r="GKY12" s="2"/>
      <c r="GLJ12" s="29"/>
      <c r="GLK12" s="2"/>
      <c r="GLL12" s="2"/>
      <c r="GLW12" s="29"/>
      <c r="GLX12" s="2"/>
      <c r="GLY12" s="2"/>
      <c r="GMJ12" s="29"/>
      <c r="GMK12" s="2"/>
      <c r="GML12" s="2"/>
      <c r="GMW12" s="29"/>
      <c r="GMX12" s="2"/>
      <c r="GMY12" s="2"/>
      <c r="GNJ12" s="29"/>
      <c r="GNK12" s="2"/>
      <c r="GNL12" s="2"/>
      <c r="GNW12" s="29"/>
      <c r="GNX12" s="2"/>
      <c r="GNY12" s="2"/>
      <c r="GOJ12" s="29"/>
      <c r="GOK12" s="2"/>
      <c r="GOL12" s="2"/>
      <c r="GOW12" s="29"/>
      <c r="GOX12" s="2"/>
      <c r="GOY12" s="2"/>
      <c r="GPJ12" s="29"/>
      <c r="GPK12" s="2"/>
      <c r="GPL12" s="2"/>
      <c r="GPW12" s="29"/>
      <c r="GPX12" s="2"/>
      <c r="GPY12" s="2"/>
      <c r="GQJ12" s="29"/>
      <c r="GQK12" s="2"/>
      <c r="GQL12" s="2"/>
      <c r="GQW12" s="29"/>
      <c r="GQX12" s="2"/>
      <c r="GQY12" s="2"/>
      <c r="GRJ12" s="29"/>
      <c r="GRK12" s="2"/>
      <c r="GRL12" s="2"/>
      <c r="GRW12" s="29"/>
      <c r="GRX12" s="2"/>
      <c r="GRY12" s="2"/>
      <c r="GSJ12" s="29"/>
      <c r="GSK12" s="2"/>
      <c r="GSL12" s="2"/>
      <c r="GSW12" s="29"/>
      <c r="GSX12" s="2"/>
      <c r="GSY12" s="2"/>
      <c r="GTJ12" s="29"/>
      <c r="GTK12" s="2"/>
      <c r="GTL12" s="2"/>
      <c r="GTW12" s="29"/>
      <c r="GTX12" s="2"/>
      <c r="GTY12" s="2"/>
      <c r="GUJ12" s="29"/>
      <c r="GUK12" s="2"/>
      <c r="GUL12" s="2"/>
      <c r="GUW12" s="29"/>
      <c r="GUX12" s="2"/>
      <c r="GUY12" s="2"/>
      <c r="GVJ12" s="29"/>
      <c r="GVK12" s="2"/>
      <c r="GVL12" s="2"/>
      <c r="GVW12" s="29"/>
      <c r="GVX12" s="2"/>
      <c r="GVY12" s="2"/>
      <c r="GWJ12" s="29"/>
      <c r="GWK12" s="2"/>
      <c r="GWL12" s="2"/>
      <c r="GWW12" s="29"/>
      <c r="GWX12" s="2"/>
      <c r="GWY12" s="2"/>
      <c r="GXJ12" s="29"/>
      <c r="GXK12" s="2"/>
      <c r="GXL12" s="2"/>
      <c r="GXW12" s="29"/>
      <c r="GXX12" s="2"/>
      <c r="GXY12" s="2"/>
      <c r="GYJ12" s="29"/>
      <c r="GYK12" s="2"/>
      <c r="GYL12" s="2"/>
      <c r="GYW12" s="29"/>
      <c r="GYX12" s="2"/>
      <c r="GYY12" s="2"/>
      <c r="GZJ12" s="29"/>
      <c r="GZK12" s="2"/>
      <c r="GZL12" s="2"/>
      <c r="GZW12" s="29"/>
      <c r="GZX12" s="2"/>
      <c r="GZY12" s="2"/>
      <c r="HAJ12" s="29"/>
      <c r="HAK12" s="2"/>
      <c r="HAL12" s="2"/>
      <c r="HAW12" s="29"/>
      <c r="HAX12" s="2"/>
      <c r="HAY12" s="2"/>
      <c r="HBJ12" s="29"/>
      <c r="HBK12" s="2"/>
      <c r="HBL12" s="2"/>
      <c r="HBW12" s="29"/>
      <c r="HBX12" s="2"/>
      <c r="HBY12" s="2"/>
      <c r="HCJ12" s="29"/>
      <c r="HCK12" s="2"/>
      <c r="HCL12" s="2"/>
      <c r="HCW12" s="29"/>
      <c r="HCX12" s="2"/>
      <c r="HCY12" s="2"/>
      <c r="HDJ12" s="29"/>
      <c r="HDK12" s="2"/>
      <c r="HDL12" s="2"/>
      <c r="HDW12" s="29"/>
      <c r="HDX12" s="2"/>
      <c r="HDY12" s="2"/>
      <c r="HEJ12" s="29"/>
      <c r="HEK12" s="2"/>
      <c r="HEL12" s="2"/>
      <c r="HEW12" s="29"/>
      <c r="HEX12" s="2"/>
      <c r="HEY12" s="2"/>
      <c r="HFJ12" s="29"/>
      <c r="HFK12" s="2"/>
      <c r="HFL12" s="2"/>
      <c r="HFW12" s="29"/>
      <c r="HFX12" s="2"/>
      <c r="HFY12" s="2"/>
      <c r="HGJ12" s="29"/>
      <c r="HGK12" s="2"/>
      <c r="HGL12" s="2"/>
      <c r="HGW12" s="29"/>
      <c r="HGX12" s="2"/>
      <c r="HGY12" s="2"/>
      <c r="HHJ12" s="29"/>
      <c r="HHK12" s="2"/>
      <c r="HHL12" s="2"/>
      <c r="HHW12" s="29"/>
      <c r="HHX12" s="2"/>
      <c r="HHY12" s="2"/>
      <c r="HIJ12" s="29"/>
      <c r="HIK12" s="2"/>
      <c r="HIL12" s="2"/>
      <c r="HIW12" s="29"/>
      <c r="HIX12" s="2"/>
      <c r="HIY12" s="2"/>
      <c r="HJJ12" s="29"/>
      <c r="HJK12" s="2"/>
      <c r="HJL12" s="2"/>
      <c r="HJW12" s="29"/>
      <c r="HJX12" s="2"/>
      <c r="HJY12" s="2"/>
      <c r="HKJ12" s="29"/>
      <c r="HKK12" s="2"/>
      <c r="HKL12" s="2"/>
      <c r="HKW12" s="29"/>
      <c r="HKX12" s="2"/>
      <c r="HKY12" s="2"/>
      <c r="HLJ12" s="29"/>
      <c r="HLK12" s="2"/>
      <c r="HLL12" s="2"/>
      <c r="HLW12" s="29"/>
      <c r="HLX12" s="2"/>
      <c r="HLY12" s="2"/>
      <c r="HMJ12" s="29"/>
      <c r="HMK12" s="2"/>
      <c r="HML12" s="2"/>
      <c r="HMW12" s="29"/>
      <c r="HMX12" s="2"/>
      <c r="HMY12" s="2"/>
      <c r="HNJ12" s="29"/>
      <c r="HNK12" s="2"/>
      <c r="HNL12" s="2"/>
      <c r="HNW12" s="29"/>
      <c r="HNX12" s="2"/>
      <c r="HNY12" s="2"/>
      <c r="HOJ12" s="29"/>
      <c r="HOK12" s="2"/>
      <c r="HOL12" s="2"/>
      <c r="HOW12" s="29"/>
      <c r="HOX12" s="2"/>
      <c r="HOY12" s="2"/>
      <c r="HPJ12" s="29"/>
      <c r="HPK12" s="2"/>
      <c r="HPL12" s="2"/>
      <c r="HPW12" s="29"/>
      <c r="HPX12" s="2"/>
      <c r="HPY12" s="2"/>
      <c r="HQJ12" s="29"/>
      <c r="HQK12" s="2"/>
      <c r="HQL12" s="2"/>
      <c r="HQW12" s="29"/>
      <c r="HQX12" s="2"/>
      <c r="HQY12" s="2"/>
      <c r="HRJ12" s="29"/>
      <c r="HRK12" s="2"/>
      <c r="HRL12" s="2"/>
      <c r="HRW12" s="29"/>
      <c r="HRX12" s="2"/>
      <c r="HRY12" s="2"/>
      <c r="HSJ12" s="29"/>
      <c r="HSK12" s="2"/>
      <c r="HSL12" s="2"/>
      <c r="HSW12" s="29"/>
      <c r="HSX12" s="2"/>
      <c r="HSY12" s="2"/>
      <c r="HTJ12" s="29"/>
      <c r="HTK12" s="2"/>
      <c r="HTL12" s="2"/>
      <c r="HTW12" s="29"/>
      <c r="HTX12" s="2"/>
      <c r="HTY12" s="2"/>
      <c r="HUJ12" s="29"/>
      <c r="HUK12" s="2"/>
      <c r="HUL12" s="2"/>
      <c r="HUW12" s="29"/>
      <c r="HUX12" s="2"/>
      <c r="HUY12" s="2"/>
      <c r="HVJ12" s="29"/>
      <c r="HVK12" s="2"/>
      <c r="HVL12" s="2"/>
      <c r="HVW12" s="29"/>
      <c r="HVX12" s="2"/>
      <c r="HVY12" s="2"/>
      <c r="HWJ12" s="29"/>
      <c r="HWK12" s="2"/>
      <c r="HWL12" s="2"/>
      <c r="HWW12" s="29"/>
      <c r="HWX12" s="2"/>
      <c r="HWY12" s="2"/>
      <c r="HXJ12" s="29"/>
      <c r="HXK12" s="2"/>
      <c r="HXL12" s="2"/>
      <c r="HXW12" s="29"/>
      <c r="HXX12" s="2"/>
      <c r="HXY12" s="2"/>
      <c r="HYJ12" s="29"/>
      <c r="HYK12" s="2"/>
      <c r="HYL12" s="2"/>
      <c r="HYW12" s="29"/>
      <c r="HYX12" s="2"/>
      <c r="HYY12" s="2"/>
      <c r="HZJ12" s="29"/>
      <c r="HZK12" s="2"/>
      <c r="HZL12" s="2"/>
      <c r="HZW12" s="29"/>
      <c r="HZX12" s="2"/>
      <c r="HZY12" s="2"/>
      <c r="IAJ12" s="29"/>
      <c r="IAK12" s="2"/>
      <c r="IAL12" s="2"/>
      <c r="IAW12" s="29"/>
      <c r="IAX12" s="2"/>
      <c r="IAY12" s="2"/>
      <c r="IBJ12" s="29"/>
      <c r="IBK12" s="2"/>
      <c r="IBL12" s="2"/>
      <c r="IBW12" s="29"/>
      <c r="IBX12" s="2"/>
      <c r="IBY12" s="2"/>
      <c r="ICJ12" s="29"/>
      <c r="ICK12" s="2"/>
      <c r="ICL12" s="2"/>
      <c r="ICW12" s="29"/>
      <c r="ICX12" s="2"/>
      <c r="ICY12" s="2"/>
      <c r="IDJ12" s="29"/>
      <c r="IDK12" s="2"/>
      <c r="IDL12" s="2"/>
      <c r="IDW12" s="29"/>
      <c r="IDX12" s="2"/>
      <c r="IDY12" s="2"/>
      <c r="IEJ12" s="29"/>
      <c r="IEK12" s="2"/>
      <c r="IEL12" s="2"/>
      <c r="IEW12" s="29"/>
      <c r="IEX12" s="2"/>
      <c r="IEY12" s="2"/>
      <c r="IFJ12" s="29"/>
      <c r="IFK12" s="2"/>
      <c r="IFL12" s="2"/>
      <c r="IFW12" s="29"/>
      <c r="IFX12" s="2"/>
      <c r="IFY12" s="2"/>
      <c r="IGJ12" s="29"/>
      <c r="IGK12" s="2"/>
      <c r="IGL12" s="2"/>
      <c r="IGW12" s="29"/>
      <c r="IGX12" s="2"/>
      <c r="IGY12" s="2"/>
      <c r="IHJ12" s="29"/>
      <c r="IHK12" s="2"/>
      <c r="IHL12" s="2"/>
      <c r="IHW12" s="29"/>
      <c r="IHX12" s="2"/>
      <c r="IHY12" s="2"/>
      <c r="IIJ12" s="29"/>
      <c r="IIK12" s="2"/>
      <c r="IIL12" s="2"/>
      <c r="IIW12" s="29"/>
      <c r="IIX12" s="2"/>
      <c r="IIY12" s="2"/>
      <c r="IJJ12" s="29"/>
      <c r="IJK12" s="2"/>
      <c r="IJL12" s="2"/>
      <c r="IJW12" s="29"/>
      <c r="IJX12" s="2"/>
      <c r="IJY12" s="2"/>
      <c r="IKJ12" s="29"/>
      <c r="IKK12" s="2"/>
      <c r="IKL12" s="2"/>
      <c r="IKW12" s="29"/>
      <c r="IKX12" s="2"/>
      <c r="IKY12" s="2"/>
      <c r="ILJ12" s="29"/>
      <c r="ILK12" s="2"/>
      <c r="ILL12" s="2"/>
      <c r="ILW12" s="29"/>
      <c r="ILX12" s="2"/>
      <c r="ILY12" s="2"/>
      <c r="IMJ12" s="29"/>
      <c r="IMK12" s="2"/>
      <c r="IML12" s="2"/>
      <c r="IMW12" s="29"/>
      <c r="IMX12" s="2"/>
      <c r="IMY12" s="2"/>
      <c r="INJ12" s="29"/>
      <c r="INK12" s="2"/>
      <c r="INL12" s="2"/>
      <c r="INW12" s="29"/>
      <c r="INX12" s="2"/>
      <c r="INY12" s="2"/>
      <c r="IOJ12" s="29"/>
      <c r="IOK12" s="2"/>
      <c r="IOL12" s="2"/>
      <c r="IOW12" s="29"/>
      <c r="IOX12" s="2"/>
      <c r="IOY12" s="2"/>
      <c r="IPJ12" s="29"/>
      <c r="IPK12" s="2"/>
      <c r="IPL12" s="2"/>
      <c r="IPW12" s="29"/>
      <c r="IPX12" s="2"/>
      <c r="IPY12" s="2"/>
      <c r="IQJ12" s="29"/>
      <c r="IQK12" s="2"/>
      <c r="IQL12" s="2"/>
      <c r="IQW12" s="29"/>
      <c r="IQX12" s="2"/>
      <c r="IQY12" s="2"/>
      <c r="IRJ12" s="29"/>
      <c r="IRK12" s="2"/>
      <c r="IRL12" s="2"/>
      <c r="IRW12" s="29"/>
      <c r="IRX12" s="2"/>
      <c r="IRY12" s="2"/>
      <c r="ISJ12" s="29"/>
      <c r="ISK12" s="2"/>
      <c r="ISL12" s="2"/>
      <c r="ISW12" s="29"/>
      <c r="ISX12" s="2"/>
      <c r="ISY12" s="2"/>
      <c r="ITJ12" s="29"/>
      <c r="ITK12" s="2"/>
      <c r="ITL12" s="2"/>
      <c r="ITW12" s="29"/>
      <c r="ITX12" s="2"/>
      <c r="ITY12" s="2"/>
      <c r="IUJ12" s="29"/>
      <c r="IUK12" s="2"/>
      <c r="IUL12" s="2"/>
      <c r="IUW12" s="29"/>
      <c r="IUX12" s="2"/>
      <c r="IUY12" s="2"/>
      <c r="IVJ12" s="29"/>
      <c r="IVK12" s="2"/>
      <c r="IVL12" s="2"/>
      <c r="IVW12" s="29"/>
      <c r="IVX12" s="2"/>
      <c r="IVY12" s="2"/>
      <c r="IWJ12" s="29"/>
      <c r="IWK12" s="2"/>
      <c r="IWL12" s="2"/>
      <c r="IWW12" s="29"/>
      <c r="IWX12" s="2"/>
      <c r="IWY12" s="2"/>
      <c r="IXJ12" s="29"/>
      <c r="IXK12" s="2"/>
      <c r="IXL12" s="2"/>
      <c r="IXW12" s="29"/>
      <c r="IXX12" s="2"/>
      <c r="IXY12" s="2"/>
      <c r="IYJ12" s="29"/>
      <c r="IYK12" s="2"/>
      <c r="IYL12" s="2"/>
      <c r="IYW12" s="29"/>
      <c r="IYX12" s="2"/>
      <c r="IYY12" s="2"/>
      <c r="IZJ12" s="29"/>
      <c r="IZK12" s="2"/>
      <c r="IZL12" s="2"/>
      <c r="IZW12" s="29"/>
      <c r="IZX12" s="2"/>
      <c r="IZY12" s="2"/>
      <c r="JAJ12" s="29"/>
      <c r="JAK12" s="2"/>
      <c r="JAL12" s="2"/>
      <c r="JAW12" s="29"/>
      <c r="JAX12" s="2"/>
      <c r="JAY12" s="2"/>
      <c r="JBJ12" s="29"/>
      <c r="JBK12" s="2"/>
      <c r="JBL12" s="2"/>
      <c r="JBW12" s="29"/>
      <c r="JBX12" s="2"/>
      <c r="JBY12" s="2"/>
      <c r="JCJ12" s="29"/>
      <c r="JCK12" s="2"/>
      <c r="JCL12" s="2"/>
      <c r="JCW12" s="29"/>
      <c r="JCX12" s="2"/>
      <c r="JCY12" s="2"/>
      <c r="JDJ12" s="29"/>
      <c r="JDK12" s="2"/>
      <c r="JDL12" s="2"/>
      <c r="JDW12" s="29"/>
      <c r="JDX12" s="2"/>
      <c r="JDY12" s="2"/>
      <c r="JEJ12" s="29"/>
      <c r="JEK12" s="2"/>
      <c r="JEL12" s="2"/>
      <c r="JEW12" s="29"/>
      <c r="JEX12" s="2"/>
      <c r="JEY12" s="2"/>
      <c r="JFJ12" s="29"/>
      <c r="JFK12" s="2"/>
      <c r="JFL12" s="2"/>
      <c r="JFW12" s="29"/>
      <c r="JFX12" s="2"/>
      <c r="JFY12" s="2"/>
      <c r="JGJ12" s="29"/>
      <c r="JGK12" s="2"/>
      <c r="JGL12" s="2"/>
      <c r="JGW12" s="29"/>
      <c r="JGX12" s="2"/>
      <c r="JGY12" s="2"/>
      <c r="JHJ12" s="29"/>
      <c r="JHK12" s="2"/>
      <c r="JHL12" s="2"/>
      <c r="JHW12" s="29"/>
      <c r="JHX12" s="2"/>
      <c r="JHY12" s="2"/>
      <c r="JIJ12" s="29"/>
      <c r="JIK12" s="2"/>
      <c r="JIL12" s="2"/>
      <c r="JIW12" s="29"/>
      <c r="JIX12" s="2"/>
      <c r="JIY12" s="2"/>
      <c r="JJJ12" s="29"/>
      <c r="JJK12" s="2"/>
      <c r="JJL12" s="2"/>
      <c r="JJW12" s="29"/>
      <c r="JJX12" s="2"/>
      <c r="JJY12" s="2"/>
      <c r="JKJ12" s="29"/>
      <c r="JKK12" s="2"/>
      <c r="JKL12" s="2"/>
      <c r="JKW12" s="29"/>
      <c r="JKX12" s="2"/>
      <c r="JKY12" s="2"/>
      <c r="JLJ12" s="29"/>
      <c r="JLK12" s="2"/>
      <c r="JLL12" s="2"/>
      <c r="JLW12" s="29"/>
      <c r="JLX12" s="2"/>
      <c r="JLY12" s="2"/>
      <c r="JMJ12" s="29"/>
      <c r="JMK12" s="2"/>
      <c r="JML12" s="2"/>
      <c r="JMW12" s="29"/>
      <c r="JMX12" s="2"/>
      <c r="JMY12" s="2"/>
      <c r="JNJ12" s="29"/>
      <c r="JNK12" s="2"/>
      <c r="JNL12" s="2"/>
      <c r="JNW12" s="29"/>
      <c r="JNX12" s="2"/>
      <c r="JNY12" s="2"/>
      <c r="JOJ12" s="29"/>
      <c r="JOK12" s="2"/>
      <c r="JOL12" s="2"/>
      <c r="JOW12" s="29"/>
      <c r="JOX12" s="2"/>
      <c r="JOY12" s="2"/>
      <c r="JPJ12" s="29"/>
      <c r="JPK12" s="2"/>
      <c r="JPL12" s="2"/>
      <c r="JPW12" s="29"/>
      <c r="JPX12" s="2"/>
      <c r="JPY12" s="2"/>
      <c r="JQJ12" s="29"/>
      <c r="JQK12" s="2"/>
      <c r="JQL12" s="2"/>
      <c r="JQW12" s="29"/>
      <c r="JQX12" s="2"/>
      <c r="JQY12" s="2"/>
      <c r="JRJ12" s="29"/>
      <c r="JRK12" s="2"/>
      <c r="JRL12" s="2"/>
      <c r="JRW12" s="29"/>
      <c r="JRX12" s="2"/>
      <c r="JRY12" s="2"/>
      <c r="JSJ12" s="29"/>
      <c r="JSK12" s="2"/>
      <c r="JSL12" s="2"/>
      <c r="JSW12" s="29"/>
      <c r="JSX12" s="2"/>
      <c r="JSY12" s="2"/>
      <c r="JTJ12" s="29"/>
      <c r="JTK12" s="2"/>
      <c r="JTL12" s="2"/>
      <c r="JTW12" s="29"/>
      <c r="JTX12" s="2"/>
      <c r="JTY12" s="2"/>
      <c r="JUJ12" s="29"/>
      <c r="JUK12" s="2"/>
      <c r="JUL12" s="2"/>
      <c r="JUW12" s="29"/>
      <c r="JUX12" s="2"/>
      <c r="JUY12" s="2"/>
      <c r="JVJ12" s="29"/>
      <c r="JVK12" s="2"/>
      <c r="JVL12" s="2"/>
      <c r="JVW12" s="29"/>
      <c r="JVX12" s="2"/>
      <c r="JVY12" s="2"/>
      <c r="JWJ12" s="29"/>
      <c r="JWK12" s="2"/>
      <c r="JWL12" s="2"/>
      <c r="JWW12" s="29"/>
      <c r="JWX12" s="2"/>
      <c r="JWY12" s="2"/>
      <c r="JXJ12" s="29"/>
      <c r="JXK12" s="2"/>
      <c r="JXL12" s="2"/>
      <c r="JXW12" s="29"/>
      <c r="JXX12" s="2"/>
      <c r="JXY12" s="2"/>
      <c r="JYJ12" s="29"/>
      <c r="JYK12" s="2"/>
      <c r="JYL12" s="2"/>
      <c r="JYW12" s="29"/>
      <c r="JYX12" s="2"/>
      <c r="JYY12" s="2"/>
      <c r="JZJ12" s="29"/>
      <c r="JZK12" s="2"/>
      <c r="JZL12" s="2"/>
      <c r="JZW12" s="29"/>
      <c r="JZX12" s="2"/>
      <c r="JZY12" s="2"/>
      <c r="KAJ12" s="29"/>
      <c r="KAK12" s="2"/>
      <c r="KAL12" s="2"/>
      <c r="KAW12" s="29"/>
      <c r="KAX12" s="2"/>
      <c r="KAY12" s="2"/>
      <c r="KBJ12" s="29"/>
      <c r="KBK12" s="2"/>
      <c r="KBL12" s="2"/>
      <c r="KBW12" s="29"/>
      <c r="KBX12" s="2"/>
      <c r="KBY12" s="2"/>
      <c r="KCJ12" s="29"/>
      <c r="KCK12" s="2"/>
      <c r="KCL12" s="2"/>
      <c r="KCW12" s="29"/>
      <c r="KCX12" s="2"/>
      <c r="KCY12" s="2"/>
      <c r="KDJ12" s="29"/>
      <c r="KDK12" s="2"/>
      <c r="KDL12" s="2"/>
      <c r="KDW12" s="29"/>
      <c r="KDX12" s="2"/>
      <c r="KDY12" s="2"/>
      <c r="KEJ12" s="29"/>
      <c r="KEK12" s="2"/>
      <c r="KEL12" s="2"/>
      <c r="KEW12" s="29"/>
      <c r="KEX12" s="2"/>
      <c r="KEY12" s="2"/>
      <c r="KFJ12" s="29"/>
      <c r="KFK12" s="2"/>
      <c r="KFL12" s="2"/>
      <c r="KFW12" s="29"/>
      <c r="KFX12" s="2"/>
      <c r="KFY12" s="2"/>
      <c r="KGJ12" s="29"/>
      <c r="KGK12" s="2"/>
      <c r="KGL12" s="2"/>
      <c r="KGW12" s="29"/>
      <c r="KGX12" s="2"/>
      <c r="KGY12" s="2"/>
      <c r="KHJ12" s="29"/>
      <c r="KHK12" s="2"/>
      <c r="KHL12" s="2"/>
      <c r="KHW12" s="29"/>
      <c r="KHX12" s="2"/>
      <c r="KHY12" s="2"/>
      <c r="KIJ12" s="29"/>
      <c r="KIK12" s="2"/>
      <c r="KIL12" s="2"/>
      <c r="KIW12" s="29"/>
      <c r="KIX12" s="2"/>
      <c r="KIY12" s="2"/>
      <c r="KJJ12" s="29"/>
      <c r="KJK12" s="2"/>
      <c r="KJL12" s="2"/>
      <c r="KJW12" s="29"/>
      <c r="KJX12" s="2"/>
      <c r="KJY12" s="2"/>
      <c r="KKJ12" s="29"/>
      <c r="KKK12" s="2"/>
      <c r="KKL12" s="2"/>
      <c r="KKW12" s="29"/>
      <c r="KKX12" s="2"/>
      <c r="KKY12" s="2"/>
      <c r="KLJ12" s="29"/>
      <c r="KLK12" s="2"/>
      <c r="KLL12" s="2"/>
      <c r="KLW12" s="29"/>
      <c r="KLX12" s="2"/>
      <c r="KLY12" s="2"/>
      <c r="KMJ12" s="29"/>
      <c r="KMK12" s="2"/>
      <c r="KML12" s="2"/>
      <c r="KMW12" s="29"/>
      <c r="KMX12" s="2"/>
      <c r="KMY12" s="2"/>
      <c r="KNJ12" s="29"/>
      <c r="KNK12" s="2"/>
      <c r="KNL12" s="2"/>
      <c r="KNW12" s="29"/>
      <c r="KNX12" s="2"/>
      <c r="KNY12" s="2"/>
      <c r="KOJ12" s="29"/>
      <c r="KOK12" s="2"/>
      <c r="KOL12" s="2"/>
      <c r="KOW12" s="29"/>
      <c r="KOX12" s="2"/>
      <c r="KOY12" s="2"/>
      <c r="KPJ12" s="29"/>
      <c r="KPK12" s="2"/>
      <c r="KPL12" s="2"/>
      <c r="KPW12" s="29"/>
      <c r="KPX12" s="2"/>
      <c r="KPY12" s="2"/>
      <c r="KQJ12" s="29"/>
      <c r="KQK12" s="2"/>
      <c r="KQL12" s="2"/>
      <c r="KQW12" s="29"/>
      <c r="KQX12" s="2"/>
      <c r="KQY12" s="2"/>
      <c r="KRJ12" s="29"/>
      <c r="KRK12" s="2"/>
      <c r="KRL12" s="2"/>
      <c r="KRW12" s="29"/>
      <c r="KRX12" s="2"/>
      <c r="KRY12" s="2"/>
      <c r="KSJ12" s="29"/>
      <c r="KSK12" s="2"/>
      <c r="KSL12" s="2"/>
      <c r="KSW12" s="29"/>
      <c r="KSX12" s="2"/>
      <c r="KSY12" s="2"/>
      <c r="KTJ12" s="29"/>
      <c r="KTK12" s="2"/>
      <c r="KTL12" s="2"/>
      <c r="KTW12" s="29"/>
      <c r="KTX12" s="2"/>
      <c r="KTY12" s="2"/>
      <c r="KUJ12" s="29"/>
      <c r="KUK12" s="2"/>
      <c r="KUL12" s="2"/>
      <c r="KUW12" s="29"/>
      <c r="KUX12" s="2"/>
      <c r="KUY12" s="2"/>
      <c r="KVJ12" s="29"/>
      <c r="KVK12" s="2"/>
      <c r="KVL12" s="2"/>
      <c r="KVW12" s="29"/>
      <c r="KVX12" s="2"/>
      <c r="KVY12" s="2"/>
      <c r="KWJ12" s="29"/>
      <c r="KWK12" s="2"/>
      <c r="KWL12" s="2"/>
      <c r="KWW12" s="29"/>
      <c r="KWX12" s="2"/>
      <c r="KWY12" s="2"/>
      <c r="KXJ12" s="29"/>
      <c r="KXK12" s="2"/>
      <c r="KXL12" s="2"/>
      <c r="KXW12" s="29"/>
      <c r="KXX12" s="2"/>
      <c r="KXY12" s="2"/>
      <c r="KYJ12" s="29"/>
      <c r="KYK12" s="2"/>
      <c r="KYL12" s="2"/>
      <c r="KYW12" s="29"/>
      <c r="KYX12" s="2"/>
      <c r="KYY12" s="2"/>
      <c r="KZJ12" s="29"/>
      <c r="KZK12" s="2"/>
      <c r="KZL12" s="2"/>
      <c r="KZW12" s="29"/>
      <c r="KZX12" s="2"/>
      <c r="KZY12" s="2"/>
      <c r="LAJ12" s="29"/>
      <c r="LAK12" s="2"/>
      <c r="LAL12" s="2"/>
      <c r="LAW12" s="29"/>
      <c r="LAX12" s="2"/>
      <c r="LAY12" s="2"/>
      <c r="LBJ12" s="29"/>
      <c r="LBK12" s="2"/>
      <c r="LBL12" s="2"/>
      <c r="LBW12" s="29"/>
      <c r="LBX12" s="2"/>
      <c r="LBY12" s="2"/>
      <c r="LCJ12" s="29"/>
      <c r="LCK12" s="2"/>
      <c r="LCL12" s="2"/>
      <c r="LCW12" s="29"/>
      <c r="LCX12" s="2"/>
      <c r="LCY12" s="2"/>
      <c r="LDJ12" s="29"/>
      <c r="LDK12" s="2"/>
      <c r="LDL12" s="2"/>
      <c r="LDW12" s="29"/>
      <c r="LDX12" s="2"/>
      <c r="LDY12" s="2"/>
      <c r="LEJ12" s="29"/>
      <c r="LEK12" s="2"/>
      <c r="LEL12" s="2"/>
      <c r="LEW12" s="29"/>
      <c r="LEX12" s="2"/>
      <c r="LEY12" s="2"/>
      <c r="LFJ12" s="29"/>
      <c r="LFK12" s="2"/>
      <c r="LFL12" s="2"/>
      <c r="LFW12" s="29"/>
      <c r="LFX12" s="2"/>
      <c r="LFY12" s="2"/>
      <c r="LGJ12" s="29"/>
      <c r="LGK12" s="2"/>
      <c r="LGL12" s="2"/>
      <c r="LGW12" s="29"/>
      <c r="LGX12" s="2"/>
      <c r="LGY12" s="2"/>
      <c r="LHJ12" s="29"/>
      <c r="LHK12" s="2"/>
      <c r="LHL12" s="2"/>
      <c r="LHW12" s="29"/>
      <c r="LHX12" s="2"/>
      <c r="LHY12" s="2"/>
      <c r="LIJ12" s="29"/>
      <c r="LIK12" s="2"/>
      <c r="LIL12" s="2"/>
      <c r="LIW12" s="29"/>
      <c r="LIX12" s="2"/>
      <c r="LIY12" s="2"/>
      <c r="LJJ12" s="29"/>
      <c r="LJK12" s="2"/>
      <c r="LJL12" s="2"/>
      <c r="LJW12" s="29"/>
      <c r="LJX12" s="2"/>
      <c r="LJY12" s="2"/>
      <c r="LKJ12" s="29"/>
      <c r="LKK12" s="2"/>
      <c r="LKL12" s="2"/>
      <c r="LKW12" s="29"/>
      <c r="LKX12" s="2"/>
      <c r="LKY12" s="2"/>
      <c r="LLJ12" s="29"/>
      <c r="LLK12" s="2"/>
      <c r="LLL12" s="2"/>
      <c r="LLW12" s="29"/>
      <c r="LLX12" s="2"/>
      <c r="LLY12" s="2"/>
      <c r="LMJ12" s="29"/>
      <c r="LMK12" s="2"/>
      <c r="LML12" s="2"/>
      <c r="LMW12" s="29"/>
      <c r="LMX12" s="2"/>
      <c r="LMY12" s="2"/>
      <c r="LNJ12" s="29"/>
      <c r="LNK12" s="2"/>
      <c r="LNL12" s="2"/>
      <c r="LNW12" s="29"/>
      <c r="LNX12" s="2"/>
      <c r="LNY12" s="2"/>
      <c r="LOJ12" s="29"/>
      <c r="LOK12" s="2"/>
      <c r="LOL12" s="2"/>
      <c r="LOW12" s="29"/>
      <c r="LOX12" s="2"/>
      <c r="LOY12" s="2"/>
      <c r="LPJ12" s="29"/>
      <c r="LPK12" s="2"/>
      <c r="LPL12" s="2"/>
      <c r="LPW12" s="29"/>
      <c r="LPX12" s="2"/>
      <c r="LPY12" s="2"/>
      <c r="LQJ12" s="29"/>
      <c r="LQK12" s="2"/>
      <c r="LQL12" s="2"/>
      <c r="LQW12" s="29"/>
      <c r="LQX12" s="2"/>
      <c r="LQY12" s="2"/>
      <c r="LRJ12" s="29"/>
      <c r="LRK12" s="2"/>
      <c r="LRL12" s="2"/>
      <c r="LRW12" s="29"/>
      <c r="LRX12" s="2"/>
      <c r="LRY12" s="2"/>
      <c r="LSJ12" s="29"/>
      <c r="LSK12" s="2"/>
      <c r="LSL12" s="2"/>
      <c r="LSW12" s="29"/>
      <c r="LSX12" s="2"/>
      <c r="LSY12" s="2"/>
      <c r="LTJ12" s="29"/>
      <c r="LTK12" s="2"/>
      <c r="LTL12" s="2"/>
      <c r="LTW12" s="29"/>
      <c r="LTX12" s="2"/>
      <c r="LTY12" s="2"/>
      <c r="LUJ12" s="29"/>
      <c r="LUK12" s="2"/>
      <c r="LUL12" s="2"/>
      <c r="LUW12" s="29"/>
      <c r="LUX12" s="2"/>
      <c r="LUY12" s="2"/>
      <c r="LVJ12" s="29"/>
      <c r="LVK12" s="2"/>
      <c r="LVL12" s="2"/>
      <c r="LVW12" s="29"/>
      <c r="LVX12" s="2"/>
      <c r="LVY12" s="2"/>
      <c r="LWJ12" s="29"/>
      <c r="LWK12" s="2"/>
      <c r="LWL12" s="2"/>
      <c r="LWW12" s="29"/>
      <c r="LWX12" s="2"/>
      <c r="LWY12" s="2"/>
      <c r="LXJ12" s="29"/>
      <c r="LXK12" s="2"/>
      <c r="LXL12" s="2"/>
      <c r="LXW12" s="29"/>
      <c r="LXX12" s="2"/>
      <c r="LXY12" s="2"/>
      <c r="LYJ12" s="29"/>
      <c r="LYK12" s="2"/>
      <c r="LYL12" s="2"/>
      <c r="LYW12" s="29"/>
      <c r="LYX12" s="2"/>
      <c r="LYY12" s="2"/>
      <c r="LZJ12" s="29"/>
      <c r="LZK12" s="2"/>
      <c r="LZL12" s="2"/>
      <c r="LZW12" s="29"/>
      <c r="LZX12" s="2"/>
      <c r="LZY12" s="2"/>
      <c r="MAJ12" s="29"/>
      <c r="MAK12" s="2"/>
      <c r="MAL12" s="2"/>
      <c r="MAW12" s="29"/>
      <c r="MAX12" s="2"/>
      <c r="MAY12" s="2"/>
      <c r="MBJ12" s="29"/>
      <c r="MBK12" s="2"/>
      <c r="MBL12" s="2"/>
      <c r="MBW12" s="29"/>
      <c r="MBX12" s="2"/>
      <c r="MBY12" s="2"/>
      <c r="MCJ12" s="29"/>
      <c r="MCK12" s="2"/>
      <c r="MCL12" s="2"/>
      <c r="MCW12" s="29"/>
      <c r="MCX12" s="2"/>
      <c r="MCY12" s="2"/>
      <c r="MDJ12" s="29"/>
      <c r="MDK12" s="2"/>
      <c r="MDL12" s="2"/>
      <c r="MDW12" s="29"/>
      <c r="MDX12" s="2"/>
      <c r="MDY12" s="2"/>
      <c r="MEJ12" s="29"/>
      <c r="MEK12" s="2"/>
      <c r="MEL12" s="2"/>
      <c r="MEW12" s="29"/>
      <c r="MEX12" s="2"/>
      <c r="MEY12" s="2"/>
      <c r="MFJ12" s="29"/>
      <c r="MFK12" s="2"/>
      <c r="MFL12" s="2"/>
      <c r="MFW12" s="29"/>
      <c r="MFX12" s="2"/>
      <c r="MFY12" s="2"/>
      <c r="MGJ12" s="29"/>
      <c r="MGK12" s="2"/>
      <c r="MGL12" s="2"/>
      <c r="MGW12" s="29"/>
      <c r="MGX12" s="2"/>
      <c r="MGY12" s="2"/>
      <c r="MHJ12" s="29"/>
      <c r="MHK12" s="2"/>
      <c r="MHL12" s="2"/>
      <c r="MHW12" s="29"/>
      <c r="MHX12" s="2"/>
      <c r="MHY12" s="2"/>
      <c r="MIJ12" s="29"/>
      <c r="MIK12" s="2"/>
      <c r="MIL12" s="2"/>
      <c r="MIW12" s="29"/>
      <c r="MIX12" s="2"/>
      <c r="MIY12" s="2"/>
      <c r="MJJ12" s="29"/>
      <c r="MJK12" s="2"/>
      <c r="MJL12" s="2"/>
      <c r="MJW12" s="29"/>
      <c r="MJX12" s="2"/>
      <c r="MJY12" s="2"/>
      <c r="MKJ12" s="29"/>
      <c r="MKK12" s="2"/>
      <c r="MKL12" s="2"/>
      <c r="MKW12" s="29"/>
      <c r="MKX12" s="2"/>
      <c r="MKY12" s="2"/>
      <c r="MLJ12" s="29"/>
      <c r="MLK12" s="2"/>
      <c r="MLL12" s="2"/>
      <c r="MLW12" s="29"/>
      <c r="MLX12" s="2"/>
      <c r="MLY12" s="2"/>
      <c r="MMJ12" s="29"/>
      <c r="MMK12" s="2"/>
      <c r="MML12" s="2"/>
      <c r="MMW12" s="29"/>
      <c r="MMX12" s="2"/>
      <c r="MMY12" s="2"/>
      <c r="MNJ12" s="29"/>
      <c r="MNK12" s="2"/>
      <c r="MNL12" s="2"/>
      <c r="MNW12" s="29"/>
      <c r="MNX12" s="2"/>
      <c r="MNY12" s="2"/>
      <c r="MOJ12" s="29"/>
      <c r="MOK12" s="2"/>
      <c r="MOL12" s="2"/>
      <c r="MOW12" s="29"/>
      <c r="MOX12" s="2"/>
      <c r="MOY12" s="2"/>
      <c r="MPJ12" s="29"/>
      <c r="MPK12" s="2"/>
      <c r="MPL12" s="2"/>
      <c r="MPW12" s="29"/>
      <c r="MPX12" s="2"/>
      <c r="MPY12" s="2"/>
      <c r="MQJ12" s="29"/>
      <c r="MQK12" s="2"/>
      <c r="MQL12" s="2"/>
      <c r="MQW12" s="29"/>
      <c r="MQX12" s="2"/>
      <c r="MQY12" s="2"/>
      <c r="MRJ12" s="29"/>
      <c r="MRK12" s="2"/>
      <c r="MRL12" s="2"/>
      <c r="MRW12" s="29"/>
      <c r="MRX12" s="2"/>
      <c r="MRY12" s="2"/>
      <c r="MSJ12" s="29"/>
      <c r="MSK12" s="2"/>
      <c r="MSL12" s="2"/>
      <c r="MSW12" s="29"/>
      <c r="MSX12" s="2"/>
      <c r="MSY12" s="2"/>
      <c r="MTJ12" s="29"/>
      <c r="MTK12" s="2"/>
      <c r="MTL12" s="2"/>
      <c r="MTW12" s="29"/>
      <c r="MTX12" s="2"/>
      <c r="MTY12" s="2"/>
      <c r="MUJ12" s="29"/>
      <c r="MUK12" s="2"/>
      <c r="MUL12" s="2"/>
      <c r="MUW12" s="29"/>
      <c r="MUX12" s="2"/>
      <c r="MUY12" s="2"/>
      <c r="MVJ12" s="29"/>
      <c r="MVK12" s="2"/>
      <c r="MVL12" s="2"/>
      <c r="MVW12" s="29"/>
      <c r="MVX12" s="2"/>
      <c r="MVY12" s="2"/>
      <c r="MWJ12" s="29"/>
      <c r="MWK12" s="2"/>
      <c r="MWL12" s="2"/>
      <c r="MWW12" s="29"/>
      <c r="MWX12" s="2"/>
      <c r="MWY12" s="2"/>
      <c r="MXJ12" s="29"/>
      <c r="MXK12" s="2"/>
      <c r="MXL12" s="2"/>
      <c r="MXW12" s="29"/>
      <c r="MXX12" s="2"/>
      <c r="MXY12" s="2"/>
      <c r="MYJ12" s="29"/>
      <c r="MYK12" s="2"/>
      <c r="MYL12" s="2"/>
      <c r="MYW12" s="29"/>
      <c r="MYX12" s="2"/>
      <c r="MYY12" s="2"/>
      <c r="MZJ12" s="29"/>
      <c r="MZK12" s="2"/>
      <c r="MZL12" s="2"/>
      <c r="MZW12" s="29"/>
      <c r="MZX12" s="2"/>
      <c r="MZY12" s="2"/>
      <c r="NAJ12" s="29"/>
      <c r="NAK12" s="2"/>
      <c r="NAL12" s="2"/>
      <c r="NAW12" s="29"/>
      <c r="NAX12" s="2"/>
      <c r="NAY12" s="2"/>
      <c r="NBJ12" s="29"/>
      <c r="NBK12" s="2"/>
      <c r="NBL12" s="2"/>
      <c r="NBW12" s="29"/>
      <c r="NBX12" s="2"/>
      <c r="NBY12" s="2"/>
      <c r="NCJ12" s="29"/>
      <c r="NCK12" s="2"/>
      <c r="NCL12" s="2"/>
      <c r="NCW12" s="29"/>
      <c r="NCX12" s="2"/>
      <c r="NCY12" s="2"/>
      <c r="NDJ12" s="29"/>
      <c r="NDK12" s="2"/>
      <c r="NDL12" s="2"/>
      <c r="NDW12" s="29"/>
      <c r="NDX12" s="2"/>
      <c r="NDY12" s="2"/>
      <c r="NEJ12" s="29"/>
      <c r="NEK12" s="2"/>
      <c r="NEL12" s="2"/>
      <c r="NEW12" s="29"/>
      <c r="NEX12" s="2"/>
      <c r="NEY12" s="2"/>
      <c r="NFJ12" s="29"/>
      <c r="NFK12" s="2"/>
      <c r="NFL12" s="2"/>
      <c r="NFW12" s="29"/>
      <c r="NFX12" s="2"/>
      <c r="NFY12" s="2"/>
      <c r="NGJ12" s="29"/>
      <c r="NGK12" s="2"/>
      <c r="NGL12" s="2"/>
      <c r="NGW12" s="29"/>
      <c r="NGX12" s="2"/>
      <c r="NGY12" s="2"/>
      <c r="NHJ12" s="29"/>
      <c r="NHK12" s="2"/>
      <c r="NHL12" s="2"/>
      <c r="NHW12" s="29"/>
      <c r="NHX12" s="2"/>
      <c r="NHY12" s="2"/>
      <c r="NIJ12" s="29"/>
      <c r="NIK12" s="2"/>
      <c r="NIL12" s="2"/>
      <c r="NIW12" s="29"/>
      <c r="NIX12" s="2"/>
      <c r="NIY12" s="2"/>
      <c r="NJJ12" s="29"/>
      <c r="NJK12" s="2"/>
      <c r="NJL12" s="2"/>
      <c r="NJW12" s="29"/>
      <c r="NJX12" s="2"/>
      <c r="NJY12" s="2"/>
      <c r="NKJ12" s="29"/>
      <c r="NKK12" s="2"/>
      <c r="NKL12" s="2"/>
      <c r="NKW12" s="29"/>
      <c r="NKX12" s="2"/>
      <c r="NKY12" s="2"/>
      <c r="NLJ12" s="29"/>
      <c r="NLK12" s="2"/>
      <c r="NLL12" s="2"/>
      <c r="NLW12" s="29"/>
      <c r="NLX12" s="2"/>
      <c r="NLY12" s="2"/>
      <c r="NMJ12" s="29"/>
      <c r="NMK12" s="2"/>
      <c r="NML12" s="2"/>
      <c r="NMW12" s="29"/>
      <c r="NMX12" s="2"/>
      <c r="NMY12" s="2"/>
      <c r="NNJ12" s="29"/>
      <c r="NNK12" s="2"/>
      <c r="NNL12" s="2"/>
      <c r="NNW12" s="29"/>
      <c r="NNX12" s="2"/>
      <c r="NNY12" s="2"/>
      <c r="NOJ12" s="29"/>
      <c r="NOK12" s="2"/>
      <c r="NOL12" s="2"/>
      <c r="NOW12" s="29"/>
      <c r="NOX12" s="2"/>
      <c r="NOY12" s="2"/>
      <c r="NPJ12" s="29"/>
      <c r="NPK12" s="2"/>
      <c r="NPL12" s="2"/>
      <c r="NPW12" s="29"/>
      <c r="NPX12" s="2"/>
      <c r="NPY12" s="2"/>
      <c r="NQJ12" s="29"/>
      <c r="NQK12" s="2"/>
      <c r="NQL12" s="2"/>
      <c r="NQW12" s="29"/>
      <c r="NQX12" s="2"/>
      <c r="NQY12" s="2"/>
      <c r="NRJ12" s="29"/>
      <c r="NRK12" s="2"/>
      <c r="NRL12" s="2"/>
      <c r="NRW12" s="29"/>
      <c r="NRX12" s="2"/>
      <c r="NRY12" s="2"/>
      <c r="NSJ12" s="29"/>
      <c r="NSK12" s="2"/>
      <c r="NSL12" s="2"/>
      <c r="NSW12" s="29"/>
      <c r="NSX12" s="2"/>
      <c r="NSY12" s="2"/>
      <c r="NTJ12" s="29"/>
      <c r="NTK12" s="2"/>
      <c r="NTL12" s="2"/>
      <c r="NTW12" s="29"/>
      <c r="NTX12" s="2"/>
      <c r="NTY12" s="2"/>
      <c r="NUJ12" s="29"/>
      <c r="NUK12" s="2"/>
      <c r="NUL12" s="2"/>
      <c r="NUW12" s="29"/>
      <c r="NUX12" s="2"/>
      <c r="NUY12" s="2"/>
      <c r="NVJ12" s="29"/>
      <c r="NVK12" s="2"/>
      <c r="NVL12" s="2"/>
      <c r="NVW12" s="29"/>
      <c r="NVX12" s="2"/>
      <c r="NVY12" s="2"/>
      <c r="NWJ12" s="29"/>
      <c r="NWK12" s="2"/>
      <c r="NWL12" s="2"/>
      <c r="NWW12" s="29"/>
      <c r="NWX12" s="2"/>
      <c r="NWY12" s="2"/>
      <c r="NXJ12" s="29"/>
      <c r="NXK12" s="2"/>
      <c r="NXL12" s="2"/>
      <c r="NXW12" s="29"/>
      <c r="NXX12" s="2"/>
      <c r="NXY12" s="2"/>
      <c r="NYJ12" s="29"/>
      <c r="NYK12" s="2"/>
      <c r="NYL12" s="2"/>
      <c r="NYW12" s="29"/>
      <c r="NYX12" s="2"/>
      <c r="NYY12" s="2"/>
      <c r="NZJ12" s="29"/>
      <c r="NZK12" s="2"/>
      <c r="NZL12" s="2"/>
      <c r="NZW12" s="29"/>
      <c r="NZX12" s="2"/>
      <c r="NZY12" s="2"/>
      <c r="OAJ12" s="29"/>
      <c r="OAK12" s="2"/>
      <c r="OAL12" s="2"/>
      <c r="OAW12" s="29"/>
      <c r="OAX12" s="2"/>
      <c r="OAY12" s="2"/>
      <c r="OBJ12" s="29"/>
      <c r="OBK12" s="2"/>
      <c r="OBL12" s="2"/>
      <c r="OBW12" s="29"/>
      <c r="OBX12" s="2"/>
      <c r="OBY12" s="2"/>
      <c r="OCJ12" s="29"/>
      <c r="OCK12" s="2"/>
      <c r="OCL12" s="2"/>
      <c r="OCW12" s="29"/>
      <c r="OCX12" s="2"/>
      <c r="OCY12" s="2"/>
      <c r="ODJ12" s="29"/>
      <c r="ODK12" s="2"/>
      <c r="ODL12" s="2"/>
      <c r="ODW12" s="29"/>
      <c r="ODX12" s="2"/>
      <c r="ODY12" s="2"/>
      <c r="OEJ12" s="29"/>
      <c r="OEK12" s="2"/>
      <c r="OEL12" s="2"/>
      <c r="OEW12" s="29"/>
      <c r="OEX12" s="2"/>
      <c r="OEY12" s="2"/>
      <c r="OFJ12" s="29"/>
      <c r="OFK12" s="2"/>
      <c r="OFL12" s="2"/>
      <c r="OFW12" s="29"/>
      <c r="OFX12" s="2"/>
      <c r="OFY12" s="2"/>
      <c r="OGJ12" s="29"/>
      <c r="OGK12" s="2"/>
      <c r="OGL12" s="2"/>
      <c r="OGW12" s="29"/>
      <c r="OGX12" s="2"/>
      <c r="OGY12" s="2"/>
      <c r="OHJ12" s="29"/>
      <c r="OHK12" s="2"/>
      <c r="OHL12" s="2"/>
      <c r="OHW12" s="29"/>
      <c r="OHX12" s="2"/>
      <c r="OHY12" s="2"/>
      <c r="OIJ12" s="29"/>
      <c r="OIK12" s="2"/>
      <c r="OIL12" s="2"/>
      <c r="OIW12" s="29"/>
      <c r="OIX12" s="2"/>
      <c r="OIY12" s="2"/>
      <c r="OJJ12" s="29"/>
      <c r="OJK12" s="2"/>
      <c r="OJL12" s="2"/>
      <c r="OJW12" s="29"/>
      <c r="OJX12" s="2"/>
      <c r="OJY12" s="2"/>
      <c r="OKJ12" s="29"/>
      <c r="OKK12" s="2"/>
      <c r="OKL12" s="2"/>
      <c r="OKW12" s="29"/>
      <c r="OKX12" s="2"/>
      <c r="OKY12" s="2"/>
      <c r="OLJ12" s="29"/>
      <c r="OLK12" s="2"/>
      <c r="OLL12" s="2"/>
      <c r="OLW12" s="29"/>
      <c r="OLX12" s="2"/>
      <c r="OLY12" s="2"/>
      <c r="OMJ12" s="29"/>
      <c r="OMK12" s="2"/>
      <c r="OML12" s="2"/>
      <c r="OMW12" s="29"/>
      <c r="OMX12" s="2"/>
      <c r="OMY12" s="2"/>
      <c r="ONJ12" s="29"/>
      <c r="ONK12" s="2"/>
      <c r="ONL12" s="2"/>
      <c r="ONW12" s="29"/>
      <c r="ONX12" s="2"/>
      <c r="ONY12" s="2"/>
      <c r="OOJ12" s="29"/>
      <c r="OOK12" s="2"/>
      <c r="OOL12" s="2"/>
      <c r="OOW12" s="29"/>
      <c r="OOX12" s="2"/>
      <c r="OOY12" s="2"/>
      <c r="OPJ12" s="29"/>
      <c r="OPK12" s="2"/>
      <c r="OPL12" s="2"/>
      <c r="OPW12" s="29"/>
      <c r="OPX12" s="2"/>
      <c r="OPY12" s="2"/>
      <c r="OQJ12" s="29"/>
      <c r="OQK12" s="2"/>
      <c r="OQL12" s="2"/>
      <c r="OQW12" s="29"/>
      <c r="OQX12" s="2"/>
      <c r="OQY12" s="2"/>
      <c r="ORJ12" s="29"/>
      <c r="ORK12" s="2"/>
      <c r="ORL12" s="2"/>
      <c r="ORW12" s="29"/>
      <c r="ORX12" s="2"/>
      <c r="ORY12" s="2"/>
      <c r="OSJ12" s="29"/>
      <c r="OSK12" s="2"/>
      <c r="OSL12" s="2"/>
      <c r="OSW12" s="29"/>
      <c r="OSX12" s="2"/>
      <c r="OSY12" s="2"/>
      <c r="OTJ12" s="29"/>
      <c r="OTK12" s="2"/>
      <c r="OTL12" s="2"/>
      <c r="OTW12" s="29"/>
      <c r="OTX12" s="2"/>
      <c r="OTY12" s="2"/>
      <c r="OUJ12" s="29"/>
      <c r="OUK12" s="2"/>
      <c r="OUL12" s="2"/>
      <c r="OUW12" s="29"/>
      <c r="OUX12" s="2"/>
      <c r="OUY12" s="2"/>
      <c r="OVJ12" s="29"/>
      <c r="OVK12" s="2"/>
      <c r="OVL12" s="2"/>
      <c r="OVW12" s="29"/>
      <c r="OVX12" s="2"/>
      <c r="OVY12" s="2"/>
      <c r="OWJ12" s="29"/>
      <c r="OWK12" s="2"/>
      <c r="OWL12" s="2"/>
      <c r="OWW12" s="29"/>
      <c r="OWX12" s="2"/>
      <c r="OWY12" s="2"/>
      <c r="OXJ12" s="29"/>
      <c r="OXK12" s="2"/>
      <c r="OXL12" s="2"/>
      <c r="OXW12" s="29"/>
      <c r="OXX12" s="2"/>
      <c r="OXY12" s="2"/>
      <c r="OYJ12" s="29"/>
      <c r="OYK12" s="2"/>
      <c r="OYL12" s="2"/>
      <c r="OYW12" s="29"/>
      <c r="OYX12" s="2"/>
      <c r="OYY12" s="2"/>
      <c r="OZJ12" s="29"/>
      <c r="OZK12" s="2"/>
      <c r="OZL12" s="2"/>
      <c r="OZW12" s="29"/>
      <c r="OZX12" s="2"/>
      <c r="OZY12" s="2"/>
      <c r="PAJ12" s="29"/>
      <c r="PAK12" s="2"/>
      <c r="PAL12" s="2"/>
      <c r="PAW12" s="29"/>
      <c r="PAX12" s="2"/>
      <c r="PAY12" s="2"/>
      <c r="PBJ12" s="29"/>
      <c r="PBK12" s="2"/>
      <c r="PBL12" s="2"/>
      <c r="PBW12" s="29"/>
      <c r="PBX12" s="2"/>
      <c r="PBY12" s="2"/>
      <c r="PCJ12" s="29"/>
      <c r="PCK12" s="2"/>
      <c r="PCL12" s="2"/>
      <c r="PCW12" s="29"/>
      <c r="PCX12" s="2"/>
      <c r="PCY12" s="2"/>
      <c r="PDJ12" s="29"/>
      <c r="PDK12" s="2"/>
      <c r="PDL12" s="2"/>
      <c r="PDW12" s="29"/>
      <c r="PDX12" s="2"/>
      <c r="PDY12" s="2"/>
      <c r="PEJ12" s="29"/>
      <c r="PEK12" s="2"/>
      <c r="PEL12" s="2"/>
      <c r="PEW12" s="29"/>
      <c r="PEX12" s="2"/>
      <c r="PEY12" s="2"/>
      <c r="PFJ12" s="29"/>
      <c r="PFK12" s="2"/>
      <c r="PFL12" s="2"/>
      <c r="PFW12" s="29"/>
      <c r="PFX12" s="2"/>
      <c r="PFY12" s="2"/>
      <c r="PGJ12" s="29"/>
      <c r="PGK12" s="2"/>
      <c r="PGL12" s="2"/>
      <c r="PGW12" s="29"/>
      <c r="PGX12" s="2"/>
      <c r="PGY12" s="2"/>
      <c r="PHJ12" s="29"/>
      <c r="PHK12" s="2"/>
      <c r="PHL12" s="2"/>
      <c r="PHW12" s="29"/>
      <c r="PHX12" s="2"/>
      <c r="PHY12" s="2"/>
      <c r="PIJ12" s="29"/>
      <c r="PIK12" s="2"/>
      <c r="PIL12" s="2"/>
      <c r="PIW12" s="29"/>
      <c r="PIX12" s="2"/>
      <c r="PIY12" s="2"/>
      <c r="PJJ12" s="29"/>
      <c r="PJK12" s="2"/>
      <c r="PJL12" s="2"/>
      <c r="PJW12" s="29"/>
      <c r="PJX12" s="2"/>
      <c r="PJY12" s="2"/>
      <c r="PKJ12" s="29"/>
      <c r="PKK12" s="2"/>
      <c r="PKL12" s="2"/>
      <c r="PKW12" s="29"/>
      <c r="PKX12" s="2"/>
      <c r="PKY12" s="2"/>
      <c r="PLJ12" s="29"/>
      <c r="PLK12" s="2"/>
      <c r="PLL12" s="2"/>
      <c r="PLW12" s="29"/>
      <c r="PLX12" s="2"/>
      <c r="PLY12" s="2"/>
      <c r="PMJ12" s="29"/>
      <c r="PMK12" s="2"/>
      <c r="PML12" s="2"/>
      <c r="PMW12" s="29"/>
      <c r="PMX12" s="2"/>
      <c r="PMY12" s="2"/>
      <c r="PNJ12" s="29"/>
      <c r="PNK12" s="2"/>
      <c r="PNL12" s="2"/>
      <c r="PNW12" s="29"/>
      <c r="PNX12" s="2"/>
      <c r="PNY12" s="2"/>
      <c r="POJ12" s="29"/>
      <c r="POK12" s="2"/>
      <c r="POL12" s="2"/>
      <c r="POW12" s="29"/>
      <c r="POX12" s="2"/>
      <c r="POY12" s="2"/>
      <c r="PPJ12" s="29"/>
      <c r="PPK12" s="2"/>
      <c r="PPL12" s="2"/>
      <c r="PPW12" s="29"/>
      <c r="PPX12" s="2"/>
      <c r="PPY12" s="2"/>
      <c r="PQJ12" s="29"/>
      <c r="PQK12" s="2"/>
      <c r="PQL12" s="2"/>
      <c r="PQW12" s="29"/>
      <c r="PQX12" s="2"/>
      <c r="PQY12" s="2"/>
      <c r="PRJ12" s="29"/>
      <c r="PRK12" s="2"/>
      <c r="PRL12" s="2"/>
      <c r="PRW12" s="29"/>
      <c r="PRX12" s="2"/>
      <c r="PRY12" s="2"/>
      <c r="PSJ12" s="29"/>
      <c r="PSK12" s="2"/>
      <c r="PSL12" s="2"/>
      <c r="PSW12" s="29"/>
      <c r="PSX12" s="2"/>
      <c r="PSY12" s="2"/>
      <c r="PTJ12" s="29"/>
      <c r="PTK12" s="2"/>
      <c r="PTL12" s="2"/>
      <c r="PTW12" s="29"/>
      <c r="PTX12" s="2"/>
      <c r="PTY12" s="2"/>
      <c r="PUJ12" s="29"/>
      <c r="PUK12" s="2"/>
      <c r="PUL12" s="2"/>
      <c r="PUW12" s="29"/>
      <c r="PUX12" s="2"/>
      <c r="PUY12" s="2"/>
      <c r="PVJ12" s="29"/>
      <c r="PVK12" s="2"/>
      <c r="PVL12" s="2"/>
      <c r="PVW12" s="29"/>
      <c r="PVX12" s="2"/>
      <c r="PVY12" s="2"/>
      <c r="PWJ12" s="29"/>
      <c r="PWK12" s="2"/>
      <c r="PWL12" s="2"/>
      <c r="PWW12" s="29"/>
      <c r="PWX12" s="2"/>
      <c r="PWY12" s="2"/>
      <c r="PXJ12" s="29"/>
      <c r="PXK12" s="2"/>
      <c r="PXL12" s="2"/>
      <c r="PXW12" s="29"/>
      <c r="PXX12" s="2"/>
      <c r="PXY12" s="2"/>
      <c r="PYJ12" s="29"/>
      <c r="PYK12" s="2"/>
      <c r="PYL12" s="2"/>
      <c r="PYW12" s="29"/>
      <c r="PYX12" s="2"/>
      <c r="PYY12" s="2"/>
      <c r="PZJ12" s="29"/>
      <c r="PZK12" s="2"/>
      <c r="PZL12" s="2"/>
      <c r="PZW12" s="29"/>
      <c r="PZX12" s="2"/>
      <c r="PZY12" s="2"/>
      <c r="QAJ12" s="29"/>
      <c r="QAK12" s="2"/>
      <c r="QAL12" s="2"/>
      <c r="QAW12" s="29"/>
      <c r="QAX12" s="2"/>
      <c r="QAY12" s="2"/>
      <c r="QBJ12" s="29"/>
      <c r="QBK12" s="2"/>
      <c r="QBL12" s="2"/>
      <c r="QBW12" s="29"/>
      <c r="QBX12" s="2"/>
      <c r="QBY12" s="2"/>
      <c r="QCJ12" s="29"/>
      <c r="QCK12" s="2"/>
      <c r="QCL12" s="2"/>
      <c r="QCW12" s="29"/>
      <c r="QCX12" s="2"/>
      <c r="QCY12" s="2"/>
      <c r="QDJ12" s="29"/>
      <c r="QDK12" s="2"/>
      <c r="QDL12" s="2"/>
      <c r="QDW12" s="29"/>
      <c r="QDX12" s="2"/>
      <c r="QDY12" s="2"/>
      <c r="QEJ12" s="29"/>
      <c r="QEK12" s="2"/>
      <c r="QEL12" s="2"/>
      <c r="QEW12" s="29"/>
      <c r="QEX12" s="2"/>
      <c r="QEY12" s="2"/>
      <c r="QFJ12" s="29"/>
      <c r="QFK12" s="2"/>
      <c r="QFL12" s="2"/>
      <c r="QFW12" s="29"/>
      <c r="QFX12" s="2"/>
      <c r="QFY12" s="2"/>
      <c r="QGJ12" s="29"/>
      <c r="QGK12" s="2"/>
      <c r="QGL12" s="2"/>
      <c r="QGW12" s="29"/>
      <c r="QGX12" s="2"/>
      <c r="QGY12" s="2"/>
      <c r="QHJ12" s="29"/>
      <c r="QHK12" s="2"/>
      <c r="QHL12" s="2"/>
      <c r="QHW12" s="29"/>
      <c r="QHX12" s="2"/>
      <c r="QHY12" s="2"/>
      <c r="QIJ12" s="29"/>
      <c r="QIK12" s="2"/>
      <c r="QIL12" s="2"/>
      <c r="QIW12" s="29"/>
      <c r="QIX12" s="2"/>
      <c r="QIY12" s="2"/>
      <c r="QJJ12" s="29"/>
      <c r="QJK12" s="2"/>
      <c r="QJL12" s="2"/>
      <c r="QJW12" s="29"/>
      <c r="QJX12" s="2"/>
      <c r="QJY12" s="2"/>
      <c r="QKJ12" s="29"/>
      <c r="QKK12" s="2"/>
      <c r="QKL12" s="2"/>
      <c r="QKW12" s="29"/>
      <c r="QKX12" s="2"/>
      <c r="QKY12" s="2"/>
      <c r="QLJ12" s="29"/>
      <c r="QLK12" s="2"/>
      <c r="QLL12" s="2"/>
      <c r="QLW12" s="29"/>
      <c r="QLX12" s="2"/>
      <c r="QLY12" s="2"/>
      <c r="QMJ12" s="29"/>
      <c r="QMK12" s="2"/>
      <c r="QML12" s="2"/>
      <c r="QMW12" s="29"/>
      <c r="QMX12" s="2"/>
      <c r="QMY12" s="2"/>
      <c r="QNJ12" s="29"/>
      <c r="QNK12" s="2"/>
      <c r="QNL12" s="2"/>
      <c r="QNW12" s="29"/>
      <c r="QNX12" s="2"/>
      <c r="QNY12" s="2"/>
      <c r="QOJ12" s="29"/>
      <c r="QOK12" s="2"/>
      <c r="QOL12" s="2"/>
      <c r="QOW12" s="29"/>
      <c r="QOX12" s="2"/>
      <c r="QOY12" s="2"/>
      <c r="QPJ12" s="29"/>
      <c r="QPK12" s="2"/>
      <c r="QPL12" s="2"/>
      <c r="QPW12" s="29"/>
      <c r="QPX12" s="2"/>
      <c r="QPY12" s="2"/>
      <c r="QQJ12" s="29"/>
      <c r="QQK12" s="2"/>
      <c r="QQL12" s="2"/>
      <c r="QQW12" s="29"/>
      <c r="QQX12" s="2"/>
      <c r="QQY12" s="2"/>
      <c r="QRJ12" s="29"/>
      <c r="QRK12" s="2"/>
      <c r="QRL12" s="2"/>
      <c r="QRW12" s="29"/>
      <c r="QRX12" s="2"/>
      <c r="QRY12" s="2"/>
      <c r="QSJ12" s="29"/>
      <c r="QSK12" s="2"/>
      <c r="QSL12" s="2"/>
      <c r="QSW12" s="29"/>
      <c r="QSX12" s="2"/>
      <c r="QSY12" s="2"/>
      <c r="QTJ12" s="29"/>
      <c r="QTK12" s="2"/>
      <c r="QTL12" s="2"/>
      <c r="QTW12" s="29"/>
      <c r="QTX12" s="2"/>
      <c r="QTY12" s="2"/>
      <c r="QUJ12" s="29"/>
      <c r="QUK12" s="2"/>
      <c r="QUL12" s="2"/>
      <c r="QUW12" s="29"/>
      <c r="QUX12" s="2"/>
      <c r="QUY12" s="2"/>
      <c r="QVJ12" s="29"/>
      <c r="QVK12" s="2"/>
      <c r="QVL12" s="2"/>
      <c r="QVW12" s="29"/>
      <c r="QVX12" s="2"/>
      <c r="QVY12" s="2"/>
      <c r="QWJ12" s="29"/>
      <c r="QWK12" s="2"/>
      <c r="QWL12" s="2"/>
      <c r="QWW12" s="29"/>
      <c r="QWX12" s="2"/>
      <c r="QWY12" s="2"/>
      <c r="QXJ12" s="29"/>
      <c r="QXK12" s="2"/>
      <c r="QXL12" s="2"/>
      <c r="QXW12" s="29"/>
      <c r="QXX12" s="2"/>
      <c r="QXY12" s="2"/>
      <c r="QYJ12" s="29"/>
      <c r="QYK12" s="2"/>
      <c r="QYL12" s="2"/>
      <c r="QYW12" s="29"/>
      <c r="QYX12" s="2"/>
      <c r="QYY12" s="2"/>
      <c r="QZJ12" s="29"/>
      <c r="QZK12" s="2"/>
      <c r="QZL12" s="2"/>
      <c r="QZW12" s="29"/>
      <c r="QZX12" s="2"/>
      <c r="QZY12" s="2"/>
      <c r="RAJ12" s="29"/>
      <c r="RAK12" s="2"/>
      <c r="RAL12" s="2"/>
      <c r="RAW12" s="29"/>
      <c r="RAX12" s="2"/>
      <c r="RAY12" s="2"/>
      <c r="RBJ12" s="29"/>
      <c r="RBK12" s="2"/>
      <c r="RBL12" s="2"/>
      <c r="RBW12" s="29"/>
      <c r="RBX12" s="2"/>
      <c r="RBY12" s="2"/>
      <c r="RCJ12" s="29"/>
      <c r="RCK12" s="2"/>
      <c r="RCL12" s="2"/>
      <c r="RCW12" s="29"/>
      <c r="RCX12" s="2"/>
      <c r="RCY12" s="2"/>
      <c r="RDJ12" s="29"/>
      <c r="RDK12" s="2"/>
      <c r="RDL12" s="2"/>
      <c r="RDW12" s="29"/>
      <c r="RDX12" s="2"/>
      <c r="RDY12" s="2"/>
      <c r="REJ12" s="29"/>
      <c r="REK12" s="2"/>
      <c r="REL12" s="2"/>
      <c r="REW12" s="29"/>
      <c r="REX12" s="2"/>
      <c r="REY12" s="2"/>
      <c r="RFJ12" s="29"/>
      <c r="RFK12" s="2"/>
      <c r="RFL12" s="2"/>
      <c r="RFW12" s="29"/>
      <c r="RFX12" s="2"/>
      <c r="RFY12" s="2"/>
      <c r="RGJ12" s="29"/>
      <c r="RGK12" s="2"/>
      <c r="RGL12" s="2"/>
      <c r="RGW12" s="29"/>
      <c r="RGX12" s="2"/>
      <c r="RGY12" s="2"/>
      <c r="RHJ12" s="29"/>
      <c r="RHK12" s="2"/>
      <c r="RHL12" s="2"/>
      <c r="RHW12" s="29"/>
      <c r="RHX12" s="2"/>
      <c r="RHY12" s="2"/>
      <c r="RIJ12" s="29"/>
      <c r="RIK12" s="2"/>
      <c r="RIL12" s="2"/>
      <c r="RIW12" s="29"/>
      <c r="RIX12" s="2"/>
      <c r="RIY12" s="2"/>
      <c r="RJJ12" s="29"/>
      <c r="RJK12" s="2"/>
      <c r="RJL12" s="2"/>
      <c r="RJW12" s="29"/>
      <c r="RJX12" s="2"/>
      <c r="RJY12" s="2"/>
      <c r="RKJ12" s="29"/>
      <c r="RKK12" s="2"/>
      <c r="RKL12" s="2"/>
      <c r="RKW12" s="29"/>
      <c r="RKX12" s="2"/>
      <c r="RKY12" s="2"/>
      <c r="RLJ12" s="29"/>
      <c r="RLK12" s="2"/>
      <c r="RLL12" s="2"/>
      <c r="RLW12" s="29"/>
      <c r="RLX12" s="2"/>
      <c r="RLY12" s="2"/>
      <c r="RMJ12" s="29"/>
      <c r="RMK12" s="2"/>
      <c r="RML12" s="2"/>
      <c r="RMW12" s="29"/>
      <c r="RMX12" s="2"/>
      <c r="RMY12" s="2"/>
      <c r="RNJ12" s="29"/>
      <c r="RNK12" s="2"/>
      <c r="RNL12" s="2"/>
      <c r="RNW12" s="29"/>
      <c r="RNX12" s="2"/>
      <c r="RNY12" s="2"/>
      <c r="ROJ12" s="29"/>
      <c r="ROK12" s="2"/>
      <c r="ROL12" s="2"/>
      <c r="ROW12" s="29"/>
      <c r="ROX12" s="2"/>
      <c r="ROY12" s="2"/>
      <c r="RPJ12" s="29"/>
      <c r="RPK12" s="2"/>
      <c r="RPL12" s="2"/>
      <c r="RPW12" s="29"/>
      <c r="RPX12" s="2"/>
      <c r="RPY12" s="2"/>
      <c r="RQJ12" s="29"/>
      <c r="RQK12" s="2"/>
      <c r="RQL12" s="2"/>
      <c r="RQW12" s="29"/>
      <c r="RQX12" s="2"/>
      <c r="RQY12" s="2"/>
      <c r="RRJ12" s="29"/>
      <c r="RRK12" s="2"/>
      <c r="RRL12" s="2"/>
      <c r="RRW12" s="29"/>
      <c r="RRX12" s="2"/>
      <c r="RRY12" s="2"/>
      <c r="RSJ12" s="29"/>
      <c r="RSK12" s="2"/>
      <c r="RSL12" s="2"/>
      <c r="RSW12" s="29"/>
      <c r="RSX12" s="2"/>
      <c r="RSY12" s="2"/>
      <c r="RTJ12" s="29"/>
      <c r="RTK12" s="2"/>
      <c r="RTL12" s="2"/>
      <c r="RTW12" s="29"/>
      <c r="RTX12" s="2"/>
      <c r="RTY12" s="2"/>
      <c r="RUJ12" s="29"/>
      <c r="RUK12" s="2"/>
      <c r="RUL12" s="2"/>
      <c r="RUW12" s="29"/>
      <c r="RUX12" s="2"/>
      <c r="RUY12" s="2"/>
      <c r="RVJ12" s="29"/>
      <c r="RVK12" s="2"/>
      <c r="RVL12" s="2"/>
      <c r="RVW12" s="29"/>
      <c r="RVX12" s="2"/>
      <c r="RVY12" s="2"/>
      <c r="RWJ12" s="29"/>
      <c r="RWK12" s="2"/>
      <c r="RWL12" s="2"/>
      <c r="RWW12" s="29"/>
      <c r="RWX12" s="2"/>
      <c r="RWY12" s="2"/>
      <c r="RXJ12" s="29"/>
      <c r="RXK12" s="2"/>
      <c r="RXL12" s="2"/>
      <c r="RXW12" s="29"/>
      <c r="RXX12" s="2"/>
      <c r="RXY12" s="2"/>
      <c r="RYJ12" s="29"/>
      <c r="RYK12" s="2"/>
      <c r="RYL12" s="2"/>
      <c r="RYW12" s="29"/>
      <c r="RYX12" s="2"/>
      <c r="RYY12" s="2"/>
      <c r="RZJ12" s="29"/>
      <c r="RZK12" s="2"/>
      <c r="RZL12" s="2"/>
      <c r="RZW12" s="29"/>
      <c r="RZX12" s="2"/>
      <c r="RZY12" s="2"/>
      <c r="SAJ12" s="29"/>
      <c r="SAK12" s="2"/>
      <c r="SAL12" s="2"/>
      <c r="SAW12" s="29"/>
      <c r="SAX12" s="2"/>
      <c r="SAY12" s="2"/>
      <c r="SBJ12" s="29"/>
      <c r="SBK12" s="2"/>
      <c r="SBL12" s="2"/>
      <c r="SBW12" s="29"/>
      <c r="SBX12" s="2"/>
      <c r="SBY12" s="2"/>
      <c r="SCJ12" s="29"/>
      <c r="SCK12" s="2"/>
      <c r="SCL12" s="2"/>
      <c r="SCW12" s="29"/>
      <c r="SCX12" s="2"/>
      <c r="SCY12" s="2"/>
      <c r="SDJ12" s="29"/>
      <c r="SDK12" s="2"/>
      <c r="SDL12" s="2"/>
      <c r="SDW12" s="29"/>
      <c r="SDX12" s="2"/>
      <c r="SDY12" s="2"/>
      <c r="SEJ12" s="29"/>
      <c r="SEK12" s="2"/>
      <c r="SEL12" s="2"/>
      <c r="SEW12" s="29"/>
      <c r="SEX12" s="2"/>
      <c r="SEY12" s="2"/>
      <c r="SFJ12" s="29"/>
      <c r="SFK12" s="2"/>
      <c r="SFL12" s="2"/>
      <c r="SFW12" s="29"/>
      <c r="SFX12" s="2"/>
      <c r="SFY12" s="2"/>
      <c r="SGJ12" s="29"/>
      <c r="SGK12" s="2"/>
      <c r="SGL12" s="2"/>
      <c r="SGW12" s="29"/>
      <c r="SGX12" s="2"/>
      <c r="SGY12" s="2"/>
      <c r="SHJ12" s="29"/>
      <c r="SHK12" s="2"/>
      <c r="SHL12" s="2"/>
      <c r="SHW12" s="29"/>
      <c r="SHX12" s="2"/>
      <c r="SHY12" s="2"/>
      <c r="SIJ12" s="29"/>
      <c r="SIK12" s="2"/>
      <c r="SIL12" s="2"/>
      <c r="SIW12" s="29"/>
      <c r="SIX12" s="2"/>
      <c r="SIY12" s="2"/>
      <c r="SJJ12" s="29"/>
      <c r="SJK12" s="2"/>
      <c r="SJL12" s="2"/>
      <c r="SJW12" s="29"/>
      <c r="SJX12" s="2"/>
      <c r="SJY12" s="2"/>
      <c r="SKJ12" s="29"/>
      <c r="SKK12" s="2"/>
      <c r="SKL12" s="2"/>
      <c r="SKW12" s="29"/>
      <c r="SKX12" s="2"/>
      <c r="SKY12" s="2"/>
      <c r="SLJ12" s="29"/>
      <c r="SLK12" s="2"/>
      <c r="SLL12" s="2"/>
      <c r="SLW12" s="29"/>
      <c r="SLX12" s="2"/>
      <c r="SLY12" s="2"/>
      <c r="SMJ12" s="29"/>
      <c r="SMK12" s="2"/>
      <c r="SML12" s="2"/>
      <c r="SMW12" s="29"/>
      <c r="SMX12" s="2"/>
      <c r="SMY12" s="2"/>
      <c r="SNJ12" s="29"/>
      <c r="SNK12" s="2"/>
      <c r="SNL12" s="2"/>
      <c r="SNW12" s="29"/>
      <c r="SNX12" s="2"/>
      <c r="SNY12" s="2"/>
      <c r="SOJ12" s="29"/>
      <c r="SOK12" s="2"/>
      <c r="SOL12" s="2"/>
      <c r="SOW12" s="29"/>
      <c r="SOX12" s="2"/>
      <c r="SOY12" s="2"/>
      <c r="SPJ12" s="29"/>
      <c r="SPK12" s="2"/>
      <c r="SPL12" s="2"/>
      <c r="SPW12" s="29"/>
      <c r="SPX12" s="2"/>
      <c r="SPY12" s="2"/>
      <c r="SQJ12" s="29"/>
      <c r="SQK12" s="2"/>
      <c r="SQL12" s="2"/>
      <c r="SQW12" s="29"/>
      <c r="SQX12" s="2"/>
      <c r="SQY12" s="2"/>
      <c r="SRJ12" s="29"/>
      <c r="SRK12" s="2"/>
      <c r="SRL12" s="2"/>
      <c r="SRW12" s="29"/>
      <c r="SRX12" s="2"/>
      <c r="SRY12" s="2"/>
      <c r="SSJ12" s="29"/>
      <c r="SSK12" s="2"/>
      <c r="SSL12" s="2"/>
      <c r="SSW12" s="29"/>
      <c r="SSX12" s="2"/>
      <c r="SSY12" s="2"/>
      <c r="STJ12" s="29"/>
      <c r="STK12" s="2"/>
      <c r="STL12" s="2"/>
      <c r="STW12" s="29"/>
      <c r="STX12" s="2"/>
      <c r="STY12" s="2"/>
      <c r="SUJ12" s="29"/>
      <c r="SUK12" s="2"/>
      <c r="SUL12" s="2"/>
      <c r="SUW12" s="29"/>
      <c r="SUX12" s="2"/>
      <c r="SUY12" s="2"/>
      <c r="SVJ12" s="29"/>
      <c r="SVK12" s="2"/>
      <c r="SVL12" s="2"/>
      <c r="SVW12" s="29"/>
      <c r="SVX12" s="2"/>
      <c r="SVY12" s="2"/>
      <c r="SWJ12" s="29"/>
      <c r="SWK12" s="2"/>
      <c r="SWL12" s="2"/>
      <c r="SWW12" s="29"/>
      <c r="SWX12" s="2"/>
      <c r="SWY12" s="2"/>
      <c r="SXJ12" s="29"/>
      <c r="SXK12" s="2"/>
      <c r="SXL12" s="2"/>
      <c r="SXW12" s="29"/>
      <c r="SXX12" s="2"/>
      <c r="SXY12" s="2"/>
      <c r="SYJ12" s="29"/>
      <c r="SYK12" s="2"/>
      <c r="SYL12" s="2"/>
      <c r="SYW12" s="29"/>
      <c r="SYX12" s="2"/>
      <c r="SYY12" s="2"/>
      <c r="SZJ12" s="29"/>
      <c r="SZK12" s="2"/>
      <c r="SZL12" s="2"/>
      <c r="SZW12" s="29"/>
      <c r="SZX12" s="2"/>
      <c r="SZY12" s="2"/>
      <c r="TAJ12" s="29"/>
      <c r="TAK12" s="2"/>
      <c r="TAL12" s="2"/>
      <c r="TAW12" s="29"/>
      <c r="TAX12" s="2"/>
      <c r="TAY12" s="2"/>
      <c r="TBJ12" s="29"/>
      <c r="TBK12" s="2"/>
      <c r="TBL12" s="2"/>
      <c r="TBW12" s="29"/>
      <c r="TBX12" s="2"/>
      <c r="TBY12" s="2"/>
      <c r="TCJ12" s="29"/>
      <c r="TCK12" s="2"/>
      <c r="TCL12" s="2"/>
      <c r="TCW12" s="29"/>
      <c r="TCX12" s="2"/>
      <c r="TCY12" s="2"/>
      <c r="TDJ12" s="29"/>
      <c r="TDK12" s="2"/>
      <c r="TDL12" s="2"/>
      <c r="TDW12" s="29"/>
      <c r="TDX12" s="2"/>
      <c r="TDY12" s="2"/>
      <c r="TEJ12" s="29"/>
      <c r="TEK12" s="2"/>
      <c r="TEL12" s="2"/>
      <c r="TEW12" s="29"/>
      <c r="TEX12" s="2"/>
      <c r="TEY12" s="2"/>
      <c r="TFJ12" s="29"/>
      <c r="TFK12" s="2"/>
      <c r="TFL12" s="2"/>
      <c r="TFW12" s="29"/>
      <c r="TFX12" s="2"/>
      <c r="TFY12" s="2"/>
      <c r="TGJ12" s="29"/>
      <c r="TGK12" s="2"/>
      <c r="TGL12" s="2"/>
      <c r="TGW12" s="29"/>
      <c r="TGX12" s="2"/>
      <c r="TGY12" s="2"/>
      <c r="THJ12" s="29"/>
      <c r="THK12" s="2"/>
      <c r="THL12" s="2"/>
      <c r="THW12" s="29"/>
      <c r="THX12" s="2"/>
      <c r="THY12" s="2"/>
      <c r="TIJ12" s="29"/>
      <c r="TIK12" s="2"/>
      <c r="TIL12" s="2"/>
      <c r="TIW12" s="29"/>
      <c r="TIX12" s="2"/>
      <c r="TIY12" s="2"/>
      <c r="TJJ12" s="29"/>
      <c r="TJK12" s="2"/>
      <c r="TJL12" s="2"/>
      <c r="TJW12" s="29"/>
      <c r="TJX12" s="2"/>
      <c r="TJY12" s="2"/>
      <c r="TKJ12" s="29"/>
      <c r="TKK12" s="2"/>
      <c r="TKL12" s="2"/>
      <c r="TKW12" s="29"/>
      <c r="TKX12" s="2"/>
      <c r="TKY12" s="2"/>
      <c r="TLJ12" s="29"/>
      <c r="TLK12" s="2"/>
      <c r="TLL12" s="2"/>
      <c r="TLW12" s="29"/>
      <c r="TLX12" s="2"/>
      <c r="TLY12" s="2"/>
      <c r="TMJ12" s="29"/>
      <c r="TMK12" s="2"/>
      <c r="TML12" s="2"/>
      <c r="TMW12" s="29"/>
      <c r="TMX12" s="2"/>
      <c r="TMY12" s="2"/>
      <c r="TNJ12" s="29"/>
      <c r="TNK12" s="2"/>
      <c r="TNL12" s="2"/>
      <c r="TNW12" s="29"/>
      <c r="TNX12" s="2"/>
      <c r="TNY12" s="2"/>
      <c r="TOJ12" s="29"/>
      <c r="TOK12" s="2"/>
      <c r="TOL12" s="2"/>
      <c r="TOW12" s="29"/>
      <c r="TOX12" s="2"/>
      <c r="TOY12" s="2"/>
      <c r="TPJ12" s="29"/>
      <c r="TPK12" s="2"/>
      <c r="TPL12" s="2"/>
      <c r="TPW12" s="29"/>
      <c r="TPX12" s="2"/>
      <c r="TPY12" s="2"/>
      <c r="TQJ12" s="29"/>
      <c r="TQK12" s="2"/>
      <c r="TQL12" s="2"/>
      <c r="TQW12" s="29"/>
      <c r="TQX12" s="2"/>
      <c r="TQY12" s="2"/>
      <c r="TRJ12" s="29"/>
      <c r="TRK12" s="2"/>
      <c r="TRL12" s="2"/>
      <c r="TRW12" s="29"/>
      <c r="TRX12" s="2"/>
      <c r="TRY12" s="2"/>
      <c r="TSJ12" s="29"/>
      <c r="TSK12" s="2"/>
      <c r="TSL12" s="2"/>
      <c r="TSW12" s="29"/>
      <c r="TSX12" s="2"/>
      <c r="TSY12" s="2"/>
      <c r="TTJ12" s="29"/>
      <c r="TTK12" s="2"/>
      <c r="TTL12" s="2"/>
      <c r="TTW12" s="29"/>
      <c r="TTX12" s="2"/>
      <c r="TTY12" s="2"/>
      <c r="TUJ12" s="29"/>
      <c r="TUK12" s="2"/>
      <c r="TUL12" s="2"/>
      <c r="TUW12" s="29"/>
      <c r="TUX12" s="2"/>
      <c r="TUY12" s="2"/>
      <c r="TVJ12" s="29"/>
      <c r="TVK12" s="2"/>
      <c r="TVL12" s="2"/>
      <c r="TVW12" s="29"/>
      <c r="TVX12" s="2"/>
      <c r="TVY12" s="2"/>
      <c r="TWJ12" s="29"/>
      <c r="TWK12" s="2"/>
      <c r="TWL12" s="2"/>
      <c r="TWW12" s="29"/>
      <c r="TWX12" s="2"/>
      <c r="TWY12" s="2"/>
      <c r="TXJ12" s="29"/>
      <c r="TXK12" s="2"/>
      <c r="TXL12" s="2"/>
      <c r="TXW12" s="29"/>
      <c r="TXX12" s="2"/>
      <c r="TXY12" s="2"/>
      <c r="TYJ12" s="29"/>
      <c r="TYK12" s="2"/>
      <c r="TYL12" s="2"/>
      <c r="TYW12" s="29"/>
      <c r="TYX12" s="2"/>
      <c r="TYY12" s="2"/>
      <c r="TZJ12" s="29"/>
      <c r="TZK12" s="2"/>
      <c r="TZL12" s="2"/>
      <c r="TZW12" s="29"/>
      <c r="TZX12" s="2"/>
      <c r="TZY12" s="2"/>
      <c r="UAJ12" s="29"/>
      <c r="UAK12" s="2"/>
      <c r="UAL12" s="2"/>
      <c r="UAW12" s="29"/>
      <c r="UAX12" s="2"/>
      <c r="UAY12" s="2"/>
      <c r="UBJ12" s="29"/>
      <c r="UBK12" s="2"/>
      <c r="UBL12" s="2"/>
      <c r="UBW12" s="29"/>
      <c r="UBX12" s="2"/>
      <c r="UBY12" s="2"/>
      <c r="UCJ12" s="29"/>
      <c r="UCK12" s="2"/>
      <c r="UCL12" s="2"/>
      <c r="UCW12" s="29"/>
      <c r="UCX12" s="2"/>
      <c r="UCY12" s="2"/>
      <c r="UDJ12" s="29"/>
      <c r="UDK12" s="2"/>
      <c r="UDL12" s="2"/>
      <c r="UDW12" s="29"/>
      <c r="UDX12" s="2"/>
      <c r="UDY12" s="2"/>
      <c r="UEJ12" s="29"/>
      <c r="UEK12" s="2"/>
      <c r="UEL12" s="2"/>
      <c r="UEW12" s="29"/>
      <c r="UEX12" s="2"/>
      <c r="UEY12" s="2"/>
      <c r="UFJ12" s="29"/>
      <c r="UFK12" s="2"/>
      <c r="UFL12" s="2"/>
      <c r="UFW12" s="29"/>
      <c r="UFX12" s="2"/>
      <c r="UFY12" s="2"/>
      <c r="UGJ12" s="29"/>
      <c r="UGK12" s="2"/>
      <c r="UGL12" s="2"/>
      <c r="UGW12" s="29"/>
      <c r="UGX12" s="2"/>
      <c r="UGY12" s="2"/>
      <c r="UHJ12" s="29"/>
      <c r="UHK12" s="2"/>
      <c r="UHL12" s="2"/>
      <c r="UHW12" s="29"/>
      <c r="UHX12" s="2"/>
      <c r="UHY12" s="2"/>
      <c r="UIJ12" s="29"/>
      <c r="UIK12" s="2"/>
      <c r="UIL12" s="2"/>
      <c r="UIW12" s="29"/>
      <c r="UIX12" s="2"/>
      <c r="UIY12" s="2"/>
      <c r="UJJ12" s="29"/>
      <c r="UJK12" s="2"/>
      <c r="UJL12" s="2"/>
      <c r="UJW12" s="29"/>
      <c r="UJX12" s="2"/>
      <c r="UJY12" s="2"/>
      <c r="UKJ12" s="29"/>
      <c r="UKK12" s="2"/>
      <c r="UKL12" s="2"/>
      <c r="UKW12" s="29"/>
      <c r="UKX12" s="2"/>
      <c r="UKY12" s="2"/>
      <c r="ULJ12" s="29"/>
      <c r="ULK12" s="2"/>
      <c r="ULL12" s="2"/>
      <c r="ULW12" s="29"/>
      <c r="ULX12" s="2"/>
      <c r="ULY12" s="2"/>
      <c r="UMJ12" s="29"/>
      <c r="UMK12" s="2"/>
      <c r="UML12" s="2"/>
      <c r="UMW12" s="29"/>
      <c r="UMX12" s="2"/>
      <c r="UMY12" s="2"/>
      <c r="UNJ12" s="29"/>
      <c r="UNK12" s="2"/>
      <c r="UNL12" s="2"/>
      <c r="UNW12" s="29"/>
      <c r="UNX12" s="2"/>
      <c r="UNY12" s="2"/>
      <c r="UOJ12" s="29"/>
      <c r="UOK12" s="2"/>
      <c r="UOL12" s="2"/>
      <c r="UOW12" s="29"/>
      <c r="UOX12" s="2"/>
      <c r="UOY12" s="2"/>
      <c r="UPJ12" s="29"/>
      <c r="UPK12" s="2"/>
      <c r="UPL12" s="2"/>
      <c r="UPW12" s="29"/>
      <c r="UPX12" s="2"/>
      <c r="UPY12" s="2"/>
      <c r="UQJ12" s="29"/>
      <c r="UQK12" s="2"/>
      <c r="UQL12" s="2"/>
      <c r="UQW12" s="29"/>
      <c r="UQX12" s="2"/>
      <c r="UQY12" s="2"/>
      <c r="URJ12" s="29"/>
      <c r="URK12" s="2"/>
      <c r="URL12" s="2"/>
      <c r="URW12" s="29"/>
      <c r="URX12" s="2"/>
      <c r="URY12" s="2"/>
      <c r="USJ12" s="29"/>
      <c r="USK12" s="2"/>
      <c r="USL12" s="2"/>
      <c r="USW12" s="29"/>
      <c r="USX12" s="2"/>
      <c r="USY12" s="2"/>
      <c r="UTJ12" s="29"/>
      <c r="UTK12" s="2"/>
      <c r="UTL12" s="2"/>
      <c r="UTW12" s="29"/>
      <c r="UTX12" s="2"/>
      <c r="UTY12" s="2"/>
      <c r="UUJ12" s="29"/>
      <c r="UUK12" s="2"/>
      <c r="UUL12" s="2"/>
      <c r="UUW12" s="29"/>
      <c r="UUX12" s="2"/>
      <c r="UUY12" s="2"/>
      <c r="UVJ12" s="29"/>
      <c r="UVK12" s="2"/>
      <c r="UVL12" s="2"/>
      <c r="UVW12" s="29"/>
      <c r="UVX12" s="2"/>
      <c r="UVY12" s="2"/>
      <c r="UWJ12" s="29"/>
      <c r="UWK12" s="2"/>
      <c r="UWL12" s="2"/>
      <c r="UWW12" s="29"/>
      <c r="UWX12" s="2"/>
      <c r="UWY12" s="2"/>
      <c r="UXJ12" s="29"/>
      <c r="UXK12" s="2"/>
      <c r="UXL12" s="2"/>
      <c r="UXW12" s="29"/>
      <c r="UXX12" s="2"/>
      <c r="UXY12" s="2"/>
      <c r="UYJ12" s="29"/>
      <c r="UYK12" s="2"/>
      <c r="UYL12" s="2"/>
      <c r="UYW12" s="29"/>
      <c r="UYX12" s="2"/>
      <c r="UYY12" s="2"/>
      <c r="UZJ12" s="29"/>
      <c r="UZK12" s="2"/>
      <c r="UZL12" s="2"/>
      <c r="UZW12" s="29"/>
      <c r="UZX12" s="2"/>
      <c r="UZY12" s="2"/>
      <c r="VAJ12" s="29"/>
      <c r="VAK12" s="2"/>
      <c r="VAL12" s="2"/>
      <c r="VAW12" s="29"/>
      <c r="VAX12" s="2"/>
      <c r="VAY12" s="2"/>
      <c r="VBJ12" s="29"/>
      <c r="VBK12" s="2"/>
      <c r="VBL12" s="2"/>
      <c r="VBW12" s="29"/>
      <c r="VBX12" s="2"/>
      <c r="VBY12" s="2"/>
      <c r="VCJ12" s="29"/>
      <c r="VCK12" s="2"/>
      <c r="VCL12" s="2"/>
      <c r="VCW12" s="29"/>
      <c r="VCX12" s="2"/>
      <c r="VCY12" s="2"/>
      <c r="VDJ12" s="29"/>
      <c r="VDK12" s="2"/>
      <c r="VDL12" s="2"/>
      <c r="VDW12" s="29"/>
      <c r="VDX12" s="2"/>
      <c r="VDY12" s="2"/>
      <c r="VEJ12" s="29"/>
      <c r="VEK12" s="2"/>
      <c r="VEL12" s="2"/>
      <c r="VEW12" s="29"/>
      <c r="VEX12" s="2"/>
      <c r="VEY12" s="2"/>
      <c r="VFJ12" s="29"/>
      <c r="VFK12" s="2"/>
      <c r="VFL12" s="2"/>
      <c r="VFW12" s="29"/>
      <c r="VFX12" s="2"/>
      <c r="VFY12" s="2"/>
      <c r="VGJ12" s="29"/>
      <c r="VGK12" s="2"/>
      <c r="VGL12" s="2"/>
      <c r="VGW12" s="29"/>
      <c r="VGX12" s="2"/>
      <c r="VGY12" s="2"/>
      <c r="VHJ12" s="29"/>
      <c r="VHK12" s="2"/>
      <c r="VHL12" s="2"/>
      <c r="VHW12" s="29"/>
      <c r="VHX12" s="2"/>
      <c r="VHY12" s="2"/>
      <c r="VIJ12" s="29"/>
      <c r="VIK12" s="2"/>
      <c r="VIL12" s="2"/>
      <c r="VIW12" s="29"/>
      <c r="VIX12" s="2"/>
      <c r="VIY12" s="2"/>
      <c r="VJJ12" s="29"/>
      <c r="VJK12" s="2"/>
      <c r="VJL12" s="2"/>
      <c r="VJW12" s="29"/>
      <c r="VJX12" s="2"/>
      <c r="VJY12" s="2"/>
      <c r="VKJ12" s="29"/>
      <c r="VKK12" s="2"/>
      <c r="VKL12" s="2"/>
      <c r="VKW12" s="29"/>
      <c r="VKX12" s="2"/>
      <c r="VKY12" s="2"/>
      <c r="VLJ12" s="29"/>
      <c r="VLK12" s="2"/>
      <c r="VLL12" s="2"/>
      <c r="VLW12" s="29"/>
      <c r="VLX12" s="2"/>
      <c r="VLY12" s="2"/>
      <c r="VMJ12" s="29"/>
      <c r="VMK12" s="2"/>
      <c r="VML12" s="2"/>
      <c r="VMW12" s="29"/>
      <c r="VMX12" s="2"/>
      <c r="VMY12" s="2"/>
      <c r="VNJ12" s="29"/>
      <c r="VNK12" s="2"/>
      <c r="VNL12" s="2"/>
      <c r="VNW12" s="29"/>
      <c r="VNX12" s="2"/>
      <c r="VNY12" s="2"/>
      <c r="VOJ12" s="29"/>
      <c r="VOK12" s="2"/>
      <c r="VOL12" s="2"/>
      <c r="VOW12" s="29"/>
      <c r="VOX12" s="2"/>
      <c r="VOY12" s="2"/>
      <c r="VPJ12" s="29"/>
      <c r="VPK12" s="2"/>
      <c r="VPL12" s="2"/>
      <c r="VPW12" s="29"/>
      <c r="VPX12" s="2"/>
      <c r="VPY12" s="2"/>
      <c r="VQJ12" s="29"/>
      <c r="VQK12" s="2"/>
      <c r="VQL12" s="2"/>
      <c r="VQW12" s="29"/>
      <c r="VQX12" s="2"/>
      <c r="VQY12" s="2"/>
      <c r="VRJ12" s="29"/>
      <c r="VRK12" s="2"/>
      <c r="VRL12" s="2"/>
      <c r="VRW12" s="29"/>
      <c r="VRX12" s="2"/>
      <c r="VRY12" s="2"/>
      <c r="VSJ12" s="29"/>
      <c r="VSK12" s="2"/>
      <c r="VSL12" s="2"/>
      <c r="VSW12" s="29"/>
      <c r="VSX12" s="2"/>
      <c r="VSY12" s="2"/>
      <c r="VTJ12" s="29"/>
      <c r="VTK12" s="2"/>
      <c r="VTL12" s="2"/>
      <c r="VTW12" s="29"/>
      <c r="VTX12" s="2"/>
      <c r="VTY12" s="2"/>
      <c r="VUJ12" s="29"/>
      <c r="VUK12" s="2"/>
      <c r="VUL12" s="2"/>
      <c r="VUW12" s="29"/>
      <c r="VUX12" s="2"/>
      <c r="VUY12" s="2"/>
      <c r="VVJ12" s="29"/>
      <c r="VVK12" s="2"/>
      <c r="VVL12" s="2"/>
      <c r="VVW12" s="29"/>
      <c r="VVX12" s="2"/>
      <c r="VVY12" s="2"/>
      <c r="VWJ12" s="29"/>
      <c r="VWK12" s="2"/>
      <c r="VWL12" s="2"/>
      <c r="VWW12" s="29"/>
      <c r="VWX12" s="2"/>
      <c r="VWY12" s="2"/>
      <c r="VXJ12" s="29"/>
      <c r="VXK12" s="2"/>
      <c r="VXL12" s="2"/>
      <c r="VXW12" s="29"/>
      <c r="VXX12" s="2"/>
      <c r="VXY12" s="2"/>
      <c r="VYJ12" s="29"/>
      <c r="VYK12" s="2"/>
      <c r="VYL12" s="2"/>
      <c r="VYW12" s="29"/>
      <c r="VYX12" s="2"/>
      <c r="VYY12" s="2"/>
      <c r="VZJ12" s="29"/>
      <c r="VZK12" s="2"/>
      <c r="VZL12" s="2"/>
      <c r="VZW12" s="29"/>
      <c r="VZX12" s="2"/>
      <c r="VZY12" s="2"/>
      <c r="WAJ12" s="29"/>
      <c r="WAK12" s="2"/>
      <c r="WAL12" s="2"/>
      <c r="WAW12" s="29"/>
      <c r="WAX12" s="2"/>
      <c r="WAY12" s="2"/>
      <c r="WBJ12" s="29"/>
      <c r="WBK12" s="2"/>
      <c r="WBL12" s="2"/>
      <c r="WBW12" s="29"/>
      <c r="WBX12" s="2"/>
      <c r="WBY12" s="2"/>
      <c r="WCJ12" s="29"/>
      <c r="WCK12" s="2"/>
      <c r="WCL12" s="2"/>
      <c r="WCW12" s="29"/>
      <c r="WCX12" s="2"/>
      <c r="WCY12" s="2"/>
      <c r="WDJ12" s="29"/>
      <c r="WDK12" s="2"/>
      <c r="WDL12" s="2"/>
      <c r="WDW12" s="29"/>
      <c r="WDX12" s="2"/>
      <c r="WDY12" s="2"/>
      <c r="WEJ12" s="29"/>
      <c r="WEK12" s="2"/>
      <c r="WEL12" s="2"/>
      <c r="WEW12" s="29"/>
      <c r="WEX12" s="2"/>
      <c r="WEY12" s="2"/>
      <c r="WFJ12" s="29"/>
      <c r="WFK12" s="2"/>
      <c r="WFL12" s="2"/>
      <c r="WFW12" s="29"/>
      <c r="WFX12" s="2"/>
      <c r="WFY12" s="2"/>
      <c r="WGJ12" s="29"/>
      <c r="WGK12" s="2"/>
      <c r="WGL12" s="2"/>
      <c r="WGW12" s="29"/>
      <c r="WGX12" s="2"/>
      <c r="WGY12" s="2"/>
      <c r="WHJ12" s="29"/>
      <c r="WHK12" s="2"/>
      <c r="WHL12" s="2"/>
      <c r="WHW12" s="29"/>
      <c r="WHX12" s="2"/>
      <c r="WHY12" s="2"/>
      <c r="WIJ12" s="29"/>
      <c r="WIK12" s="2"/>
      <c r="WIL12" s="2"/>
      <c r="WIW12" s="29"/>
      <c r="WIX12" s="2"/>
      <c r="WIY12" s="2"/>
      <c r="WJJ12" s="29"/>
      <c r="WJK12" s="2"/>
      <c r="WJL12" s="2"/>
      <c r="WJW12" s="29"/>
      <c r="WJX12" s="2"/>
      <c r="WJY12" s="2"/>
      <c r="WKJ12" s="29"/>
      <c r="WKK12" s="2"/>
      <c r="WKL12" s="2"/>
      <c r="WKW12" s="29"/>
      <c r="WKX12" s="2"/>
      <c r="WKY12" s="2"/>
      <c r="WLJ12" s="29"/>
      <c r="WLK12" s="2"/>
      <c r="WLL12" s="2"/>
      <c r="WLW12" s="29"/>
      <c r="WLX12" s="2"/>
      <c r="WLY12" s="2"/>
      <c r="WMJ12" s="29"/>
      <c r="WMK12" s="2"/>
      <c r="WML12" s="2"/>
      <c r="WMW12" s="29"/>
      <c r="WMX12" s="2"/>
      <c r="WMY12" s="2"/>
      <c r="WNJ12" s="29"/>
      <c r="WNK12" s="2"/>
      <c r="WNL12" s="2"/>
      <c r="WNW12" s="29"/>
      <c r="WNX12" s="2"/>
      <c r="WNY12" s="2"/>
      <c r="WOJ12" s="29"/>
      <c r="WOK12" s="2"/>
      <c r="WOL12" s="2"/>
      <c r="WOW12" s="29"/>
      <c r="WOX12" s="2"/>
      <c r="WOY12" s="2"/>
      <c r="WPJ12" s="29"/>
      <c r="WPK12" s="2"/>
      <c r="WPL12" s="2"/>
      <c r="WPW12" s="29"/>
      <c r="WPX12" s="2"/>
      <c r="WPY12" s="2"/>
      <c r="WQJ12" s="29"/>
      <c r="WQK12" s="2"/>
      <c r="WQL12" s="2"/>
      <c r="WQW12" s="29"/>
      <c r="WQX12" s="2"/>
      <c r="WQY12" s="2"/>
      <c r="WRJ12" s="29"/>
      <c r="WRK12" s="2"/>
      <c r="WRL12" s="2"/>
      <c r="WRW12" s="29"/>
      <c r="WRX12" s="2"/>
      <c r="WRY12" s="2"/>
      <c r="WSJ12" s="29"/>
      <c r="WSK12" s="2"/>
      <c r="WSL12" s="2"/>
      <c r="WSW12" s="29"/>
      <c r="WSX12" s="2"/>
      <c r="WSY12" s="2"/>
      <c r="WTJ12" s="29"/>
      <c r="WTK12" s="2"/>
      <c r="WTL12" s="2"/>
      <c r="WTW12" s="29"/>
      <c r="WTX12" s="2"/>
      <c r="WTY12" s="2"/>
      <c r="WUJ12" s="29"/>
      <c r="WUK12" s="2"/>
      <c r="WUL12" s="2"/>
      <c r="WUW12" s="29"/>
      <c r="WUX12" s="2"/>
      <c r="WUY12" s="2"/>
      <c r="WVJ12" s="29"/>
      <c r="WVK12" s="2"/>
      <c r="WVL12" s="2"/>
      <c r="WVW12" s="29"/>
      <c r="WVX12" s="2"/>
      <c r="WVY12" s="2"/>
      <c r="WWJ12" s="29"/>
      <c r="WWK12" s="2"/>
      <c r="WWL12" s="2"/>
      <c r="WWW12" s="29"/>
      <c r="WWX12" s="2"/>
      <c r="WWY12" s="2"/>
      <c r="WXJ12" s="29"/>
      <c r="WXK12" s="2"/>
      <c r="WXL12" s="2"/>
      <c r="WXW12" s="29"/>
      <c r="WXX12" s="2"/>
      <c r="WXY12" s="2"/>
      <c r="WYJ12" s="29"/>
      <c r="WYK12" s="2"/>
      <c r="WYL12" s="2"/>
      <c r="WYW12" s="29"/>
      <c r="WYX12" s="2"/>
      <c r="WYY12" s="2"/>
      <c r="WZJ12" s="29"/>
      <c r="WZK12" s="2"/>
      <c r="WZL12" s="2"/>
      <c r="WZW12" s="29"/>
      <c r="WZX12" s="2"/>
      <c r="WZY12" s="2"/>
      <c r="XAJ12" s="29"/>
      <c r="XAK12" s="2"/>
      <c r="XAL12" s="2"/>
      <c r="XAW12" s="29"/>
      <c r="XAX12" s="2"/>
      <c r="XAY12" s="2"/>
      <c r="XBJ12" s="29"/>
      <c r="XBK12" s="2"/>
      <c r="XBL12" s="2"/>
      <c r="XBW12" s="29"/>
      <c r="XBX12" s="2"/>
      <c r="XBY12" s="2"/>
      <c r="XCJ12" s="29"/>
      <c r="XCK12" s="2"/>
      <c r="XCL12" s="2"/>
      <c r="XCW12" s="29"/>
      <c r="XCX12" s="2"/>
      <c r="XCY12" s="2"/>
      <c r="XDJ12" s="29"/>
      <c r="XDK12" s="2"/>
      <c r="XDL12" s="2"/>
      <c r="XDW12" s="29"/>
      <c r="XDX12" s="2"/>
      <c r="XDY12" s="2"/>
      <c r="XEJ12" s="29"/>
      <c r="XEK12" s="2"/>
      <c r="XEL12" s="2"/>
      <c r="XEW12" s="29"/>
      <c r="XEX12" s="2"/>
      <c r="XEY12" s="2"/>
    </row>
    <row r="13" spans="1:2041 2051:3068 3078:4095 4105:6136 6146:7163 7173:8190 8200:10231 10241:11258 11268:12285 12295:13312 13322:15353 15363:16380" s="63" customFormat="1" ht="15" customHeight="1" x14ac:dyDescent="0.2">
      <c r="A13" s="841"/>
      <c r="B13" s="581" t="s">
        <v>958</v>
      </c>
      <c r="D13" s="3"/>
      <c r="K13" s="2"/>
      <c r="L13" s="699"/>
      <c r="M13" s="2"/>
      <c r="N13" s="55"/>
      <c r="S13" s="155"/>
      <c r="T13" s="1"/>
      <c r="U13" s="1"/>
      <c r="V13" s="1"/>
      <c r="W13" s="1"/>
      <c r="X13" s="1"/>
      <c r="Y13" s="1"/>
      <c r="Z13" s="2"/>
      <c r="AD13" s="49"/>
      <c r="BK13" s="2"/>
      <c r="BL13" s="2"/>
      <c r="BM13" s="2"/>
      <c r="BX13" s="2"/>
      <c r="BY13" s="2"/>
      <c r="BZ13" s="2"/>
      <c r="CK13" s="2"/>
      <c r="CL13" s="2"/>
      <c r="CM13" s="2"/>
      <c r="CX13" s="2"/>
      <c r="CY13" s="2"/>
      <c r="CZ13" s="2"/>
      <c r="DK13" s="2"/>
      <c r="DL13" s="2"/>
      <c r="DM13" s="2"/>
      <c r="DX13" s="2"/>
      <c r="DY13" s="2"/>
      <c r="DZ13" s="2"/>
      <c r="EK13" s="2"/>
      <c r="EL13" s="2"/>
      <c r="EM13" s="2"/>
      <c r="EX13" s="2"/>
      <c r="EY13" s="2"/>
      <c r="EZ13" s="2"/>
      <c r="FK13" s="2"/>
      <c r="FL13" s="2"/>
      <c r="FM13" s="2"/>
      <c r="FX13" s="2"/>
      <c r="FY13" s="2"/>
      <c r="FZ13" s="2"/>
      <c r="GK13" s="2"/>
      <c r="GL13" s="2"/>
      <c r="GM13" s="2"/>
      <c r="GX13" s="2"/>
      <c r="GY13" s="2"/>
      <c r="GZ13" s="2"/>
      <c r="HK13" s="2"/>
      <c r="HL13" s="2"/>
      <c r="HM13" s="2"/>
      <c r="HX13" s="2"/>
      <c r="HY13" s="2"/>
      <c r="HZ13" s="2"/>
      <c r="IK13" s="2"/>
      <c r="IL13" s="2"/>
      <c r="IM13" s="2"/>
      <c r="IX13" s="2"/>
      <c r="IY13" s="2"/>
      <c r="IZ13" s="2"/>
      <c r="JK13" s="2"/>
      <c r="JL13" s="2"/>
      <c r="JM13" s="2"/>
      <c r="JX13" s="2"/>
      <c r="JY13" s="2"/>
      <c r="JZ13" s="2"/>
      <c r="KK13" s="2"/>
      <c r="KL13" s="2"/>
      <c r="KM13" s="2"/>
      <c r="KX13" s="2"/>
      <c r="KY13" s="2"/>
      <c r="KZ13" s="2"/>
      <c r="LK13" s="2"/>
      <c r="LL13" s="2"/>
      <c r="LM13" s="2"/>
      <c r="LX13" s="2"/>
      <c r="LY13" s="2"/>
      <c r="LZ13" s="2"/>
      <c r="MK13" s="2"/>
      <c r="ML13" s="2"/>
      <c r="MM13" s="2"/>
      <c r="MX13" s="2"/>
      <c r="MY13" s="2"/>
      <c r="MZ13" s="2"/>
      <c r="NK13" s="2"/>
      <c r="NL13" s="2"/>
      <c r="NM13" s="2"/>
      <c r="NX13" s="2"/>
      <c r="NY13" s="2"/>
      <c r="NZ13" s="2"/>
      <c r="OK13" s="2"/>
      <c r="OL13" s="2"/>
      <c r="OM13" s="2"/>
      <c r="OX13" s="2"/>
      <c r="OY13" s="2"/>
      <c r="OZ13" s="2"/>
      <c r="PK13" s="2"/>
      <c r="PL13" s="2"/>
      <c r="PM13" s="2"/>
      <c r="PX13" s="2"/>
      <c r="PY13" s="2"/>
      <c r="PZ13" s="2"/>
      <c r="QK13" s="2"/>
      <c r="QL13" s="2"/>
      <c r="QM13" s="2"/>
      <c r="QX13" s="2"/>
      <c r="QY13" s="2"/>
      <c r="QZ13" s="2"/>
      <c r="RK13" s="2"/>
      <c r="RL13" s="2"/>
      <c r="RM13" s="2"/>
      <c r="RX13" s="2"/>
      <c r="RY13" s="2"/>
      <c r="RZ13" s="2"/>
      <c r="SK13" s="2"/>
      <c r="SL13" s="2"/>
      <c r="SM13" s="2"/>
      <c r="SX13" s="2"/>
      <c r="SY13" s="2"/>
      <c r="SZ13" s="2"/>
      <c r="TK13" s="2"/>
      <c r="TL13" s="2"/>
      <c r="TM13" s="2"/>
      <c r="TX13" s="2"/>
      <c r="TY13" s="2"/>
      <c r="TZ13" s="2"/>
      <c r="UK13" s="2"/>
      <c r="UL13" s="2"/>
      <c r="UM13" s="2"/>
      <c r="UX13" s="2"/>
      <c r="UY13" s="2"/>
      <c r="UZ13" s="2"/>
      <c r="VK13" s="2"/>
      <c r="VL13" s="2"/>
      <c r="VM13" s="2"/>
      <c r="VX13" s="2"/>
      <c r="VY13" s="2"/>
      <c r="VZ13" s="2"/>
      <c r="WK13" s="2"/>
      <c r="WL13" s="2"/>
      <c r="WM13" s="2"/>
      <c r="WX13" s="2"/>
      <c r="WY13" s="2"/>
      <c r="WZ13" s="2"/>
      <c r="XK13" s="2"/>
      <c r="XL13" s="2"/>
      <c r="XM13" s="2"/>
      <c r="XX13" s="2"/>
      <c r="XY13" s="2"/>
      <c r="XZ13" s="2"/>
      <c r="YK13" s="2"/>
      <c r="YL13" s="2"/>
      <c r="YM13" s="2"/>
      <c r="YX13" s="2"/>
      <c r="YY13" s="2"/>
      <c r="YZ13" s="2"/>
      <c r="ZK13" s="2"/>
      <c r="ZL13" s="2"/>
      <c r="ZM13" s="2"/>
      <c r="ZX13" s="2"/>
      <c r="ZY13" s="2"/>
      <c r="ZZ13" s="2"/>
      <c r="AAK13" s="2"/>
      <c r="AAL13" s="2"/>
      <c r="AAM13" s="2"/>
      <c r="AAX13" s="2"/>
      <c r="AAY13" s="2"/>
      <c r="AAZ13" s="2"/>
      <c r="ABK13" s="2"/>
      <c r="ABL13" s="2"/>
      <c r="ABM13" s="2"/>
      <c r="ABX13" s="2"/>
      <c r="ABY13" s="2"/>
      <c r="ABZ13" s="2"/>
      <c r="ACK13" s="2"/>
      <c r="ACL13" s="2"/>
      <c r="ACM13" s="2"/>
      <c r="ACX13" s="2"/>
      <c r="ACY13" s="2"/>
      <c r="ACZ13" s="2"/>
      <c r="ADK13" s="2"/>
      <c r="ADL13" s="2"/>
      <c r="ADM13" s="2"/>
      <c r="ADX13" s="2"/>
      <c r="ADY13" s="2"/>
      <c r="ADZ13" s="2"/>
      <c r="AEK13" s="2"/>
      <c r="AEL13" s="2"/>
      <c r="AEM13" s="2"/>
      <c r="AEX13" s="2"/>
      <c r="AEY13" s="2"/>
      <c r="AEZ13" s="2"/>
      <c r="AFK13" s="2"/>
      <c r="AFL13" s="2"/>
      <c r="AFM13" s="2"/>
      <c r="AFX13" s="2"/>
      <c r="AFY13" s="2"/>
      <c r="AFZ13" s="2"/>
      <c r="AGK13" s="2"/>
      <c r="AGL13" s="2"/>
      <c r="AGM13" s="2"/>
      <c r="AGX13" s="2"/>
      <c r="AGY13" s="2"/>
      <c r="AGZ13" s="2"/>
      <c r="AHK13" s="2"/>
      <c r="AHL13" s="2"/>
      <c r="AHM13" s="2"/>
      <c r="AHX13" s="2"/>
      <c r="AHY13" s="2"/>
      <c r="AHZ13" s="2"/>
      <c r="AIK13" s="2"/>
      <c r="AIL13" s="2"/>
      <c r="AIM13" s="2"/>
      <c r="AIX13" s="2"/>
      <c r="AIY13" s="2"/>
      <c r="AIZ13" s="2"/>
      <c r="AJK13" s="2"/>
      <c r="AJL13" s="2"/>
      <c r="AJM13" s="2"/>
      <c r="AJX13" s="2"/>
      <c r="AJY13" s="2"/>
      <c r="AJZ13" s="2"/>
      <c r="AKK13" s="2"/>
      <c r="AKL13" s="2"/>
      <c r="AKM13" s="2"/>
      <c r="AKX13" s="2"/>
      <c r="AKY13" s="2"/>
      <c r="AKZ13" s="2"/>
      <c r="ALK13" s="2"/>
      <c r="ALL13" s="2"/>
      <c r="ALM13" s="2"/>
      <c r="ALX13" s="2"/>
      <c r="ALY13" s="2"/>
      <c r="ALZ13" s="2"/>
      <c r="AMK13" s="2"/>
      <c r="AML13" s="2"/>
      <c r="AMM13" s="2"/>
      <c r="AMX13" s="2"/>
      <c r="AMY13" s="2"/>
      <c r="AMZ13" s="2"/>
      <c r="ANK13" s="2"/>
      <c r="ANL13" s="2"/>
      <c r="ANM13" s="2"/>
      <c r="ANX13" s="2"/>
      <c r="ANY13" s="2"/>
      <c r="ANZ13" s="2"/>
      <c r="AOK13" s="2"/>
      <c r="AOL13" s="2"/>
      <c r="AOM13" s="2"/>
      <c r="AOX13" s="2"/>
      <c r="AOY13" s="2"/>
      <c r="AOZ13" s="2"/>
      <c r="APK13" s="2"/>
      <c r="APL13" s="2"/>
      <c r="APM13" s="2"/>
      <c r="APX13" s="2"/>
      <c r="APY13" s="2"/>
      <c r="APZ13" s="2"/>
      <c r="AQK13" s="2"/>
      <c r="AQL13" s="2"/>
      <c r="AQM13" s="2"/>
      <c r="AQX13" s="2"/>
      <c r="AQY13" s="2"/>
      <c r="AQZ13" s="2"/>
      <c r="ARK13" s="2"/>
      <c r="ARL13" s="2"/>
      <c r="ARM13" s="2"/>
      <c r="ARX13" s="2"/>
      <c r="ARY13" s="2"/>
      <c r="ARZ13" s="2"/>
      <c r="ASK13" s="2"/>
      <c r="ASL13" s="2"/>
      <c r="ASM13" s="2"/>
      <c r="ASX13" s="2"/>
      <c r="ASY13" s="2"/>
      <c r="ASZ13" s="2"/>
      <c r="ATK13" s="2"/>
      <c r="ATL13" s="2"/>
      <c r="ATM13" s="2"/>
      <c r="ATX13" s="2"/>
      <c r="ATY13" s="2"/>
      <c r="ATZ13" s="2"/>
      <c r="AUK13" s="2"/>
      <c r="AUL13" s="2"/>
      <c r="AUM13" s="2"/>
      <c r="AUX13" s="2"/>
      <c r="AUY13" s="2"/>
      <c r="AUZ13" s="2"/>
      <c r="AVK13" s="2"/>
      <c r="AVL13" s="2"/>
      <c r="AVM13" s="2"/>
      <c r="AVX13" s="2"/>
      <c r="AVY13" s="2"/>
      <c r="AVZ13" s="2"/>
      <c r="AWK13" s="2"/>
      <c r="AWL13" s="2"/>
      <c r="AWM13" s="2"/>
      <c r="AWX13" s="2"/>
      <c r="AWY13" s="2"/>
      <c r="AWZ13" s="2"/>
      <c r="AXK13" s="2"/>
      <c r="AXL13" s="2"/>
      <c r="AXM13" s="2"/>
      <c r="AXX13" s="2"/>
      <c r="AXY13" s="2"/>
      <c r="AXZ13" s="2"/>
      <c r="AYK13" s="2"/>
      <c r="AYL13" s="2"/>
      <c r="AYM13" s="2"/>
      <c r="AYX13" s="2"/>
      <c r="AYY13" s="2"/>
      <c r="AYZ13" s="2"/>
      <c r="AZK13" s="2"/>
      <c r="AZL13" s="2"/>
      <c r="AZM13" s="2"/>
      <c r="AZX13" s="2"/>
      <c r="AZY13" s="2"/>
      <c r="AZZ13" s="2"/>
      <c r="BAK13" s="2"/>
      <c r="BAL13" s="2"/>
      <c r="BAM13" s="2"/>
      <c r="BAX13" s="2"/>
      <c r="BAY13" s="2"/>
      <c r="BAZ13" s="2"/>
      <c r="BBK13" s="2"/>
      <c r="BBL13" s="2"/>
      <c r="BBM13" s="2"/>
      <c r="BBX13" s="2"/>
      <c r="BBY13" s="2"/>
      <c r="BBZ13" s="2"/>
      <c r="BCK13" s="2"/>
      <c r="BCL13" s="2"/>
      <c r="BCM13" s="2"/>
      <c r="BCX13" s="2"/>
      <c r="BCY13" s="2"/>
      <c r="BCZ13" s="2"/>
      <c r="BDK13" s="2"/>
      <c r="BDL13" s="2"/>
      <c r="BDM13" s="2"/>
      <c r="BDX13" s="2"/>
      <c r="BDY13" s="2"/>
      <c r="BDZ13" s="2"/>
      <c r="BEK13" s="2"/>
      <c r="BEL13" s="2"/>
      <c r="BEM13" s="2"/>
      <c r="BEX13" s="2"/>
      <c r="BEY13" s="2"/>
      <c r="BEZ13" s="2"/>
      <c r="BFK13" s="2"/>
      <c r="BFL13" s="2"/>
      <c r="BFM13" s="2"/>
      <c r="BFX13" s="2"/>
      <c r="BFY13" s="2"/>
      <c r="BFZ13" s="2"/>
      <c r="BGK13" s="2"/>
      <c r="BGL13" s="2"/>
      <c r="BGM13" s="2"/>
      <c r="BGX13" s="2"/>
      <c r="BGY13" s="2"/>
      <c r="BGZ13" s="2"/>
      <c r="BHK13" s="2"/>
      <c r="BHL13" s="2"/>
      <c r="BHM13" s="2"/>
      <c r="BHX13" s="2"/>
      <c r="BHY13" s="2"/>
      <c r="BHZ13" s="2"/>
      <c r="BIK13" s="2"/>
      <c r="BIL13" s="2"/>
      <c r="BIM13" s="2"/>
      <c r="BIX13" s="2"/>
      <c r="BIY13" s="2"/>
      <c r="BIZ13" s="2"/>
      <c r="BJK13" s="2"/>
      <c r="BJL13" s="2"/>
      <c r="BJM13" s="2"/>
      <c r="BJX13" s="2"/>
      <c r="BJY13" s="2"/>
      <c r="BJZ13" s="2"/>
      <c r="BKK13" s="2"/>
      <c r="BKL13" s="2"/>
      <c r="BKM13" s="2"/>
      <c r="BKX13" s="2"/>
      <c r="BKY13" s="2"/>
      <c r="BKZ13" s="2"/>
      <c r="BLK13" s="2"/>
      <c r="BLL13" s="2"/>
      <c r="BLM13" s="2"/>
      <c r="BLX13" s="2"/>
      <c r="BLY13" s="2"/>
      <c r="BLZ13" s="2"/>
      <c r="BMK13" s="2"/>
      <c r="BML13" s="2"/>
      <c r="BMM13" s="2"/>
      <c r="BMX13" s="2"/>
      <c r="BMY13" s="2"/>
      <c r="BMZ13" s="2"/>
      <c r="BNK13" s="2"/>
      <c r="BNL13" s="2"/>
      <c r="BNM13" s="2"/>
      <c r="BNX13" s="2"/>
      <c r="BNY13" s="2"/>
      <c r="BNZ13" s="2"/>
      <c r="BOK13" s="2"/>
      <c r="BOL13" s="2"/>
      <c r="BOM13" s="2"/>
      <c r="BOX13" s="2"/>
      <c r="BOY13" s="2"/>
      <c r="BOZ13" s="2"/>
      <c r="BPK13" s="2"/>
      <c r="BPL13" s="2"/>
      <c r="BPM13" s="2"/>
      <c r="BPX13" s="2"/>
      <c r="BPY13" s="2"/>
      <c r="BPZ13" s="2"/>
      <c r="BQK13" s="2"/>
      <c r="BQL13" s="2"/>
      <c r="BQM13" s="2"/>
      <c r="BQX13" s="2"/>
      <c r="BQY13" s="2"/>
      <c r="BQZ13" s="2"/>
      <c r="BRK13" s="2"/>
      <c r="BRL13" s="2"/>
      <c r="BRM13" s="2"/>
      <c r="BRX13" s="2"/>
      <c r="BRY13" s="2"/>
      <c r="BRZ13" s="2"/>
      <c r="BSK13" s="2"/>
      <c r="BSL13" s="2"/>
      <c r="BSM13" s="2"/>
      <c r="BSX13" s="2"/>
      <c r="BSY13" s="2"/>
      <c r="BSZ13" s="2"/>
      <c r="BTK13" s="2"/>
      <c r="BTL13" s="2"/>
      <c r="BTM13" s="2"/>
      <c r="BTX13" s="2"/>
      <c r="BTY13" s="2"/>
      <c r="BTZ13" s="2"/>
      <c r="BUK13" s="2"/>
      <c r="BUL13" s="2"/>
      <c r="BUM13" s="2"/>
      <c r="BUX13" s="2"/>
      <c r="BUY13" s="2"/>
      <c r="BUZ13" s="2"/>
      <c r="BVK13" s="2"/>
      <c r="BVL13" s="2"/>
      <c r="BVM13" s="2"/>
      <c r="BVX13" s="2"/>
      <c r="BVY13" s="2"/>
      <c r="BVZ13" s="2"/>
      <c r="BWK13" s="2"/>
      <c r="BWL13" s="2"/>
      <c r="BWM13" s="2"/>
      <c r="BWX13" s="2"/>
      <c r="BWY13" s="2"/>
      <c r="BWZ13" s="2"/>
      <c r="BXK13" s="2"/>
      <c r="BXL13" s="2"/>
      <c r="BXM13" s="2"/>
      <c r="BXX13" s="2"/>
      <c r="BXY13" s="2"/>
      <c r="BXZ13" s="2"/>
      <c r="BYK13" s="2"/>
      <c r="BYL13" s="2"/>
      <c r="BYM13" s="2"/>
      <c r="BYX13" s="2"/>
      <c r="BYY13" s="2"/>
      <c r="BYZ13" s="2"/>
      <c r="BZK13" s="2"/>
      <c r="BZL13" s="2"/>
      <c r="BZM13" s="2"/>
      <c r="BZX13" s="2"/>
      <c r="BZY13" s="2"/>
      <c r="BZZ13" s="2"/>
      <c r="CAK13" s="2"/>
      <c r="CAL13" s="2"/>
      <c r="CAM13" s="2"/>
      <c r="CAX13" s="2"/>
      <c r="CAY13" s="2"/>
      <c r="CAZ13" s="2"/>
      <c r="CBK13" s="2"/>
      <c r="CBL13" s="2"/>
      <c r="CBM13" s="2"/>
      <c r="CBX13" s="2"/>
      <c r="CBY13" s="2"/>
      <c r="CBZ13" s="2"/>
      <c r="CCK13" s="2"/>
      <c r="CCL13" s="2"/>
      <c r="CCM13" s="2"/>
      <c r="CCX13" s="2"/>
      <c r="CCY13" s="2"/>
      <c r="CCZ13" s="2"/>
      <c r="CDK13" s="2"/>
      <c r="CDL13" s="2"/>
      <c r="CDM13" s="2"/>
      <c r="CDX13" s="2"/>
      <c r="CDY13" s="2"/>
      <c r="CDZ13" s="2"/>
      <c r="CEK13" s="2"/>
      <c r="CEL13" s="2"/>
      <c r="CEM13" s="2"/>
      <c r="CEX13" s="2"/>
      <c r="CEY13" s="2"/>
      <c r="CEZ13" s="2"/>
      <c r="CFK13" s="2"/>
      <c r="CFL13" s="2"/>
      <c r="CFM13" s="2"/>
      <c r="CFX13" s="2"/>
      <c r="CFY13" s="2"/>
      <c r="CFZ13" s="2"/>
      <c r="CGK13" s="2"/>
      <c r="CGL13" s="2"/>
      <c r="CGM13" s="2"/>
      <c r="CGX13" s="2"/>
      <c r="CGY13" s="2"/>
      <c r="CGZ13" s="2"/>
      <c r="CHK13" s="2"/>
      <c r="CHL13" s="2"/>
      <c r="CHM13" s="2"/>
      <c r="CHX13" s="2"/>
      <c r="CHY13" s="2"/>
      <c r="CHZ13" s="2"/>
      <c r="CIK13" s="2"/>
      <c r="CIL13" s="2"/>
      <c r="CIM13" s="2"/>
      <c r="CIX13" s="2"/>
      <c r="CIY13" s="2"/>
      <c r="CIZ13" s="2"/>
      <c r="CJK13" s="2"/>
      <c r="CJL13" s="2"/>
      <c r="CJM13" s="2"/>
      <c r="CJX13" s="2"/>
      <c r="CJY13" s="2"/>
      <c r="CJZ13" s="2"/>
      <c r="CKK13" s="2"/>
      <c r="CKL13" s="2"/>
      <c r="CKM13" s="2"/>
      <c r="CKX13" s="2"/>
      <c r="CKY13" s="2"/>
      <c r="CKZ13" s="2"/>
      <c r="CLK13" s="2"/>
      <c r="CLL13" s="2"/>
      <c r="CLM13" s="2"/>
      <c r="CLX13" s="2"/>
      <c r="CLY13" s="2"/>
      <c r="CLZ13" s="2"/>
      <c r="CMK13" s="2"/>
      <c r="CML13" s="2"/>
      <c r="CMM13" s="2"/>
      <c r="CMX13" s="2"/>
      <c r="CMY13" s="2"/>
      <c r="CMZ13" s="2"/>
      <c r="CNK13" s="2"/>
      <c r="CNL13" s="2"/>
      <c r="CNM13" s="2"/>
      <c r="CNX13" s="2"/>
      <c r="CNY13" s="2"/>
      <c r="CNZ13" s="2"/>
      <c r="COK13" s="2"/>
      <c r="COL13" s="2"/>
      <c r="COM13" s="2"/>
      <c r="COX13" s="2"/>
      <c r="COY13" s="2"/>
      <c r="COZ13" s="2"/>
      <c r="CPK13" s="2"/>
      <c r="CPL13" s="2"/>
      <c r="CPM13" s="2"/>
      <c r="CPX13" s="2"/>
      <c r="CPY13" s="2"/>
      <c r="CPZ13" s="2"/>
      <c r="CQK13" s="2"/>
      <c r="CQL13" s="2"/>
      <c r="CQM13" s="2"/>
      <c r="CQX13" s="2"/>
      <c r="CQY13" s="2"/>
      <c r="CQZ13" s="2"/>
      <c r="CRK13" s="2"/>
      <c r="CRL13" s="2"/>
      <c r="CRM13" s="2"/>
      <c r="CRX13" s="2"/>
      <c r="CRY13" s="2"/>
      <c r="CRZ13" s="2"/>
      <c r="CSK13" s="2"/>
      <c r="CSL13" s="2"/>
      <c r="CSM13" s="2"/>
      <c r="CSX13" s="2"/>
      <c r="CSY13" s="2"/>
      <c r="CSZ13" s="2"/>
      <c r="CTK13" s="2"/>
      <c r="CTL13" s="2"/>
      <c r="CTM13" s="2"/>
      <c r="CTX13" s="2"/>
      <c r="CTY13" s="2"/>
      <c r="CTZ13" s="2"/>
      <c r="CUK13" s="2"/>
      <c r="CUL13" s="2"/>
      <c r="CUM13" s="2"/>
      <c r="CUX13" s="2"/>
      <c r="CUY13" s="2"/>
      <c r="CUZ13" s="2"/>
      <c r="CVK13" s="2"/>
      <c r="CVL13" s="2"/>
      <c r="CVM13" s="2"/>
      <c r="CVX13" s="2"/>
      <c r="CVY13" s="2"/>
      <c r="CVZ13" s="2"/>
      <c r="CWK13" s="2"/>
      <c r="CWL13" s="2"/>
      <c r="CWM13" s="2"/>
      <c r="CWX13" s="2"/>
      <c r="CWY13" s="2"/>
      <c r="CWZ13" s="2"/>
      <c r="CXK13" s="2"/>
      <c r="CXL13" s="2"/>
      <c r="CXM13" s="2"/>
      <c r="CXX13" s="2"/>
      <c r="CXY13" s="2"/>
      <c r="CXZ13" s="2"/>
      <c r="CYK13" s="2"/>
      <c r="CYL13" s="2"/>
      <c r="CYM13" s="2"/>
      <c r="CYX13" s="2"/>
      <c r="CYY13" s="2"/>
      <c r="CYZ13" s="2"/>
      <c r="CZK13" s="2"/>
      <c r="CZL13" s="2"/>
      <c r="CZM13" s="2"/>
      <c r="CZX13" s="2"/>
      <c r="CZY13" s="2"/>
      <c r="CZZ13" s="2"/>
      <c r="DAK13" s="2"/>
      <c r="DAL13" s="2"/>
      <c r="DAM13" s="2"/>
      <c r="DAX13" s="2"/>
      <c r="DAY13" s="2"/>
      <c r="DAZ13" s="2"/>
      <c r="DBK13" s="2"/>
      <c r="DBL13" s="2"/>
      <c r="DBM13" s="2"/>
      <c r="DBX13" s="2"/>
      <c r="DBY13" s="2"/>
      <c r="DBZ13" s="2"/>
      <c r="DCK13" s="2"/>
      <c r="DCL13" s="2"/>
      <c r="DCM13" s="2"/>
      <c r="DCX13" s="2"/>
      <c r="DCY13" s="2"/>
      <c r="DCZ13" s="2"/>
      <c r="DDK13" s="2"/>
      <c r="DDL13" s="2"/>
      <c r="DDM13" s="2"/>
      <c r="DDX13" s="2"/>
      <c r="DDY13" s="2"/>
      <c r="DDZ13" s="2"/>
      <c r="DEK13" s="2"/>
      <c r="DEL13" s="2"/>
      <c r="DEM13" s="2"/>
      <c r="DEX13" s="2"/>
      <c r="DEY13" s="2"/>
      <c r="DEZ13" s="2"/>
      <c r="DFK13" s="2"/>
      <c r="DFL13" s="2"/>
      <c r="DFM13" s="2"/>
      <c r="DFX13" s="2"/>
      <c r="DFY13" s="2"/>
      <c r="DFZ13" s="2"/>
      <c r="DGK13" s="2"/>
      <c r="DGL13" s="2"/>
      <c r="DGM13" s="2"/>
      <c r="DGX13" s="2"/>
      <c r="DGY13" s="2"/>
      <c r="DGZ13" s="2"/>
      <c r="DHK13" s="2"/>
      <c r="DHL13" s="2"/>
      <c r="DHM13" s="2"/>
      <c r="DHX13" s="2"/>
      <c r="DHY13" s="2"/>
      <c r="DHZ13" s="2"/>
      <c r="DIK13" s="2"/>
      <c r="DIL13" s="2"/>
      <c r="DIM13" s="2"/>
      <c r="DIX13" s="2"/>
      <c r="DIY13" s="2"/>
      <c r="DIZ13" s="2"/>
      <c r="DJK13" s="2"/>
      <c r="DJL13" s="2"/>
      <c r="DJM13" s="2"/>
      <c r="DJX13" s="2"/>
      <c r="DJY13" s="2"/>
      <c r="DJZ13" s="2"/>
      <c r="DKK13" s="2"/>
      <c r="DKL13" s="2"/>
      <c r="DKM13" s="2"/>
      <c r="DKX13" s="2"/>
      <c r="DKY13" s="2"/>
      <c r="DKZ13" s="2"/>
      <c r="DLK13" s="2"/>
      <c r="DLL13" s="2"/>
      <c r="DLM13" s="2"/>
      <c r="DLX13" s="2"/>
      <c r="DLY13" s="2"/>
      <c r="DLZ13" s="2"/>
      <c r="DMK13" s="2"/>
      <c r="DML13" s="2"/>
      <c r="DMM13" s="2"/>
      <c r="DMX13" s="2"/>
      <c r="DMY13" s="2"/>
      <c r="DMZ13" s="2"/>
      <c r="DNK13" s="2"/>
      <c r="DNL13" s="2"/>
      <c r="DNM13" s="2"/>
      <c r="DNX13" s="2"/>
      <c r="DNY13" s="2"/>
      <c r="DNZ13" s="2"/>
      <c r="DOK13" s="2"/>
      <c r="DOL13" s="2"/>
      <c r="DOM13" s="2"/>
      <c r="DOX13" s="2"/>
      <c r="DOY13" s="2"/>
      <c r="DOZ13" s="2"/>
      <c r="DPK13" s="2"/>
      <c r="DPL13" s="2"/>
      <c r="DPM13" s="2"/>
      <c r="DPX13" s="2"/>
      <c r="DPY13" s="2"/>
      <c r="DPZ13" s="2"/>
      <c r="DQK13" s="2"/>
      <c r="DQL13" s="2"/>
      <c r="DQM13" s="2"/>
      <c r="DQX13" s="2"/>
      <c r="DQY13" s="2"/>
      <c r="DQZ13" s="2"/>
      <c r="DRK13" s="2"/>
      <c r="DRL13" s="2"/>
      <c r="DRM13" s="2"/>
      <c r="DRX13" s="2"/>
      <c r="DRY13" s="2"/>
      <c r="DRZ13" s="2"/>
      <c r="DSK13" s="2"/>
      <c r="DSL13" s="2"/>
      <c r="DSM13" s="2"/>
      <c r="DSX13" s="2"/>
      <c r="DSY13" s="2"/>
      <c r="DSZ13" s="2"/>
      <c r="DTK13" s="2"/>
      <c r="DTL13" s="2"/>
      <c r="DTM13" s="2"/>
      <c r="DTX13" s="2"/>
      <c r="DTY13" s="2"/>
      <c r="DTZ13" s="2"/>
      <c r="DUK13" s="2"/>
      <c r="DUL13" s="2"/>
      <c r="DUM13" s="2"/>
      <c r="DUX13" s="2"/>
      <c r="DUY13" s="2"/>
      <c r="DUZ13" s="2"/>
      <c r="DVK13" s="2"/>
      <c r="DVL13" s="2"/>
      <c r="DVM13" s="2"/>
      <c r="DVX13" s="2"/>
      <c r="DVY13" s="2"/>
      <c r="DVZ13" s="2"/>
      <c r="DWK13" s="2"/>
      <c r="DWL13" s="2"/>
      <c r="DWM13" s="2"/>
      <c r="DWX13" s="2"/>
      <c r="DWY13" s="2"/>
      <c r="DWZ13" s="2"/>
      <c r="DXK13" s="2"/>
      <c r="DXL13" s="2"/>
      <c r="DXM13" s="2"/>
      <c r="DXX13" s="2"/>
      <c r="DXY13" s="2"/>
      <c r="DXZ13" s="2"/>
      <c r="DYK13" s="2"/>
      <c r="DYL13" s="2"/>
      <c r="DYM13" s="2"/>
      <c r="DYX13" s="2"/>
      <c r="DYY13" s="2"/>
      <c r="DYZ13" s="2"/>
      <c r="DZK13" s="2"/>
      <c r="DZL13" s="2"/>
      <c r="DZM13" s="2"/>
      <c r="DZX13" s="2"/>
      <c r="DZY13" s="2"/>
      <c r="DZZ13" s="2"/>
      <c r="EAK13" s="2"/>
      <c r="EAL13" s="2"/>
      <c r="EAM13" s="2"/>
      <c r="EAX13" s="2"/>
      <c r="EAY13" s="2"/>
      <c r="EAZ13" s="2"/>
      <c r="EBK13" s="2"/>
      <c r="EBL13" s="2"/>
      <c r="EBM13" s="2"/>
      <c r="EBX13" s="2"/>
      <c r="EBY13" s="2"/>
      <c r="EBZ13" s="2"/>
      <c r="ECK13" s="2"/>
      <c r="ECL13" s="2"/>
      <c r="ECM13" s="2"/>
      <c r="ECX13" s="2"/>
      <c r="ECY13" s="2"/>
      <c r="ECZ13" s="2"/>
      <c r="EDK13" s="2"/>
      <c r="EDL13" s="2"/>
      <c r="EDM13" s="2"/>
      <c r="EDX13" s="2"/>
      <c r="EDY13" s="2"/>
      <c r="EDZ13" s="2"/>
      <c r="EEK13" s="2"/>
      <c r="EEL13" s="2"/>
      <c r="EEM13" s="2"/>
      <c r="EEX13" s="2"/>
      <c r="EEY13" s="2"/>
      <c r="EEZ13" s="2"/>
      <c r="EFK13" s="2"/>
      <c r="EFL13" s="2"/>
      <c r="EFM13" s="2"/>
      <c r="EFX13" s="2"/>
      <c r="EFY13" s="2"/>
      <c r="EFZ13" s="2"/>
      <c r="EGK13" s="2"/>
      <c r="EGL13" s="2"/>
      <c r="EGM13" s="2"/>
      <c r="EGX13" s="2"/>
      <c r="EGY13" s="2"/>
      <c r="EGZ13" s="2"/>
      <c r="EHK13" s="2"/>
      <c r="EHL13" s="2"/>
      <c r="EHM13" s="2"/>
      <c r="EHX13" s="2"/>
      <c r="EHY13" s="2"/>
      <c r="EHZ13" s="2"/>
      <c r="EIK13" s="2"/>
      <c r="EIL13" s="2"/>
      <c r="EIM13" s="2"/>
      <c r="EIX13" s="2"/>
      <c r="EIY13" s="2"/>
      <c r="EIZ13" s="2"/>
      <c r="EJK13" s="2"/>
      <c r="EJL13" s="2"/>
      <c r="EJM13" s="2"/>
      <c r="EJX13" s="2"/>
      <c r="EJY13" s="2"/>
      <c r="EJZ13" s="2"/>
      <c r="EKK13" s="2"/>
      <c r="EKL13" s="2"/>
      <c r="EKM13" s="2"/>
      <c r="EKX13" s="2"/>
      <c r="EKY13" s="2"/>
      <c r="EKZ13" s="2"/>
      <c r="ELK13" s="2"/>
      <c r="ELL13" s="2"/>
      <c r="ELM13" s="2"/>
      <c r="ELX13" s="2"/>
      <c r="ELY13" s="2"/>
      <c r="ELZ13" s="2"/>
      <c r="EMK13" s="2"/>
      <c r="EML13" s="2"/>
      <c r="EMM13" s="2"/>
      <c r="EMX13" s="2"/>
      <c r="EMY13" s="2"/>
      <c r="EMZ13" s="2"/>
      <c r="ENK13" s="2"/>
      <c r="ENL13" s="2"/>
      <c r="ENM13" s="2"/>
      <c r="ENX13" s="2"/>
      <c r="ENY13" s="2"/>
      <c r="ENZ13" s="2"/>
      <c r="EOK13" s="2"/>
      <c r="EOL13" s="2"/>
      <c r="EOM13" s="2"/>
      <c r="EOX13" s="2"/>
      <c r="EOY13" s="2"/>
      <c r="EOZ13" s="2"/>
      <c r="EPK13" s="2"/>
      <c r="EPL13" s="2"/>
      <c r="EPM13" s="2"/>
      <c r="EPX13" s="2"/>
      <c r="EPY13" s="2"/>
      <c r="EPZ13" s="2"/>
      <c r="EQK13" s="2"/>
      <c r="EQL13" s="2"/>
      <c r="EQM13" s="2"/>
      <c r="EQX13" s="2"/>
      <c r="EQY13" s="2"/>
      <c r="EQZ13" s="2"/>
      <c r="ERK13" s="2"/>
      <c r="ERL13" s="2"/>
      <c r="ERM13" s="2"/>
      <c r="ERX13" s="2"/>
      <c r="ERY13" s="2"/>
      <c r="ERZ13" s="2"/>
      <c r="ESK13" s="2"/>
      <c r="ESL13" s="2"/>
      <c r="ESM13" s="2"/>
      <c r="ESX13" s="2"/>
      <c r="ESY13" s="2"/>
      <c r="ESZ13" s="2"/>
      <c r="ETK13" s="2"/>
      <c r="ETL13" s="2"/>
      <c r="ETM13" s="2"/>
      <c r="ETX13" s="2"/>
      <c r="ETY13" s="2"/>
      <c r="ETZ13" s="2"/>
      <c r="EUK13" s="2"/>
      <c r="EUL13" s="2"/>
      <c r="EUM13" s="2"/>
      <c r="EUX13" s="2"/>
      <c r="EUY13" s="2"/>
      <c r="EUZ13" s="2"/>
      <c r="EVK13" s="2"/>
      <c r="EVL13" s="2"/>
      <c r="EVM13" s="2"/>
      <c r="EVX13" s="2"/>
      <c r="EVY13" s="2"/>
      <c r="EVZ13" s="2"/>
      <c r="EWK13" s="2"/>
      <c r="EWL13" s="2"/>
      <c r="EWM13" s="2"/>
      <c r="EWX13" s="2"/>
      <c r="EWY13" s="2"/>
      <c r="EWZ13" s="2"/>
      <c r="EXK13" s="2"/>
      <c r="EXL13" s="2"/>
      <c r="EXM13" s="2"/>
      <c r="EXX13" s="2"/>
      <c r="EXY13" s="2"/>
      <c r="EXZ13" s="2"/>
      <c r="EYK13" s="2"/>
      <c r="EYL13" s="2"/>
      <c r="EYM13" s="2"/>
      <c r="EYX13" s="2"/>
      <c r="EYY13" s="2"/>
      <c r="EYZ13" s="2"/>
      <c r="EZK13" s="2"/>
      <c r="EZL13" s="2"/>
      <c r="EZM13" s="2"/>
      <c r="EZX13" s="2"/>
      <c r="EZY13" s="2"/>
      <c r="EZZ13" s="2"/>
      <c r="FAK13" s="2"/>
      <c r="FAL13" s="2"/>
      <c r="FAM13" s="2"/>
      <c r="FAX13" s="2"/>
      <c r="FAY13" s="2"/>
      <c r="FAZ13" s="2"/>
      <c r="FBK13" s="2"/>
      <c r="FBL13" s="2"/>
      <c r="FBM13" s="2"/>
      <c r="FBX13" s="2"/>
      <c r="FBY13" s="2"/>
      <c r="FBZ13" s="2"/>
      <c r="FCK13" s="2"/>
      <c r="FCL13" s="2"/>
      <c r="FCM13" s="2"/>
      <c r="FCX13" s="2"/>
      <c r="FCY13" s="2"/>
      <c r="FCZ13" s="2"/>
      <c r="FDK13" s="2"/>
      <c r="FDL13" s="2"/>
      <c r="FDM13" s="2"/>
      <c r="FDX13" s="2"/>
      <c r="FDY13" s="2"/>
      <c r="FDZ13" s="2"/>
      <c r="FEK13" s="2"/>
      <c r="FEL13" s="2"/>
      <c r="FEM13" s="2"/>
      <c r="FEX13" s="2"/>
      <c r="FEY13" s="2"/>
      <c r="FEZ13" s="2"/>
      <c r="FFK13" s="2"/>
      <c r="FFL13" s="2"/>
      <c r="FFM13" s="2"/>
      <c r="FFX13" s="2"/>
      <c r="FFY13" s="2"/>
      <c r="FFZ13" s="2"/>
      <c r="FGK13" s="2"/>
      <c r="FGL13" s="2"/>
      <c r="FGM13" s="2"/>
      <c r="FGX13" s="2"/>
      <c r="FGY13" s="2"/>
      <c r="FGZ13" s="2"/>
      <c r="FHK13" s="2"/>
      <c r="FHL13" s="2"/>
      <c r="FHM13" s="2"/>
      <c r="FHX13" s="2"/>
      <c r="FHY13" s="2"/>
      <c r="FHZ13" s="2"/>
      <c r="FIK13" s="2"/>
      <c r="FIL13" s="2"/>
      <c r="FIM13" s="2"/>
      <c r="FIX13" s="2"/>
      <c r="FIY13" s="2"/>
      <c r="FIZ13" s="2"/>
      <c r="FJK13" s="2"/>
      <c r="FJL13" s="2"/>
      <c r="FJM13" s="2"/>
      <c r="FJX13" s="2"/>
      <c r="FJY13" s="2"/>
      <c r="FJZ13" s="2"/>
      <c r="FKK13" s="2"/>
      <c r="FKL13" s="2"/>
      <c r="FKM13" s="2"/>
      <c r="FKX13" s="2"/>
      <c r="FKY13" s="2"/>
      <c r="FKZ13" s="2"/>
      <c r="FLK13" s="2"/>
      <c r="FLL13" s="2"/>
      <c r="FLM13" s="2"/>
      <c r="FLX13" s="2"/>
      <c r="FLY13" s="2"/>
      <c r="FLZ13" s="2"/>
      <c r="FMK13" s="2"/>
      <c r="FML13" s="2"/>
      <c r="FMM13" s="2"/>
      <c r="FMX13" s="2"/>
      <c r="FMY13" s="2"/>
      <c r="FMZ13" s="2"/>
      <c r="FNK13" s="2"/>
      <c r="FNL13" s="2"/>
      <c r="FNM13" s="2"/>
      <c r="FNX13" s="2"/>
      <c r="FNY13" s="2"/>
      <c r="FNZ13" s="2"/>
      <c r="FOK13" s="2"/>
      <c r="FOL13" s="2"/>
      <c r="FOM13" s="2"/>
      <c r="FOX13" s="2"/>
      <c r="FOY13" s="2"/>
      <c r="FOZ13" s="2"/>
      <c r="FPK13" s="2"/>
      <c r="FPL13" s="2"/>
      <c r="FPM13" s="2"/>
      <c r="FPX13" s="2"/>
      <c r="FPY13" s="2"/>
      <c r="FPZ13" s="2"/>
      <c r="FQK13" s="2"/>
      <c r="FQL13" s="2"/>
      <c r="FQM13" s="2"/>
      <c r="FQX13" s="2"/>
      <c r="FQY13" s="2"/>
      <c r="FQZ13" s="2"/>
      <c r="FRK13" s="2"/>
      <c r="FRL13" s="2"/>
      <c r="FRM13" s="2"/>
      <c r="FRX13" s="2"/>
      <c r="FRY13" s="2"/>
      <c r="FRZ13" s="2"/>
      <c r="FSK13" s="2"/>
      <c r="FSL13" s="2"/>
      <c r="FSM13" s="2"/>
      <c r="FSX13" s="2"/>
      <c r="FSY13" s="2"/>
      <c r="FSZ13" s="2"/>
      <c r="FTK13" s="2"/>
      <c r="FTL13" s="2"/>
      <c r="FTM13" s="2"/>
      <c r="FTX13" s="2"/>
      <c r="FTY13" s="2"/>
      <c r="FTZ13" s="2"/>
      <c r="FUK13" s="2"/>
      <c r="FUL13" s="2"/>
      <c r="FUM13" s="2"/>
      <c r="FUX13" s="2"/>
      <c r="FUY13" s="2"/>
      <c r="FUZ13" s="2"/>
      <c r="FVK13" s="2"/>
      <c r="FVL13" s="2"/>
      <c r="FVM13" s="2"/>
      <c r="FVX13" s="2"/>
      <c r="FVY13" s="2"/>
      <c r="FVZ13" s="2"/>
      <c r="FWK13" s="2"/>
      <c r="FWL13" s="2"/>
      <c r="FWM13" s="2"/>
      <c r="FWX13" s="2"/>
      <c r="FWY13" s="2"/>
      <c r="FWZ13" s="2"/>
      <c r="FXK13" s="2"/>
      <c r="FXL13" s="2"/>
      <c r="FXM13" s="2"/>
      <c r="FXX13" s="2"/>
      <c r="FXY13" s="2"/>
      <c r="FXZ13" s="2"/>
      <c r="FYK13" s="2"/>
      <c r="FYL13" s="2"/>
      <c r="FYM13" s="2"/>
      <c r="FYX13" s="2"/>
      <c r="FYY13" s="2"/>
      <c r="FYZ13" s="2"/>
      <c r="FZK13" s="2"/>
      <c r="FZL13" s="2"/>
      <c r="FZM13" s="2"/>
      <c r="FZX13" s="2"/>
      <c r="FZY13" s="2"/>
      <c r="FZZ13" s="2"/>
      <c r="GAK13" s="2"/>
      <c r="GAL13" s="2"/>
      <c r="GAM13" s="2"/>
      <c r="GAX13" s="2"/>
      <c r="GAY13" s="2"/>
      <c r="GAZ13" s="2"/>
      <c r="GBK13" s="2"/>
      <c r="GBL13" s="2"/>
      <c r="GBM13" s="2"/>
      <c r="GBX13" s="2"/>
      <c r="GBY13" s="2"/>
      <c r="GBZ13" s="2"/>
      <c r="GCK13" s="2"/>
      <c r="GCL13" s="2"/>
      <c r="GCM13" s="2"/>
      <c r="GCX13" s="2"/>
      <c r="GCY13" s="2"/>
      <c r="GCZ13" s="2"/>
      <c r="GDK13" s="2"/>
      <c r="GDL13" s="2"/>
      <c r="GDM13" s="2"/>
      <c r="GDX13" s="2"/>
      <c r="GDY13" s="2"/>
      <c r="GDZ13" s="2"/>
      <c r="GEK13" s="2"/>
      <c r="GEL13" s="2"/>
      <c r="GEM13" s="2"/>
      <c r="GEX13" s="2"/>
      <c r="GEY13" s="2"/>
      <c r="GEZ13" s="2"/>
      <c r="GFK13" s="2"/>
      <c r="GFL13" s="2"/>
      <c r="GFM13" s="2"/>
      <c r="GFX13" s="2"/>
      <c r="GFY13" s="2"/>
      <c r="GFZ13" s="2"/>
      <c r="GGK13" s="2"/>
      <c r="GGL13" s="2"/>
      <c r="GGM13" s="2"/>
      <c r="GGX13" s="2"/>
      <c r="GGY13" s="2"/>
      <c r="GGZ13" s="2"/>
      <c r="GHK13" s="2"/>
      <c r="GHL13" s="2"/>
      <c r="GHM13" s="2"/>
      <c r="GHX13" s="2"/>
      <c r="GHY13" s="2"/>
      <c r="GHZ13" s="2"/>
      <c r="GIK13" s="2"/>
      <c r="GIL13" s="2"/>
      <c r="GIM13" s="2"/>
      <c r="GIX13" s="2"/>
      <c r="GIY13" s="2"/>
      <c r="GIZ13" s="2"/>
      <c r="GJK13" s="2"/>
      <c r="GJL13" s="2"/>
      <c r="GJM13" s="2"/>
      <c r="GJX13" s="2"/>
      <c r="GJY13" s="2"/>
      <c r="GJZ13" s="2"/>
      <c r="GKK13" s="2"/>
      <c r="GKL13" s="2"/>
      <c r="GKM13" s="2"/>
      <c r="GKX13" s="2"/>
      <c r="GKY13" s="2"/>
      <c r="GKZ13" s="2"/>
      <c r="GLK13" s="2"/>
      <c r="GLL13" s="2"/>
      <c r="GLM13" s="2"/>
      <c r="GLX13" s="2"/>
      <c r="GLY13" s="2"/>
      <c r="GLZ13" s="2"/>
      <c r="GMK13" s="2"/>
      <c r="GML13" s="2"/>
      <c r="GMM13" s="2"/>
      <c r="GMX13" s="2"/>
      <c r="GMY13" s="2"/>
      <c r="GMZ13" s="2"/>
      <c r="GNK13" s="2"/>
      <c r="GNL13" s="2"/>
      <c r="GNM13" s="2"/>
      <c r="GNX13" s="2"/>
      <c r="GNY13" s="2"/>
      <c r="GNZ13" s="2"/>
      <c r="GOK13" s="2"/>
      <c r="GOL13" s="2"/>
      <c r="GOM13" s="2"/>
      <c r="GOX13" s="2"/>
      <c r="GOY13" s="2"/>
      <c r="GOZ13" s="2"/>
      <c r="GPK13" s="2"/>
      <c r="GPL13" s="2"/>
      <c r="GPM13" s="2"/>
      <c r="GPX13" s="2"/>
      <c r="GPY13" s="2"/>
      <c r="GPZ13" s="2"/>
      <c r="GQK13" s="2"/>
      <c r="GQL13" s="2"/>
      <c r="GQM13" s="2"/>
      <c r="GQX13" s="2"/>
      <c r="GQY13" s="2"/>
      <c r="GQZ13" s="2"/>
      <c r="GRK13" s="2"/>
      <c r="GRL13" s="2"/>
      <c r="GRM13" s="2"/>
      <c r="GRX13" s="2"/>
      <c r="GRY13" s="2"/>
      <c r="GRZ13" s="2"/>
      <c r="GSK13" s="2"/>
      <c r="GSL13" s="2"/>
      <c r="GSM13" s="2"/>
      <c r="GSX13" s="2"/>
      <c r="GSY13" s="2"/>
      <c r="GSZ13" s="2"/>
      <c r="GTK13" s="2"/>
      <c r="GTL13" s="2"/>
      <c r="GTM13" s="2"/>
      <c r="GTX13" s="2"/>
      <c r="GTY13" s="2"/>
      <c r="GTZ13" s="2"/>
      <c r="GUK13" s="2"/>
      <c r="GUL13" s="2"/>
      <c r="GUM13" s="2"/>
      <c r="GUX13" s="2"/>
      <c r="GUY13" s="2"/>
      <c r="GUZ13" s="2"/>
      <c r="GVK13" s="2"/>
      <c r="GVL13" s="2"/>
      <c r="GVM13" s="2"/>
      <c r="GVX13" s="2"/>
      <c r="GVY13" s="2"/>
      <c r="GVZ13" s="2"/>
      <c r="GWK13" s="2"/>
      <c r="GWL13" s="2"/>
      <c r="GWM13" s="2"/>
      <c r="GWX13" s="2"/>
      <c r="GWY13" s="2"/>
      <c r="GWZ13" s="2"/>
      <c r="GXK13" s="2"/>
      <c r="GXL13" s="2"/>
      <c r="GXM13" s="2"/>
      <c r="GXX13" s="2"/>
      <c r="GXY13" s="2"/>
      <c r="GXZ13" s="2"/>
      <c r="GYK13" s="2"/>
      <c r="GYL13" s="2"/>
      <c r="GYM13" s="2"/>
      <c r="GYX13" s="2"/>
      <c r="GYY13" s="2"/>
      <c r="GYZ13" s="2"/>
      <c r="GZK13" s="2"/>
      <c r="GZL13" s="2"/>
      <c r="GZM13" s="2"/>
      <c r="GZX13" s="2"/>
      <c r="GZY13" s="2"/>
      <c r="GZZ13" s="2"/>
      <c r="HAK13" s="2"/>
      <c r="HAL13" s="2"/>
      <c r="HAM13" s="2"/>
      <c r="HAX13" s="2"/>
      <c r="HAY13" s="2"/>
      <c r="HAZ13" s="2"/>
      <c r="HBK13" s="2"/>
      <c r="HBL13" s="2"/>
      <c r="HBM13" s="2"/>
      <c r="HBX13" s="2"/>
      <c r="HBY13" s="2"/>
      <c r="HBZ13" s="2"/>
      <c r="HCK13" s="2"/>
      <c r="HCL13" s="2"/>
      <c r="HCM13" s="2"/>
      <c r="HCX13" s="2"/>
      <c r="HCY13" s="2"/>
      <c r="HCZ13" s="2"/>
      <c r="HDK13" s="2"/>
      <c r="HDL13" s="2"/>
      <c r="HDM13" s="2"/>
      <c r="HDX13" s="2"/>
      <c r="HDY13" s="2"/>
      <c r="HDZ13" s="2"/>
      <c r="HEK13" s="2"/>
      <c r="HEL13" s="2"/>
      <c r="HEM13" s="2"/>
      <c r="HEX13" s="2"/>
      <c r="HEY13" s="2"/>
      <c r="HEZ13" s="2"/>
      <c r="HFK13" s="2"/>
      <c r="HFL13" s="2"/>
      <c r="HFM13" s="2"/>
      <c r="HFX13" s="2"/>
      <c r="HFY13" s="2"/>
      <c r="HFZ13" s="2"/>
      <c r="HGK13" s="2"/>
      <c r="HGL13" s="2"/>
      <c r="HGM13" s="2"/>
      <c r="HGX13" s="2"/>
      <c r="HGY13" s="2"/>
      <c r="HGZ13" s="2"/>
      <c r="HHK13" s="2"/>
      <c r="HHL13" s="2"/>
      <c r="HHM13" s="2"/>
      <c r="HHX13" s="2"/>
      <c r="HHY13" s="2"/>
      <c r="HHZ13" s="2"/>
      <c r="HIK13" s="2"/>
      <c r="HIL13" s="2"/>
      <c r="HIM13" s="2"/>
      <c r="HIX13" s="2"/>
      <c r="HIY13" s="2"/>
      <c r="HIZ13" s="2"/>
      <c r="HJK13" s="2"/>
      <c r="HJL13" s="2"/>
      <c r="HJM13" s="2"/>
      <c r="HJX13" s="2"/>
      <c r="HJY13" s="2"/>
      <c r="HJZ13" s="2"/>
      <c r="HKK13" s="2"/>
      <c r="HKL13" s="2"/>
      <c r="HKM13" s="2"/>
      <c r="HKX13" s="2"/>
      <c r="HKY13" s="2"/>
      <c r="HKZ13" s="2"/>
      <c r="HLK13" s="2"/>
      <c r="HLL13" s="2"/>
      <c r="HLM13" s="2"/>
      <c r="HLX13" s="2"/>
      <c r="HLY13" s="2"/>
      <c r="HLZ13" s="2"/>
      <c r="HMK13" s="2"/>
      <c r="HML13" s="2"/>
      <c r="HMM13" s="2"/>
      <c r="HMX13" s="2"/>
      <c r="HMY13" s="2"/>
      <c r="HMZ13" s="2"/>
      <c r="HNK13" s="2"/>
      <c r="HNL13" s="2"/>
      <c r="HNM13" s="2"/>
      <c r="HNX13" s="2"/>
      <c r="HNY13" s="2"/>
      <c r="HNZ13" s="2"/>
      <c r="HOK13" s="2"/>
      <c r="HOL13" s="2"/>
      <c r="HOM13" s="2"/>
      <c r="HOX13" s="2"/>
      <c r="HOY13" s="2"/>
      <c r="HOZ13" s="2"/>
      <c r="HPK13" s="2"/>
      <c r="HPL13" s="2"/>
      <c r="HPM13" s="2"/>
      <c r="HPX13" s="2"/>
      <c r="HPY13" s="2"/>
      <c r="HPZ13" s="2"/>
      <c r="HQK13" s="2"/>
      <c r="HQL13" s="2"/>
      <c r="HQM13" s="2"/>
      <c r="HQX13" s="2"/>
      <c r="HQY13" s="2"/>
      <c r="HQZ13" s="2"/>
      <c r="HRK13" s="2"/>
      <c r="HRL13" s="2"/>
      <c r="HRM13" s="2"/>
      <c r="HRX13" s="2"/>
      <c r="HRY13" s="2"/>
      <c r="HRZ13" s="2"/>
      <c r="HSK13" s="2"/>
      <c r="HSL13" s="2"/>
      <c r="HSM13" s="2"/>
      <c r="HSX13" s="2"/>
      <c r="HSY13" s="2"/>
      <c r="HSZ13" s="2"/>
      <c r="HTK13" s="2"/>
      <c r="HTL13" s="2"/>
      <c r="HTM13" s="2"/>
      <c r="HTX13" s="2"/>
      <c r="HTY13" s="2"/>
      <c r="HTZ13" s="2"/>
      <c r="HUK13" s="2"/>
      <c r="HUL13" s="2"/>
      <c r="HUM13" s="2"/>
      <c r="HUX13" s="2"/>
      <c r="HUY13" s="2"/>
      <c r="HUZ13" s="2"/>
      <c r="HVK13" s="2"/>
      <c r="HVL13" s="2"/>
      <c r="HVM13" s="2"/>
      <c r="HVX13" s="2"/>
      <c r="HVY13" s="2"/>
      <c r="HVZ13" s="2"/>
      <c r="HWK13" s="2"/>
      <c r="HWL13" s="2"/>
      <c r="HWM13" s="2"/>
      <c r="HWX13" s="2"/>
      <c r="HWY13" s="2"/>
      <c r="HWZ13" s="2"/>
      <c r="HXK13" s="2"/>
      <c r="HXL13" s="2"/>
      <c r="HXM13" s="2"/>
      <c r="HXX13" s="2"/>
      <c r="HXY13" s="2"/>
      <c r="HXZ13" s="2"/>
      <c r="HYK13" s="2"/>
      <c r="HYL13" s="2"/>
      <c r="HYM13" s="2"/>
      <c r="HYX13" s="2"/>
      <c r="HYY13" s="2"/>
      <c r="HYZ13" s="2"/>
      <c r="HZK13" s="2"/>
      <c r="HZL13" s="2"/>
      <c r="HZM13" s="2"/>
      <c r="HZX13" s="2"/>
      <c r="HZY13" s="2"/>
      <c r="HZZ13" s="2"/>
      <c r="IAK13" s="2"/>
      <c r="IAL13" s="2"/>
      <c r="IAM13" s="2"/>
      <c r="IAX13" s="2"/>
      <c r="IAY13" s="2"/>
      <c r="IAZ13" s="2"/>
      <c r="IBK13" s="2"/>
      <c r="IBL13" s="2"/>
      <c r="IBM13" s="2"/>
      <c r="IBX13" s="2"/>
      <c r="IBY13" s="2"/>
      <c r="IBZ13" s="2"/>
      <c r="ICK13" s="2"/>
      <c r="ICL13" s="2"/>
      <c r="ICM13" s="2"/>
      <c r="ICX13" s="2"/>
      <c r="ICY13" s="2"/>
      <c r="ICZ13" s="2"/>
      <c r="IDK13" s="2"/>
      <c r="IDL13" s="2"/>
      <c r="IDM13" s="2"/>
      <c r="IDX13" s="2"/>
      <c r="IDY13" s="2"/>
      <c r="IDZ13" s="2"/>
      <c r="IEK13" s="2"/>
      <c r="IEL13" s="2"/>
      <c r="IEM13" s="2"/>
      <c r="IEX13" s="2"/>
      <c r="IEY13" s="2"/>
      <c r="IEZ13" s="2"/>
      <c r="IFK13" s="2"/>
      <c r="IFL13" s="2"/>
      <c r="IFM13" s="2"/>
      <c r="IFX13" s="2"/>
      <c r="IFY13" s="2"/>
      <c r="IFZ13" s="2"/>
      <c r="IGK13" s="2"/>
      <c r="IGL13" s="2"/>
      <c r="IGM13" s="2"/>
      <c r="IGX13" s="2"/>
      <c r="IGY13" s="2"/>
      <c r="IGZ13" s="2"/>
      <c r="IHK13" s="2"/>
      <c r="IHL13" s="2"/>
      <c r="IHM13" s="2"/>
      <c r="IHX13" s="2"/>
      <c r="IHY13" s="2"/>
      <c r="IHZ13" s="2"/>
      <c r="IIK13" s="2"/>
      <c r="IIL13" s="2"/>
      <c r="IIM13" s="2"/>
      <c r="IIX13" s="2"/>
      <c r="IIY13" s="2"/>
      <c r="IIZ13" s="2"/>
      <c r="IJK13" s="2"/>
      <c r="IJL13" s="2"/>
      <c r="IJM13" s="2"/>
      <c r="IJX13" s="2"/>
      <c r="IJY13" s="2"/>
      <c r="IJZ13" s="2"/>
      <c r="IKK13" s="2"/>
      <c r="IKL13" s="2"/>
      <c r="IKM13" s="2"/>
      <c r="IKX13" s="2"/>
      <c r="IKY13" s="2"/>
      <c r="IKZ13" s="2"/>
      <c r="ILK13" s="2"/>
      <c r="ILL13" s="2"/>
      <c r="ILM13" s="2"/>
      <c r="ILX13" s="2"/>
      <c r="ILY13" s="2"/>
      <c r="ILZ13" s="2"/>
      <c r="IMK13" s="2"/>
      <c r="IML13" s="2"/>
      <c r="IMM13" s="2"/>
      <c r="IMX13" s="2"/>
      <c r="IMY13" s="2"/>
      <c r="IMZ13" s="2"/>
      <c r="INK13" s="2"/>
      <c r="INL13" s="2"/>
      <c r="INM13" s="2"/>
      <c r="INX13" s="2"/>
      <c r="INY13" s="2"/>
      <c r="INZ13" s="2"/>
      <c r="IOK13" s="2"/>
      <c r="IOL13" s="2"/>
      <c r="IOM13" s="2"/>
      <c r="IOX13" s="2"/>
      <c r="IOY13" s="2"/>
      <c r="IOZ13" s="2"/>
      <c r="IPK13" s="2"/>
      <c r="IPL13" s="2"/>
      <c r="IPM13" s="2"/>
      <c r="IPX13" s="2"/>
      <c r="IPY13" s="2"/>
      <c r="IPZ13" s="2"/>
      <c r="IQK13" s="2"/>
      <c r="IQL13" s="2"/>
      <c r="IQM13" s="2"/>
      <c r="IQX13" s="2"/>
      <c r="IQY13" s="2"/>
      <c r="IQZ13" s="2"/>
      <c r="IRK13" s="2"/>
      <c r="IRL13" s="2"/>
      <c r="IRM13" s="2"/>
      <c r="IRX13" s="2"/>
      <c r="IRY13" s="2"/>
      <c r="IRZ13" s="2"/>
      <c r="ISK13" s="2"/>
      <c r="ISL13" s="2"/>
      <c r="ISM13" s="2"/>
      <c r="ISX13" s="2"/>
      <c r="ISY13" s="2"/>
      <c r="ISZ13" s="2"/>
      <c r="ITK13" s="2"/>
      <c r="ITL13" s="2"/>
      <c r="ITM13" s="2"/>
      <c r="ITX13" s="2"/>
      <c r="ITY13" s="2"/>
      <c r="ITZ13" s="2"/>
      <c r="IUK13" s="2"/>
      <c r="IUL13" s="2"/>
      <c r="IUM13" s="2"/>
      <c r="IUX13" s="2"/>
      <c r="IUY13" s="2"/>
      <c r="IUZ13" s="2"/>
      <c r="IVK13" s="2"/>
      <c r="IVL13" s="2"/>
      <c r="IVM13" s="2"/>
      <c r="IVX13" s="2"/>
      <c r="IVY13" s="2"/>
      <c r="IVZ13" s="2"/>
      <c r="IWK13" s="2"/>
      <c r="IWL13" s="2"/>
      <c r="IWM13" s="2"/>
      <c r="IWX13" s="2"/>
      <c r="IWY13" s="2"/>
      <c r="IWZ13" s="2"/>
      <c r="IXK13" s="2"/>
      <c r="IXL13" s="2"/>
      <c r="IXM13" s="2"/>
      <c r="IXX13" s="2"/>
      <c r="IXY13" s="2"/>
      <c r="IXZ13" s="2"/>
      <c r="IYK13" s="2"/>
      <c r="IYL13" s="2"/>
      <c r="IYM13" s="2"/>
      <c r="IYX13" s="2"/>
      <c r="IYY13" s="2"/>
      <c r="IYZ13" s="2"/>
      <c r="IZK13" s="2"/>
      <c r="IZL13" s="2"/>
      <c r="IZM13" s="2"/>
      <c r="IZX13" s="2"/>
      <c r="IZY13" s="2"/>
      <c r="IZZ13" s="2"/>
      <c r="JAK13" s="2"/>
      <c r="JAL13" s="2"/>
      <c r="JAM13" s="2"/>
      <c r="JAX13" s="2"/>
      <c r="JAY13" s="2"/>
      <c r="JAZ13" s="2"/>
      <c r="JBK13" s="2"/>
      <c r="JBL13" s="2"/>
      <c r="JBM13" s="2"/>
      <c r="JBX13" s="2"/>
      <c r="JBY13" s="2"/>
      <c r="JBZ13" s="2"/>
      <c r="JCK13" s="2"/>
      <c r="JCL13" s="2"/>
      <c r="JCM13" s="2"/>
      <c r="JCX13" s="2"/>
      <c r="JCY13" s="2"/>
      <c r="JCZ13" s="2"/>
      <c r="JDK13" s="2"/>
      <c r="JDL13" s="2"/>
      <c r="JDM13" s="2"/>
      <c r="JDX13" s="2"/>
      <c r="JDY13" s="2"/>
      <c r="JDZ13" s="2"/>
      <c r="JEK13" s="2"/>
      <c r="JEL13" s="2"/>
      <c r="JEM13" s="2"/>
      <c r="JEX13" s="2"/>
      <c r="JEY13" s="2"/>
      <c r="JEZ13" s="2"/>
      <c r="JFK13" s="2"/>
      <c r="JFL13" s="2"/>
      <c r="JFM13" s="2"/>
      <c r="JFX13" s="2"/>
      <c r="JFY13" s="2"/>
      <c r="JFZ13" s="2"/>
      <c r="JGK13" s="2"/>
      <c r="JGL13" s="2"/>
      <c r="JGM13" s="2"/>
      <c r="JGX13" s="2"/>
      <c r="JGY13" s="2"/>
      <c r="JGZ13" s="2"/>
      <c r="JHK13" s="2"/>
      <c r="JHL13" s="2"/>
      <c r="JHM13" s="2"/>
      <c r="JHX13" s="2"/>
      <c r="JHY13" s="2"/>
      <c r="JHZ13" s="2"/>
      <c r="JIK13" s="2"/>
      <c r="JIL13" s="2"/>
      <c r="JIM13" s="2"/>
      <c r="JIX13" s="2"/>
      <c r="JIY13" s="2"/>
      <c r="JIZ13" s="2"/>
      <c r="JJK13" s="2"/>
      <c r="JJL13" s="2"/>
      <c r="JJM13" s="2"/>
      <c r="JJX13" s="2"/>
      <c r="JJY13" s="2"/>
      <c r="JJZ13" s="2"/>
      <c r="JKK13" s="2"/>
      <c r="JKL13" s="2"/>
      <c r="JKM13" s="2"/>
      <c r="JKX13" s="2"/>
      <c r="JKY13" s="2"/>
      <c r="JKZ13" s="2"/>
      <c r="JLK13" s="2"/>
      <c r="JLL13" s="2"/>
      <c r="JLM13" s="2"/>
      <c r="JLX13" s="2"/>
      <c r="JLY13" s="2"/>
      <c r="JLZ13" s="2"/>
      <c r="JMK13" s="2"/>
      <c r="JML13" s="2"/>
      <c r="JMM13" s="2"/>
      <c r="JMX13" s="2"/>
      <c r="JMY13" s="2"/>
      <c r="JMZ13" s="2"/>
      <c r="JNK13" s="2"/>
      <c r="JNL13" s="2"/>
      <c r="JNM13" s="2"/>
      <c r="JNX13" s="2"/>
      <c r="JNY13" s="2"/>
      <c r="JNZ13" s="2"/>
      <c r="JOK13" s="2"/>
      <c r="JOL13" s="2"/>
      <c r="JOM13" s="2"/>
      <c r="JOX13" s="2"/>
      <c r="JOY13" s="2"/>
      <c r="JOZ13" s="2"/>
      <c r="JPK13" s="2"/>
      <c r="JPL13" s="2"/>
      <c r="JPM13" s="2"/>
      <c r="JPX13" s="2"/>
      <c r="JPY13" s="2"/>
      <c r="JPZ13" s="2"/>
      <c r="JQK13" s="2"/>
      <c r="JQL13" s="2"/>
      <c r="JQM13" s="2"/>
      <c r="JQX13" s="2"/>
      <c r="JQY13" s="2"/>
      <c r="JQZ13" s="2"/>
      <c r="JRK13" s="2"/>
      <c r="JRL13" s="2"/>
      <c r="JRM13" s="2"/>
      <c r="JRX13" s="2"/>
      <c r="JRY13" s="2"/>
      <c r="JRZ13" s="2"/>
      <c r="JSK13" s="2"/>
      <c r="JSL13" s="2"/>
      <c r="JSM13" s="2"/>
      <c r="JSX13" s="2"/>
      <c r="JSY13" s="2"/>
      <c r="JSZ13" s="2"/>
      <c r="JTK13" s="2"/>
      <c r="JTL13" s="2"/>
      <c r="JTM13" s="2"/>
      <c r="JTX13" s="2"/>
      <c r="JTY13" s="2"/>
      <c r="JTZ13" s="2"/>
      <c r="JUK13" s="2"/>
      <c r="JUL13" s="2"/>
      <c r="JUM13" s="2"/>
      <c r="JUX13" s="2"/>
      <c r="JUY13" s="2"/>
      <c r="JUZ13" s="2"/>
      <c r="JVK13" s="2"/>
      <c r="JVL13" s="2"/>
      <c r="JVM13" s="2"/>
      <c r="JVX13" s="2"/>
      <c r="JVY13" s="2"/>
      <c r="JVZ13" s="2"/>
      <c r="JWK13" s="2"/>
      <c r="JWL13" s="2"/>
      <c r="JWM13" s="2"/>
      <c r="JWX13" s="2"/>
      <c r="JWY13" s="2"/>
      <c r="JWZ13" s="2"/>
      <c r="JXK13" s="2"/>
      <c r="JXL13" s="2"/>
      <c r="JXM13" s="2"/>
      <c r="JXX13" s="2"/>
      <c r="JXY13" s="2"/>
      <c r="JXZ13" s="2"/>
      <c r="JYK13" s="2"/>
      <c r="JYL13" s="2"/>
      <c r="JYM13" s="2"/>
      <c r="JYX13" s="2"/>
      <c r="JYY13" s="2"/>
      <c r="JYZ13" s="2"/>
      <c r="JZK13" s="2"/>
      <c r="JZL13" s="2"/>
      <c r="JZM13" s="2"/>
      <c r="JZX13" s="2"/>
      <c r="JZY13" s="2"/>
      <c r="JZZ13" s="2"/>
      <c r="KAK13" s="2"/>
      <c r="KAL13" s="2"/>
      <c r="KAM13" s="2"/>
      <c r="KAX13" s="2"/>
      <c r="KAY13" s="2"/>
      <c r="KAZ13" s="2"/>
      <c r="KBK13" s="2"/>
      <c r="KBL13" s="2"/>
      <c r="KBM13" s="2"/>
      <c r="KBX13" s="2"/>
      <c r="KBY13" s="2"/>
      <c r="KBZ13" s="2"/>
      <c r="KCK13" s="2"/>
      <c r="KCL13" s="2"/>
      <c r="KCM13" s="2"/>
      <c r="KCX13" s="2"/>
      <c r="KCY13" s="2"/>
      <c r="KCZ13" s="2"/>
      <c r="KDK13" s="2"/>
      <c r="KDL13" s="2"/>
      <c r="KDM13" s="2"/>
      <c r="KDX13" s="2"/>
      <c r="KDY13" s="2"/>
      <c r="KDZ13" s="2"/>
      <c r="KEK13" s="2"/>
      <c r="KEL13" s="2"/>
      <c r="KEM13" s="2"/>
      <c r="KEX13" s="2"/>
      <c r="KEY13" s="2"/>
      <c r="KEZ13" s="2"/>
      <c r="KFK13" s="2"/>
      <c r="KFL13" s="2"/>
      <c r="KFM13" s="2"/>
      <c r="KFX13" s="2"/>
      <c r="KFY13" s="2"/>
      <c r="KFZ13" s="2"/>
      <c r="KGK13" s="2"/>
      <c r="KGL13" s="2"/>
      <c r="KGM13" s="2"/>
      <c r="KGX13" s="2"/>
      <c r="KGY13" s="2"/>
      <c r="KGZ13" s="2"/>
      <c r="KHK13" s="2"/>
      <c r="KHL13" s="2"/>
      <c r="KHM13" s="2"/>
      <c r="KHX13" s="2"/>
      <c r="KHY13" s="2"/>
      <c r="KHZ13" s="2"/>
      <c r="KIK13" s="2"/>
      <c r="KIL13" s="2"/>
      <c r="KIM13" s="2"/>
      <c r="KIX13" s="2"/>
      <c r="KIY13" s="2"/>
      <c r="KIZ13" s="2"/>
      <c r="KJK13" s="2"/>
      <c r="KJL13" s="2"/>
      <c r="KJM13" s="2"/>
      <c r="KJX13" s="2"/>
      <c r="KJY13" s="2"/>
      <c r="KJZ13" s="2"/>
      <c r="KKK13" s="2"/>
      <c r="KKL13" s="2"/>
      <c r="KKM13" s="2"/>
      <c r="KKX13" s="2"/>
      <c r="KKY13" s="2"/>
      <c r="KKZ13" s="2"/>
      <c r="KLK13" s="2"/>
      <c r="KLL13" s="2"/>
      <c r="KLM13" s="2"/>
      <c r="KLX13" s="2"/>
      <c r="KLY13" s="2"/>
      <c r="KLZ13" s="2"/>
      <c r="KMK13" s="2"/>
      <c r="KML13" s="2"/>
      <c r="KMM13" s="2"/>
      <c r="KMX13" s="2"/>
      <c r="KMY13" s="2"/>
      <c r="KMZ13" s="2"/>
      <c r="KNK13" s="2"/>
      <c r="KNL13" s="2"/>
      <c r="KNM13" s="2"/>
      <c r="KNX13" s="2"/>
      <c r="KNY13" s="2"/>
      <c r="KNZ13" s="2"/>
      <c r="KOK13" s="2"/>
      <c r="KOL13" s="2"/>
      <c r="KOM13" s="2"/>
      <c r="KOX13" s="2"/>
      <c r="KOY13" s="2"/>
      <c r="KOZ13" s="2"/>
      <c r="KPK13" s="2"/>
      <c r="KPL13" s="2"/>
      <c r="KPM13" s="2"/>
      <c r="KPX13" s="2"/>
      <c r="KPY13" s="2"/>
      <c r="KPZ13" s="2"/>
      <c r="KQK13" s="2"/>
      <c r="KQL13" s="2"/>
      <c r="KQM13" s="2"/>
      <c r="KQX13" s="2"/>
      <c r="KQY13" s="2"/>
      <c r="KQZ13" s="2"/>
      <c r="KRK13" s="2"/>
      <c r="KRL13" s="2"/>
      <c r="KRM13" s="2"/>
      <c r="KRX13" s="2"/>
      <c r="KRY13" s="2"/>
      <c r="KRZ13" s="2"/>
      <c r="KSK13" s="2"/>
      <c r="KSL13" s="2"/>
      <c r="KSM13" s="2"/>
      <c r="KSX13" s="2"/>
      <c r="KSY13" s="2"/>
      <c r="KSZ13" s="2"/>
      <c r="KTK13" s="2"/>
      <c r="KTL13" s="2"/>
      <c r="KTM13" s="2"/>
      <c r="KTX13" s="2"/>
      <c r="KTY13" s="2"/>
      <c r="KTZ13" s="2"/>
      <c r="KUK13" s="2"/>
      <c r="KUL13" s="2"/>
      <c r="KUM13" s="2"/>
      <c r="KUX13" s="2"/>
      <c r="KUY13" s="2"/>
      <c r="KUZ13" s="2"/>
      <c r="KVK13" s="2"/>
      <c r="KVL13" s="2"/>
      <c r="KVM13" s="2"/>
      <c r="KVX13" s="2"/>
      <c r="KVY13" s="2"/>
      <c r="KVZ13" s="2"/>
      <c r="KWK13" s="2"/>
      <c r="KWL13" s="2"/>
      <c r="KWM13" s="2"/>
      <c r="KWX13" s="2"/>
      <c r="KWY13" s="2"/>
      <c r="KWZ13" s="2"/>
      <c r="KXK13" s="2"/>
      <c r="KXL13" s="2"/>
      <c r="KXM13" s="2"/>
      <c r="KXX13" s="2"/>
      <c r="KXY13" s="2"/>
      <c r="KXZ13" s="2"/>
      <c r="KYK13" s="2"/>
      <c r="KYL13" s="2"/>
      <c r="KYM13" s="2"/>
      <c r="KYX13" s="2"/>
      <c r="KYY13" s="2"/>
      <c r="KYZ13" s="2"/>
      <c r="KZK13" s="2"/>
      <c r="KZL13" s="2"/>
      <c r="KZM13" s="2"/>
      <c r="KZX13" s="2"/>
      <c r="KZY13" s="2"/>
      <c r="KZZ13" s="2"/>
      <c r="LAK13" s="2"/>
      <c r="LAL13" s="2"/>
      <c r="LAM13" s="2"/>
      <c r="LAX13" s="2"/>
      <c r="LAY13" s="2"/>
      <c r="LAZ13" s="2"/>
      <c r="LBK13" s="2"/>
      <c r="LBL13" s="2"/>
      <c r="LBM13" s="2"/>
      <c r="LBX13" s="2"/>
      <c r="LBY13" s="2"/>
      <c r="LBZ13" s="2"/>
      <c r="LCK13" s="2"/>
      <c r="LCL13" s="2"/>
      <c r="LCM13" s="2"/>
      <c r="LCX13" s="2"/>
      <c r="LCY13" s="2"/>
      <c r="LCZ13" s="2"/>
      <c r="LDK13" s="2"/>
      <c r="LDL13" s="2"/>
      <c r="LDM13" s="2"/>
      <c r="LDX13" s="2"/>
      <c r="LDY13" s="2"/>
      <c r="LDZ13" s="2"/>
      <c r="LEK13" s="2"/>
      <c r="LEL13" s="2"/>
      <c r="LEM13" s="2"/>
      <c r="LEX13" s="2"/>
      <c r="LEY13" s="2"/>
      <c r="LEZ13" s="2"/>
      <c r="LFK13" s="2"/>
      <c r="LFL13" s="2"/>
      <c r="LFM13" s="2"/>
      <c r="LFX13" s="2"/>
      <c r="LFY13" s="2"/>
      <c r="LFZ13" s="2"/>
      <c r="LGK13" s="2"/>
      <c r="LGL13" s="2"/>
      <c r="LGM13" s="2"/>
      <c r="LGX13" s="2"/>
      <c r="LGY13" s="2"/>
      <c r="LGZ13" s="2"/>
      <c r="LHK13" s="2"/>
      <c r="LHL13" s="2"/>
      <c r="LHM13" s="2"/>
      <c r="LHX13" s="2"/>
      <c r="LHY13" s="2"/>
      <c r="LHZ13" s="2"/>
      <c r="LIK13" s="2"/>
      <c r="LIL13" s="2"/>
      <c r="LIM13" s="2"/>
      <c r="LIX13" s="2"/>
      <c r="LIY13" s="2"/>
      <c r="LIZ13" s="2"/>
      <c r="LJK13" s="2"/>
      <c r="LJL13" s="2"/>
      <c r="LJM13" s="2"/>
      <c r="LJX13" s="2"/>
      <c r="LJY13" s="2"/>
      <c r="LJZ13" s="2"/>
      <c r="LKK13" s="2"/>
      <c r="LKL13" s="2"/>
      <c r="LKM13" s="2"/>
      <c r="LKX13" s="2"/>
      <c r="LKY13" s="2"/>
      <c r="LKZ13" s="2"/>
      <c r="LLK13" s="2"/>
      <c r="LLL13" s="2"/>
      <c r="LLM13" s="2"/>
      <c r="LLX13" s="2"/>
      <c r="LLY13" s="2"/>
      <c r="LLZ13" s="2"/>
      <c r="LMK13" s="2"/>
      <c r="LML13" s="2"/>
      <c r="LMM13" s="2"/>
      <c r="LMX13" s="2"/>
      <c r="LMY13" s="2"/>
      <c r="LMZ13" s="2"/>
      <c r="LNK13" s="2"/>
      <c r="LNL13" s="2"/>
      <c r="LNM13" s="2"/>
      <c r="LNX13" s="2"/>
      <c r="LNY13" s="2"/>
      <c r="LNZ13" s="2"/>
      <c r="LOK13" s="2"/>
      <c r="LOL13" s="2"/>
      <c r="LOM13" s="2"/>
      <c r="LOX13" s="2"/>
      <c r="LOY13" s="2"/>
      <c r="LOZ13" s="2"/>
      <c r="LPK13" s="2"/>
      <c r="LPL13" s="2"/>
      <c r="LPM13" s="2"/>
      <c r="LPX13" s="2"/>
      <c r="LPY13" s="2"/>
      <c r="LPZ13" s="2"/>
      <c r="LQK13" s="2"/>
      <c r="LQL13" s="2"/>
      <c r="LQM13" s="2"/>
      <c r="LQX13" s="2"/>
      <c r="LQY13" s="2"/>
      <c r="LQZ13" s="2"/>
      <c r="LRK13" s="2"/>
      <c r="LRL13" s="2"/>
      <c r="LRM13" s="2"/>
      <c r="LRX13" s="2"/>
      <c r="LRY13" s="2"/>
      <c r="LRZ13" s="2"/>
      <c r="LSK13" s="2"/>
      <c r="LSL13" s="2"/>
      <c r="LSM13" s="2"/>
      <c r="LSX13" s="2"/>
      <c r="LSY13" s="2"/>
      <c r="LSZ13" s="2"/>
      <c r="LTK13" s="2"/>
      <c r="LTL13" s="2"/>
      <c r="LTM13" s="2"/>
      <c r="LTX13" s="2"/>
      <c r="LTY13" s="2"/>
      <c r="LTZ13" s="2"/>
      <c r="LUK13" s="2"/>
      <c r="LUL13" s="2"/>
      <c r="LUM13" s="2"/>
      <c r="LUX13" s="2"/>
      <c r="LUY13" s="2"/>
      <c r="LUZ13" s="2"/>
      <c r="LVK13" s="2"/>
      <c r="LVL13" s="2"/>
      <c r="LVM13" s="2"/>
      <c r="LVX13" s="2"/>
      <c r="LVY13" s="2"/>
      <c r="LVZ13" s="2"/>
      <c r="LWK13" s="2"/>
      <c r="LWL13" s="2"/>
      <c r="LWM13" s="2"/>
      <c r="LWX13" s="2"/>
      <c r="LWY13" s="2"/>
      <c r="LWZ13" s="2"/>
      <c r="LXK13" s="2"/>
      <c r="LXL13" s="2"/>
      <c r="LXM13" s="2"/>
      <c r="LXX13" s="2"/>
      <c r="LXY13" s="2"/>
      <c r="LXZ13" s="2"/>
      <c r="LYK13" s="2"/>
      <c r="LYL13" s="2"/>
      <c r="LYM13" s="2"/>
      <c r="LYX13" s="2"/>
      <c r="LYY13" s="2"/>
      <c r="LYZ13" s="2"/>
      <c r="LZK13" s="2"/>
      <c r="LZL13" s="2"/>
      <c r="LZM13" s="2"/>
      <c r="LZX13" s="2"/>
      <c r="LZY13" s="2"/>
      <c r="LZZ13" s="2"/>
      <c r="MAK13" s="2"/>
      <c r="MAL13" s="2"/>
      <c r="MAM13" s="2"/>
      <c r="MAX13" s="2"/>
      <c r="MAY13" s="2"/>
      <c r="MAZ13" s="2"/>
      <c r="MBK13" s="2"/>
      <c r="MBL13" s="2"/>
      <c r="MBM13" s="2"/>
      <c r="MBX13" s="2"/>
      <c r="MBY13" s="2"/>
      <c r="MBZ13" s="2"/>
      <c r="MCK13" s="2"/>
      <c r="MCL13" s="2"/>
      <c r="MCM13" s="2"/>
      <c r="MCX13" s="2"/>
      <c r="MCY13" s="2"/>
      <c r="MCZ13" s="2"/>
      <c r="MDK13" s="2"/>
      <c r="MDL13" s="2"/>
      <c r="MDM13" s="2"/>
      <c r="MDX13" s="2"/>
      <c r="MDY13" s="2"/>
      <c r="MDZ13" s="2"/>
      <c r="MEK13" s="2"/>
      <c r="MEL13" s="2"/>
      <c r="MEM13" s="2"/>
      <c r="MEX13" s="2"/>
      <c r="MEY13" s="2"/>
      <c r="MEZ13" s="2"/>
      <c r="MFK13" s="2"/>
      <c r="MFL13" s="2"/>
      <c r="MFM13" s="2"/>
      <c r="MFX13" s="2"/>
      <c r="MFY13" s="2"/>
      <c r="MFZ13" s="2"/>
      <c r="MGK13" s="2"/>
      <c r="MGL13" s="2"/>
      <c r="MGM13" s="2"/>
      <c r="MGX13" s="2"/>
      <c r="MGY13" s="2"/>
      <c r="MGZ13" s="2"/>
      <c r="MHK13" s="2"/>
      <c r="MHL13" s="2"/>
      <c r="MHM13" s="2"/>
      <c r="MHX13" s="2"/>
      <c r="MHY13" s="2"/>
      <c r="MHZ13" s="2"/>
      <c r="MIK13" s="2"/>
      <c r="MIL13" s="2"/>
      <c r="MIM13" s="2"/>
      <c r="MIX13" s="2"/>
      <c r="MIY13" s="2"/>
      <c r="MIZ13" s="2"/>
      <c r="MJK13" s="2"/>
      <c r="MJL13" s="2"/>
      <c r="MJM13" s="2"/>
      <c r="MJX13" s="2"/>
      <c r="MJY13" s="2"/>
      <c r="MJZ13" s="2"/>
      <c r="MKK13" s="2"/>
      <c r="MKL13" s="2"/>
      <c r="MKM13" s="2"/>
      <c r="MKX13" s="2"/>
      <c r="MKY13" s="2"/>
      <c r="MKZ13" s="2"/>
      <c r="MLK13" s="2"/>
      <c r="MLL13" s="2"/>
      <c r="MLM13" s="2"/>
      <c r="MLX13" s="2"/>
      <c r="MLY13" s="2"/>
      <c r="MLZ13" s="2"/>
      <c r="MMK13" s="2"/>
      <c r="MML13" s="2"/>
      <c r="MMM13" s="2"/>
      <c r="MMX13" s="2"/>
      <c r="MMY13" s="2"/>
      <c r="MMZ13" s="2"/>
      <c r="MNK13" s="2"/>
      <c r="MNL13" s="2"/>
      <c r="MNM13" s="2"/>
      <c r="MNX13" s="2"/>
      <c r="MNY13" s="2"/>
      <c r="MNZ13" s="2"/>
      <c r="MOK13" s="2"/>
      <c r="MOL13" s="2"/>
      <c r="MOM13" s="2"/>
      <c r="MOX13" s="2"/>
      <c r="MOY13" s="2"/>
      <c r="MOZ13" s="2"/>
      <c r="MPK13" s="2"/>
      <c r="MPL13" s="2"/>
      <c r="MPM13" s="2"/>
      <c r="MPX13" s="2"/>
      <c r="MPY13" s="2"/>
      <c r="MPZ13" s="2"/>
      <c r="MQK13" s="2"/>
      <c r="MQL13" s="2"/>
      <c r="MQM13" s="2"/>
      <c r="MQX13" s="2"/>
      <c r="MQY13" s="2"/>
      <c r="MQZ13" s="2"/>
      <c r="MRK13" s="2"/>
      <c r="MRL13" s="2"/>
      <c r="MRM13" s="2"/>
      <c r="MRX13" s="2"/>
      <c r="MRY13" s="2"/>
      <c r="MRZ13" s="2"/>
      <c r="MSK13" s="2"/>
      <c r="MSL13" s="2"/>
      <c r="MSM13" s="2"/>
      <c r="MSX13" s="2"/>
      <c r="MSY13" s="2"/>
      <c r="MSZ13" s="2"/>
      <c r="MTK13" s="2"/>
      <c r="MTL13" s="2"/>
      <c r="MTM13" s="2"/>
      <c r="MTX13" s="2"/>
      <c r="MTY13" s="2"/>
      <c r="MTZ13" s="2"/>
      <c r="MUK13" s="2"/>
      <c r="MUL13" s="2"/>
      <c r="MUM13" s="2"/>
      <c r="MUX13" s="2"/>
      <c r="MUY13" s="2"/>
      <c r="MUZ13" s="2"/>
      <c r="MVK13" s="2"/>
      <c r="MVL13" s="2"/>
      <c r="MVM13" s="2"/>
      <c r="MVX13" s="2"/>
      <c r="MVY13" s="2"/>
      <c r="MVZ13" s="2"/>
      <c r="MWK13" s="2"/>
      <c r="MWL13" s="2"/>
      <c r="MWM13" s="2"/>
      <c r="MWX13" s="2"/>
      <c r="MWY13" s="2"/>
      <c r="MWZ13" s="2"/>
      <c r="MXK13" s="2"/>
      <c r="MXL13" s="2"/>
      <c r="MXM13" s="2"/>
      <c r="MXX13" s="2"/>
      <c r="MXY13" s="2"/>
      <c r="MXZ13" s="2"/>
      <c r="MYK13" s="2"/>
      <c r="MYL13" s="2"/>
      <c r="MYM13" s="2"/>
      <c r="MYX13" s="2"/>
      <c r="MYY13" s="2"/>
      <c r="MYZ13" s="2"/>
      <c r="MZK13" s="2"/>
      <c r="MZL13" s="2"/>
      <c r="MZM13" s="2"/>
      <c r="MZX13" s="2"/>
      <c r="MZY13" s="2"/>
      <c r="MZZ13" s="2"/>
      <c r="NAK13" s="2"/>
      <c r="NAL13" s="2"/>
      <c r="NAM13" s="2"/>
      <c r="NAX13" s="2"/>
      <c r="NAY13" s="2"/>
      <c r="NAZ13" s="2"/>
      <c r="NBK13" s="2"/>
      <c r="NBL13" s="2"/>
      <c r="NBM13" s="2"/>
      <c r="NBX13" s="2"/>
      <c r="NBY13" s="2"/>
      <c r="NBZ13" s="2"/>
      <c r="NCK13" s="2"/>
      <c r="NCL13" s="2"/>
      <c r="NCM13" s="2"/>
      <c r="NCX13" s="2"/>
      <c r="NCY13" s="2"/>
      <c r="NCZ13" s="2"/>
      <c r="NDK13" s="2"/>
      <c r="NDL13" s="2"/>
      <c r="NDM13" s="2"/>
      <c r="NDX13" s="2"/>
      <c r="NDY13" s="2"/>
      <c r="NDZ13" s="2"/>
      <c r="NEK13" s="2"/>
      <c r="NEL13" s="2"/>
      <c r="NEM13" s="2"/>
      <c r="NEX13" s="2"/>
      <c r="NEY13" s="2"/>
      <c r="NEZ13" s="2"/>
      <c r="NFK13" s="2"/>
      <c r="NFL13" s="2"/>
      <c r="NFM13" s="2"/>
      <c r="NFX13" s="2"/>
      <c r="NFY13" s="2"/>
      <c r="NFZ13" s="2"/>
      <c r="NGK13" s="2"/>
      <c r="NGL13" s="2"/>
      <c r="NGM13" s="2"/>
      <c r="NGX13" s="2"/>
      <c r="NGY13" s="2"/>
      <c r="NGZ13" s="2"/>
      <c r="NHK13" s="2"/>
      <c r="NHL13" s="2"/>
      <c r="NHM13" s="2"/>
      <c r="NHX13" s="2"/>
      <c r="NHY13" s="2"/>
      <c r="NHZ13" s="2"/>
      <c r="NIK13" s="2"/>
      <c r="NIL13" s="2"/>
      <c r="NIM13" s="2"/>
      <c r="NIX13" s="2"/>
      <c r="NIY13" s="2"/>
      <c r="NIZ13" s="2"/>
      <c r="NJK13" s="2"/>
      <c r="NJL13" s="2"/>
      <c r="NJM13" s="2"/>
      <c r="NJX13" s="2"/>
      <c r="NJY13" s="2"/>
      <c r="NJZ13" s="2"/>
      <c r="NKK13" s="2"/>
      <c r="NKL13" s="2"/>
      <c r="NKM13" s="2"/>
      <c r="NKX13" s="2"/>
      <c r="NKY13" s="2"/>
      <c r="NKZ13" s="2"/>
      <c r="NLK13" s="2"/>
      <c r="NLL13" s="2"/>
      <c r="NLM13" s="2"/>
      <c r="NLX13" s="2"/>
      <c r="NLY13" s="2"/>
      <c r="NLZ13" s="2"/>
      <c r="NMK13" s="2"/>
      <c r="NML13" s="2"/>
      <c r="NMM13" s="2"/>
      <c r="NMX13" s="2"/>
      <c r="NMY13" s="2"/>
      <c r="NMZ13" s="2"/>
      <c r="NNK13" s="2"/>
      <c r="NNL13" s="2"/>
      <c r="NNM13" s="2"/>
      <c r="NNX13" s="2"/>
      <c r="NNY13" s="2"/>
      <c r="NNZ13" s="2"/>
      <c r="NOK13" s="2"/>
      <c r="NOL13" s="2"/>
      <c r="NOM13" s="2"/>
      <c r="NOX13" s="2"/>
      <c r="NOY13" s="2"/>
      <c r="NOZ13" s="2"/>
      <c r="NPK13" s="2"/>
      <c r="NPL13" s="2"/>
      <c r="NPM13" s="2"/>
      <c r="NPX13" s="2"/>
      <c r="NPY13" s="2"/>
      <c r="NPZ13" s="2"/>
      <c r="NQK13" s="2"/>
      <c r="NQL13" s="2"/>
      <c r="NQM13" s="2"/>
      <c r="NQX13" s="2"/>
      <c r="NQY13" s="2"/>
      <c r="NQZ13" s="2"/>
      <c r="NRK13" s="2"/>
      <c r="NRL13" s="2"/>
      <c r="NRM13" s="2"/>
      <c r="NRX13" s="2"/>
      <c r="NRY13" s="2"/>
      <c r="NRZ13" s="2"/>
      <c r="NSK13" s="2"/>
      <c r="NSL13" s="2"/>
      <c r="NSM13" s="2"/>
      <c r="NSX13" s="2"/>
      <c r="NSY13" s="2"/>
      <c r="NSZ13" s="2"/>
      <c r="NTK13" s="2"/>
      <c r="NTL13" s="2"/>
      <c r="NTM13" s="2"/>
      <c r="NTX13" s="2"/>
      <c r="NTY13" s="2"/>
      <c r="NTZ13" s="2"/>
      <c r="NUK13" s="2"/>
      <c r="NUL13" s="2"/>
      <c r="NUM13" s="2"/>
      <c r="NUX13" s="2"/>
      <c r="NUY13" s="2"/>
      <c r="NUZ13" s="2"/>
      <c r="NVK13" s="2"/>
      <c r="NVL13" s="2"/>
      <c r="NVM13" s="2"/>
      <c r="NVX13" s="2"/>
      <c r="NVY13" s="2"/>
      <c r="NVZ13" s="2"/>
      <c r="NWK13" s="2"/>
      <c r="NWL13" s="2"/>
      <c r="NWM13" s="2"/>
      <c r="NWX13" s="2"/>
      <c r="NWY13" s="2"/>
      <c r="NWZ13" s="2"/>
      <c r="NXK13" s="2"/>
      <c r="NXL13" s="2"/>
      <c r="NXM13" s="2"/>
      <c r="NXX13" s="2"/>
      <c r="NXY13" s="2"/>
      <c r="NXZ13" s="2"/>
      <c r="NYK13" s="2"/>
      <c r="NYL13" s="2"/>
      <c r="NYM13" s="2"/>
      <c r="NYX13" s="2"/>
      <c r="NYY13" s="2"/>
      <c r="NYZ13" s="2"/>
      <c r="NZK13" s="2"/>
      <c r="NZL13" s="2"/>
      <c r="NZM13" s="2"/>
      <c r="NZX13" s="2"/>
      <c r="NZY13" s="2"/>
      <c r="NZZ13" s="2"/>
      <c r="OAK13" s="2"/>
      <c r="OAL13" s="2"/>
      <c r="OAM13" s="2"/>
      <c r="OAX13" s="2"/>
      <c r="OAY13" s="2"/>
      <c r="OAZ13" s="2"/>
      <c r="OBK13" s="2"/>
      <c r="OBL13" s="2"/>
      <c r="OBM13" s="2"/>
      <c r="OBX13" s="2"/>
      <c r="OBY13" s="2"/>
      <c r="OBZ13" s="2"/>
      <c r="OCK13" s="2"/>
      <c r="OCL13" s="2"/>
      <c r="OCM13" s="2"/>
      <c r="OCX13" s="2"/>
      <c r="OCY13" s="2"/>
      <c r="OCZ13" s="2"/>
      <c r="ODK13" s="2"/>
      <c r="ODL13" s="2"/>
      <c r="ODM13" s="2"/>
      <c r="ODX13" s="2"/>
      <c r="ODY13" s="2"/>
      <c r="ODZ13" s="2"/>
      <c r="OEK13" s="2"/>
      <c r="OEL13" s="2"/>
      <c r="OEM13" s="2"/>
      <c r="OEX13" s="2"/>
      <c r="OEY13" s="2"/>
      <c r="OEZ13" s="2"/>
      <c r="OFK13" s="2"/>
      <c r="OFL13" s="2"/>
      <c r="OFM13" s="2"/>
      <c r="OFX13" s="2"/>
      <c r="OFY13" s="2"/>
      <c r="OFZ13" s="2"/>
      <c r="OGK13" s="2"/>
      <c r="OGL13" s="2"/>
      <c r="OGM13" s="2"/>
      <c r="OGX13" s="2"/>
      <c r="OGY13" s="2"/>
      <c r="OGZ13" s="2"/>
      <c r="OHK13" s="2"/>
      <c r="OHL13" s="2"/>
      <c r="OHM13" s="2"/>
      <c r="OHX13" s="2"/>
      <c r="OHY13" s="2"/>
      <c r="OHZ13" s="2"/>
      <c r="OIK13" s="2"/>
      <c r="OIL13" s="2"/>
      <c r="OIM13" s="2"/>
      <c r="OIX13" s="2"/>
      <c r="OIY13" s="2"/>
      <c r="OIZ13" s="2"/>
      <c r="OJK13" s="2"/>
      <c r="OJL13" s="2"/>
      <c r="OJM13" s="2"/>
      <c r="OJX13" s="2"/>
      <c r="OJY13" s="2"/>
      <c r="OJZ13" s="2"/>
      <c r="OKK13" s="2"/>
      <c r="OKL13" s="2"/>
      <c r="OKM13" s="2"/>
      <c r="OKX13" s="2"/>
      <c r="OKY13" s="2"/>
      <c r="OKZ13" s="2"/>
      <c r="OLK13" s="2"/>
      <c r="OLL13" s="2"/>
      <c r="OLM13" s="2"/>
      <c r="OLX13" s="2"/>
      <c r="OLY13" s="2"/>
      <c r="OLZ13" s="2"/>
      <c r="OMK13" s="2"/>
      <c r="OML13" s="2"/>
      <c r="OMM13" s="2"/>
      <c r="OMX13" s="2"/>
      <c r="OMY13" s="2"/>
      <c r="OMZ13" s="2"/>
      <c r="ONK13" s="2"/>
      <c r="ONL13" s="2"/>
      <c r="ONM13" s="2"/>
      <c r="ONX13" s="2"/>
      <c r="ONY13" s="2"/>
      <c r="ONZ13" s="2"/>
      <c r="OOK13" s="2"/>
      <c r="OOL13" s="2"/>
      <c r="OOM13" s="2"/>
      <c r="OOX13" s="2"/>
      <c r="OOY13" s="2"/>
      <c r="OOZ13" s="2"/>
      <c r="OPK13" s="2"/>
      <c r="OPL13" s="2"/>
      <c r="OPM13" s="2"/>
      <c r="OPX13" s="2"/>
      <c r="OPY13" s="2"/>
      <c r="OPZ13" s="2"/>
      <c r="OQK13" s="2"/>
      <c r="OQL13" s="2"/>
      <c r="OQM13" s="2"/>
      <c r="OQX13" s="2"/>
      <c r="OQY13" s="2"/>
      <c r="OQZ13" s="2"/>
      <c r="ORK13" s="2"/>
      <c r="ORL13" s="2"/>
      <c r="ORM13" s="2"/>
      <c r="ORX13" s="2"/>
      <c r="ORY13" s="2"/>
      <c r="ORZ13" s="2"/>
      <c r="OSK13" s="2"/>
      <c r="OSL13" s="2"/>
      <c r="OSM13" s="2"/>
      <c r="OSX13" s="2"/>
      <c r="OSY13" s="2"/>
      <c r="OSZ13" s="2"/>
      <c r="OTK13" s="2"/>
      <c r="OTL13" s="2"/>
      <c r="OTM13" s="2"/>
      <c r="OTX13" s="2"/>
      <c r="OTY13" s="2"/>
      <c r="OTZ13" s="2"/>
      <c r="OUK13" s="2"/>
      <c r="OUL13" s="2"/>
      <c r="OUM13" s="2"/>
      <c r="OUX13" s="2"/>
      <c r="OUY13" s="2"/>
      <c r="OUZ13" s="2"/>
      <c r="OVK13" s="2"/>
      <c r="OVL13" s="2"/>
      <c r="OVM13" s="2"/>
      <c r="OVX13" s="2"/>
      <c r="OVY13" s="2"/>
      <c r="OVZ13" s="2"/>
      <c r="OWK13" s="2"/>
      <c r="OWL13" s="2"/>
      <c r="OWM13" s="2"/>
      <c r="OWX13" s="2"/>
      <c r="OWY13" s="2"/>
      <c r="OWZ13" s="2"/>
      <c r="OXK13" s="2"/>
      <c r="OXL13" s="2"/>
      <c r="OXM13" s="2"/>
      <c r="OXX13" s="2"/>
      <c r="OXY13" s="2"/>
      <c r="OXZ13" s="2"/>
      <c r="OYK13" s="2"/>
      <c r="OYL13" s="2"/>
      <c r="OYM13" s="2"/>
      <c r="OYX13" s="2"/>
      <c r="OYY13" s="2"/>
      <c r="OYZ13" s="2"/>
      <c r="OZK13" s="2"/>
      <c r="OZL13" s="2"/>
      <c r="OZM13" s="2"/>
      <c r="OZX13" s="2"/>
      <c r="OZY13" s="2"/>
      <c r="OZZ13" s="2"/>
      <c r="PAK13" s="2"/>
      <c r="PAL13" s="2"/>
      <c r="PAM13" s="2"/>
      <c r="PAX13" s="2"/>
      <c r="PAY13" s="2"/>
      <c r="PAZ13" s="2"/>
      <c r="PBK13" s="2"/>
      <c r="PBL13" s="2"/>
      <c r="PBM13" s="2"/>
      <c r="PBX13" s="2"/>
      <c r="PBY13" s="2"/>
      <c r="PBZ13" s="2"/>
      <c r="PCK13" s="2"/>
      <c r="PCL13" s="2"/>
      <c r="PCM13" s="2"/>
      <c r="PCX13" s="2"/>
      <c r="PCY13" s="2"/>
      <c r="PCZ13" s="2"/>
      <c r="PDK13" s="2"/>
      <c r="PDL13" s="2"/>
      <c r="PDM13" s="2"/>
      <c r="PDX13" s="2"/>
      <c r="PDY13" s="2"/>
      <c r="PDZ13" s="2"/>
      <c r="PEK13" s="2"/>
      <c r="PEL13" s="2"/>
      <c r="PEM13" s="2"/>
      <c r="PEX13" s="2"/>
      <c r="PEY13" s="2"/>
      <c r="PEZ13" s="2"/>
      <c r="PFK13" s="2"/>
      <c r="PFL13" s="2"/>
      <c r="PFM13" s="2"/>
      <c r="PFX13" s="2"/>
      <c r="PFY13" s="2"/>
      <c r="PFZ13" s="2"/>
      <c r="PGK13" s="2"/>
      <c r="PGL13" s="2"/>
      <c r="PGM13" s="2"/>
      <c r="PGX13" s="2"/>
      <c r="PGY13" s="2"/>
      <c r="PGZ13" s="2"/>
      <c r="PHK13" s="2"/>
      <c r="PHL13" s="2"/>
      <c r="PHM13" s="2"/>
      <c r="PHX13" s="2"/>
      <c r="PHY13" s="2"/>
      <c r="PHZ13" s="2"/>
      <c r="PIK13" s="2"/>
      <c r="PIL13" s="2"/>
      <c r="PIM13" s="2"/>
      <c r="PIX13" s="2"/>
      <c r="PIY13" s="2"/>
      <c r="PIZ13" s="2"/>
      <c r="PJK13" s="2"/>
      <c r="PJL13" s="2"/>
      <c r="PJM13" s="2"/>
      <c r="PJX13" s="2"/>
      <c r="PJY13" s="2"/>
      <c r="PJZ13" s="2"/>
      <c r="PKK13" s="2"/>
      <c r="PKL13" s="2"/>
      <c r="PKM13" s="2"/>
      <c r="PKX13" s="2"/>
      <c r="PKY13" s="2"/>
      <c r="PKZ13" s="2"/>
      <c r="PLK13" s="2"/>
      <c r="PLL13" s="2"/>
      <c r="PLM13" s="2"/>
      <c r="PLX13" s="2"/>
      <c r="PLY13" s="2"/>
      <c r="PLZ13" s="2"/>
      <c r="PMK13" s="2"/>
      <c r="PML13" s="2"/>
      <c r="PMM13" s="2"/>
      <c r="PMX13" s="2"/>
      <c r="PMY13" s="2"/>
      <c r="PMZ13" s="2"/>
      <c r="PNK13" s="2"/>
      <c r="PNL13" s="2"/>
      <c r="PNM13" s="2"/>
      <c r="PNX13" s="2"/>
      <c r="PNY13" s="2"/>
      <c r="PNZ13" s="2"/>
      <c r="POK13" s="2"/>
      <c r="POL13" s="2"/>
      <c r="POM13" s="2"/>
      <c r="POX13" s="2"/>
      <c r="POY13" s="2"/>
      <c r="POZ13" s="2"/>
      <c r="PPK13" s="2"/>
      <c r="PPL13" s="2"/>
      <c r="PPM13" s="2"/>
      <c r="PPX13" s="2"/>
      <c r="PPY13" s="2"/>
      <c r="PPZ13" s="2"/>
      <c r="PQK13" s="2"/>
      <c r="PQL13" s="2"/>
      <c r="PQM13" s="2"/>
      <c r="PQX13" s="2"/>
      <c r="PQY13" s="2"/>
      <c r="PQZ13" s="2"/>
      <c r="PRK13" s="2"/>
      <c r="PRL13" s="2"/>
      <c r="PRM13" s="2"/>
      <c r="PRX13" s="2"/>
      <c r="PRY13" s="2"/>
      <c r="PRZ13" s="2"/>
      <c r="PSK13" s="2"/>
      <c r="PSL13" s="2"/>
      <c r="PSM13" s="2"/>
      <c r="PSX13" s="2"/>
      <c r="PSY13" s="2"/>
      <c r="PSZ13" s="2"/>
      <c r="PTK13" s="2"/>
      <c r="PTL13" s="2"/>
      <c r="PTM13" s="2"/>
      <c r="PTX13" s="2"/>
      <c r="PTY13" s="2"/>
      <c r="PTZ13" s="2"/>
      <c r="PUK13" s="2"/>
      <c r="PUL13" s="2"/>
      <c r="PUM13" s="2"/>
      <c r="PUX13" s="2"/>
      <c r="PUY13" s="2"/>
      <c r="PUZ13" s="2"/>
      <c r="PVK13" s="2"/>
      <c r="PVL13" s="2"/>
      <c r="PVM13" s="2"/>
      <c r="PVX13" s="2"/>
      <c r="PVY13" s="2"/>
      <c r="PVZ13" s="2"/>
      <c r="PWK13" s="2"/>
      <c r="PWL13" s="2"/>
      <c r="PWM13" s="2"/>
      <c r="PWX13" s="2"/>
      <c r="PWY13" s="2"/>
      <c r="PWZ13" s="2"/>
      <c r="PXK13" s="2"/>
      <c r="PXL13" s="2"/>
      <c r="PXM13" s="2"/>
      <c r="PXX13" s="2"/>
      <c r="PXY13" s="2"/>
      <c r="PXZ13" s="2"/>
      <c r="PYK13" s="2"/>
      <c r="PYL13" s="2"/>
      <c r="PYM13" s="2"/>
      <c r="PYX13" s="2"/>
      <c r="PYY13" s="2"/>
      <c r="PYZ13" s="2"/>
      <c r="PZK13" s="2"/>
      <c r="PZL13" s="2"/>
      <c r="PZM13" s="2"/>
      <c r="PZX13" s="2"/>
      <c r="PZY13" s="2"/>
      <c r="PZZ13" s="2"/>
      <c r="QAK13" s="2"/>
      <c r="QAL13" s="2"/>
      <c r="QAM13" s="2"/>
      <c r="QAX13" s="2"/>
      <c r="QAY13" s="2"/>
      <c r="QAZ13" s="2"/>
      <c r="QBK13" s="2"/>
      <c r="QBL13" s="2"/>
      <c r="QBM13" s="2"/>
      <c r="QBX13" s="2"/>
      <c r="QBY13" s="2"/>
      <c r="QBZ13" s="2"/>
      <c r="QCK13" s="2"/>
      <c r="QCL13" s="2"/>
      <c r="QCM13" s="2"/>
      <c r="QCX13" s="2"/>
      <c r="QCY13" s="2"/>
      <c r="QCZ13" s="2"/>
      <c r="QDK13" s="2"/>
      <c r="QDL13" s="2"/>
      <c r="QDM13" s="2"/>
      <c r="QDX13" s="2"/>
      <c r="QDY13" s="2"/>
      <c r="QDZ13" s="2"/>
      <c r="QEK13" s="2"/>
      <c r="QEL13" s="2"/>
      <c r="QEM13" s="2"/>
      <c r="QEX13" s="2"/>
      <c r="QEY13" s="2"/>
      <c r="QEZ13" s="2"/>
      <c r="QFK13" s="2"/>
      <c r="QFL13" s="2"/>
      <c r="QFM13" s="2"/>
      <c r="QFX13" s="2"/>
      <c r="QFY13" s="2"/>
      <c r="QFZ13" s="2"/>
      <c r="QGK13" s="2"/>
      <c r="QGL13" s="2"/>
      <c r="QGM13" s="2"/>
      <c r="QGX13" s="2"/>
      <c r="QGY13" s="2"/>
      <c r="QGZ13" s="2"/>
      <c r="QHK13" s="2"/>
      <c r="QHL13" s="2"/>
      <c r="QHM13" s="2"/>
      <c r="QHX13" s="2"/>
      <c r="QHY13" s="2"/>
      <c r="QHZ13" s="2"/>
      <c r="QIK13" s="2"/>
      <c r="QIL13" s="2"/>
      <c r="QIM13" s="2"/>
      <c r="QIX13" s="2"/>
      <c r="QIY13" s="2"/>
      <c r="QIZ13" s="2"/>
      <c r="QJK13" s="2"/>
      <c r="QJL13" s="2"/>
      <c r="QJM13" s="2"/>
      <c r="QJX13" s="2"/>
      <c r="QJY13" s="2"/>
      <c r="QJZ13" s="2"/>
      <c r="QKK13" s="2"/>
      <c r="QKL13" s="2"/>
      <c r="QKM13" s="2"/>
      <c r="QKX13" s="2"/>
      <c r="QKY13" s="2"/>
      <c r="QKZ13" s="2"/>
      <c r="QLK13" s="2"/>
      <c r="QLL13" s="2"/>
      <c r="QLM13" s="2"/>
      <c r="QLX13" s="2"/>
      <c r="QLY13" s="2"/>
      <c r="QLZ13" s="2"/>
      <c r="QMK13" s="2"/>
      <c r="QML13" s="2"/>
      <c r="QMM13" s="2"/>
      <c r="QMX13" s="2"/>
      <c r="QMY13" s="2"/>
      <c r="QMZ13" s="2"/>
      <c r="QNK13" s="2"/>
      <c r="QNL13" s="2"/>
      <c r="QNM13" s="2"/>
      <c r="QNX13" s="2"/>
      <c r="QNY13" s="2"/>
      <c r="QNZ13" s="2"/>
      <c r="QOK13" s="2"/>
      <c r="QOL13" s="2"/>
      <c r="QOM13" s="2"/>
      <c r="QOX13" s="2"/>
      <c r="QOY13" s="2"/>
      <c r="QOZ13" s="2"/>
      <c r="QPK13" s="2"/>
      <c r="QPL13" s="2"/>
      <c r="QPM13" s="2"/>
      <c r="QPX13" s="2"/>
      <c r="QPY13" s="2"/>
      <c r="QPZ13" s="2"/>
      <c r="QQK13" s="2"/>
      <c r="QQL13" s="2"/>
      <c r="QQM13" s="2"/>
      <c r="QQX13" s="2"/>
      <c r="QQY13" s="2"/>
      <c r="QQZ13" s="2"/>
      <c r="QRK13" s="2"/>
      <c r="QRL13" s="2"/>
      <c r="QRM13" s="2"/>
      <c r="QRX13" s="2"/>
      <c r="QRY13" s="2"/>
      <c r="QRZ13" s="2"/>
      <c r="QSK13" s="2"/>
      <c r="QSL13" s="2"/>
      <c r="QSM13" s="2"/>
      <c r="QSX13" s="2"/>
      <c r="QSY13" s="2"/>
      <c r="QSZ13" s="2"/>
      <c r="QTK13" s="2"/>
      <c r="QTL13" s="2"/>
      <c r="QTM13" s="2"/>
      <c r="QTX13" s="2"/>
      <c r="QTY13" s="2"/>
      <c r="QTZ13" s="2"/>
      <c r="QUK13" s="2"/>
      <c r="QUL13" s="2"/>
      <c r="QUM13" s="2"/>
      <c r="QUX13" s="2"/>
      <c r="QUY13" s="2"/>
      <c r="QUZ13" s="2"/>
      <c r="QVK13" s="2"/>
      <c r="QVL13" s="2"/>
      <c r="QVM13" s="2"/>
      <c r="QVX13" s="2"/>
      <c r="QVY13" s="2"/>
      <c r="QVZ13" s="2"/>
      <c r="QWK13" s="2"/>
      <c r="QWL13" s="2"/>
      <c r="QWM13" s="2"/>
      <c r="QWX13" s="2"/>
      <c r="QWY13" s="2"/>
      <c r="QWZ13" s="2"/>
      <c r="QXK13" s="2"/>
      <c r="QXL13" s="2"/>
      <c r="QXM13" s="2"/>
      <c r="QXX13" s="2"/>
      <c r="QXY13" s="2"/>
      <c r="QXZ13" s="2"/>
      <c r="QYK13" s="2"/>
      <c r="QYL13" s="2"/>
      <c r="QYM13" s="2"/>
      <c r="QYX13" s="2"/>
      <c r="QYY13" s="2"/>
      <c r="QYZ13" s="2"/>
      <c r="QZK13" s="2"/>
      <c r="QZL13" s="2"/>
      <c r="QZM13" s="2"/>
      <c r="QZX13" s="2"/>
      <c r="QZY13" s="2"/>
      <c r="QZZ13" s="2"/>
      <c r="RAK13" s="2"/>
      <c r="RAL13" s="2"/>
      <c r="RAM13" s="2"/>
      <c r="RAX13" s="2"/>
      <c r="RAY13" s="2"/>
      <c r="RAZ13" s="2"/>
      <c r="RBK13" s="2"/>
      <c r="RBL13" s="2"/>
      <c r="RBM13" s="2"/>
      <c r="RBX13" s="2"/>
      <c r="RBY13" s="2"/>
      <c r="RBZ13" s="2"/>
      <c r="RCK13" s="2"/>
      <c r="RCL13" s="2"/>
      <c r="RCM13" s="2"/>
      <c r="RCX13" s="2"/>
      <c r="RCY13" s="2"/>
      <c r="RCZ13" s="2"/>
      <c r="RDK13" s="2"/>
      <c r="RDL13" s="2"/>
      <c r="RDM13" s="2"/>
      <c r="RDX13" s="2"/>
      <c r="RDY13" s="2"/>
      <c r="RDZ13" s="2"/>
      <c r="REK13" s="2"/>
      <c r="REL13" s="2"/>
      <c r="REM13" s="2"/>
      <c r="REX13" s="2"/>
      <c r="REY13" s="2"/>
      <c r="REZ13" s="2"/>
      <c r="RFK13" s="2"/>
      <c r="RFL13" s="2"/>
      <c r="RFM13" s="2"/>
      <c r="RFX13" s="2"/>
      <c r="RFY13" s="2"/>
      <c r="RFZ13" s="2"/>
      <c r="RGK13" s="2"/>
      <c r="RGL13" s="2"/>
      <c r="RGM13" s="2"/>
      <c r="RGX13" s="2"/>
      <c r="RGY13" s="2"/>
      <c r="RGZ13" s="2"/>
      <c r="RHK13" s="2"/>
      <c r="RHL13" s="2"/>
      <c r="RHM13" s="2"/>
      <c r="RHX13" s="2"/>
      <c r="RHY13" s="2"/>
      <c r="RHZ13" s="2"/>
      <c r="RIK13" s="2"/>
      <c r="RIL13" s="2"/>
      <c r="RIM13" s="2"/>
      <c r="RIX13" s="2"/>
      <c r="RIY13" s="2"/>
      <c r="RIZ13" s="2"/>
      <c r="RJK13" s="2"/>
      <c r="RJL13" s="2"/>
      <c r="RJM13" s="2"/>
      <c r="RJX13" s="2"/>
      <c r="RJY13" s="2"/>
      <c r="RJZ13" s="2"/>
      <c r="RKK13" s="2"/>
      <c r="RKL13" s="2"/>
      <c r="RKM13" s="2"/>
      <c r="RKX13" s="2"/>
      <c r="RKY13" s="2"/>
      <c r="RKZ13" s="2"/>
      <c r="RLK13" s="2"/>
      <c r="RLL13" s="2"/>
      <c r="RLM13" s="2"/>
      <c r="RLX13" s="2"/>
      <c r="RLY13" s="2"/>
      <c r="RLZ13" s="2"/>
      <c r="RMK13" s="2"/>
      <c r="RML13" s="2"/>
      <c r="RMM13" s="2"/>
      <c r="RMX13" s="2"/>
      <c r="RMY13" s="2"/>
      <c r="RMZ13" s="2"/>
      <c r="RNK13" s="2"/>
      <c r="RNL13" s="2"/>
      <c r="RNM13" s="2"/>
      <c r="RNX13" s="2"/>
      <c r="RNY13" s="2"/>
      <c r="RNZ13" s="2"/>
      <c r="ROK13" s="2"/>
      <c r="ROL13" s="2"/>
      <c r="ROM13" s="2"/>
      <c r="ROX13" s="2"/>
      <c r="ROY13" s="2"/>
      <c r="ROZ13" s="2"/>
      <c r="RPK13" s="2"/>
      <c r="RPL13" s="2"/>
      <c r="RPM13" s="2"/>
      <c r="RPX13" s="2"/>
      <c r="RPY13" s="2"/>
      <c r="RPZ13" s="2"/>
      <c r="RQK13" s="2"/>
      <c r="RQL13" s="2"/>
      <c r="RQM13" s="2"/>
      <c r="RQX13" s="2"/>
      <c r="RQY13" s="2"/>
      <c r="RQZ13" s="2"/>
      <c r="RRK13" s="2"/>
      <c r="RRL13" s="2"/>
      <c r="RRM13" s="2"/>
      <c r="RRX13" s="2"/>
      <c r="RRY13" s="2"/>
      <c r="RRZ13" s="2"/>
      <c r="RSK13" s="2"/>
      <c r="RSL13" s="2"/>
      <c r="RSM13" s="2"/>
      <c r="RSX13" s="2"/>
      <c r="RSY13" s="2"/>
      <c r="RSZ13" s="2"/>
      <c r="RTK13" s="2"/>
      <c r="RTL13" s="2"/>
      <c r="RTM13" s="2"/>
      <c r="RTX13" s="2"/>
      <c r="RTY13" s="2"/>
      <c r="RTZ13" s="2"/>
      <c r="RUK13" s="2"/>
      <c r="RUL13" s="2"/>
      <c r="RUM13" s="2"/>
      <c r="RUX13" s="2"/>
      <c r="RUY13" s="2"/>
      <c r="RUZ13" s="2"/>
      <c r="RVK13" s="2"/>
      <c r="RVL13" s="2"/>
      <c r="RVM13" s="2"/>
      <c r="RVX13" s="2"/>
      <c r="RVY13" s="2"/>
      <c r="RVZ13" s="2"/>
      <c r="RWK13" s="2"/>
      <c r="RWL13" s="2"/>
      <c r="RWM13" s="2"/>
      <c r="RWX13" s="2"/>
      <c r="RWY13" s="2"/>
      <c r="RWZ13" s="2"/>
      <c r="RXK13" s="2"/>
      <c r="RXL13" s="2"/>
      <c r="RXM13" s="2"/>
      <c r="RXX13" s="2"/>
      <c r="RXY13" s="2"/>
      <c r="RXZ13" s="2"/>
      <c r="RYK13" s="2"/>
      <c r="RYL13" s="2"/>
      <c r="RYM13" s="2"/>
      <c r="RYX13" s="2"/>
      <c r="RYY13" s="2"/>
      <c r="RYZ13" s="2"/>
      <c r="RZK13" s="2"/>
      <c r="RZL13" s="2"/>
      <c r="RZM13" s="2"/>
      <c r="RZX13" s="2"/>
      <c r="RZY13" s="2"/>
      <c r="RZZ13" s="2"/>
      <c r="SAK13" s="2"/>
      <c r="SAL13" s="2"/>
      <c r="SAM13" s="2"/>
      <c r="SAX13" s="2"/>
      <c r="SAY13" s="2"/>
      <c r="SAZ13" s="2"/>
      <c r="SBK13" s="2"/>
      <c r="SBL13" s="2"/>
      <c r="SBM13" s="2"/>
      <c r="SBX13" s="2"/>
      <c r="SBY13" s="2"/>
      <c r="SBZ13" s="2"/>
      <c r="SCK13" s="2"/>
      <c r="SCL13" s="2"/>
      <c r="SCM13" s="2"/>
      <c r="SCX13" s="2"/>
      <c r="SCY13" s="2"/>
      <c r="SCZ13" s="2"/>
      <c r="SDK13" s="2"/>
      <c r="SDL13" s="2"/>
      <c r="SDM13" s="2"/>
      <c r="SDX13" s="2"/>
      <c r="SDY13" s="2"/>
      <c r="SDZ13" s="2"/>
      <c r="SEK13" s="2"/>
      <c r="SEL13" s="2"/>
      <c r="SEM13" s="2"/>
      <c r="SEX13" s="2"/>
      <c r="SEY13" s="2"/>
      <c r="SEZ13" s="2"/>
      <c r="SFK13" s="2"/>
      <c r="SFL13" s="2"/>
      <c r="SFM13" s="2"/>
      <c r="SFX13" s="2"/>
      <c r="SFY13" s="2"/>
      <c r="SFZ13" s="2"/>
      <c r="SGK13" s="2"/>
      <c r="SGL13" s="2"/>
      <c r="SGM13" s="2"/>
      <c r="SGX13" s="2"/>
      <c r="SGY13" s="2"/>
      <c r="SGZ13" s="2"/>
      <c r="SHK13" s="2"/>
      <c r="SHL13" s="2"/>
      <c r="SHM13" s="2"/>
      <c r="SHX13" s="2"/>
      <c r="SHY13" s="2"/>
      <c r="SHZ13" s="2"/>
      <c r="SIK13" s="2"/>
      <c r="SIL13" s="2"/>
      <c r="SIM13" s="2"/>
      <c r="SIX13" s="2"/>
      <c r="SIY13" s="2"/>
      <c r="SIZ13" s="2"/>
      <c r="SJK13" s="2"/>
      <c r="SJL13" s="2"/>
      <c r="SJM13" s="2"/>
      <c r="SJX13" s="2"/>
      <c r="SJY13" s="2"/>
      <c r="SJZ13" s="2"/>
      <c r="SKK13" s="2"/>
      <c r="SKL13" s="2"/>
      <c r="SKM13" s="2"/>
      <c r="SKX13" s="2"/>
      <c r="SKY13" s="2"/>
      <c r="SKZ13" s="2"/>
      <c r="SLK13" s="2"/>
      <c r="SLL13" s="2"/>
      <c r="SLM13" s="2"/>
      <c r="SLX13" s="2"/>
      <c r="SLY13" s="2"/>
      <c r="SLZ13" s="2"/>
      <c r="SMK13" s="2"/>
      <c r="SML13" s="2"/>
      <c r="SMM13" s="2"/>
      <c r="SMX13" s="2"/>
      <c r="SMY13" s="2"/>
      <c r="SMZ13" s="2"/>
      <c r="SNK13" s="2"/>
      <c r="SNL13" s="2"/>
      <c r="SNM13" s="2"/>
      <c r="SNX13" s="2"/>
      <c r="SNY13" s="2"/>
      <c r="SNZ13" s="2"/>
      <c r="SOK13" s="2"/>
      <c r="SOL13" s="2"/>
      <c r="SOM13" s="2"/>
      <c r="SOX13" s="2"/>
      <c r="SOY13" s="2"/>
      <c r="SOZ13" s="2"/>
      <c r="SPK13" s="2"/>
      <c r="SPL13" s="2"/>
      <c r="SPM13" s="2"/>
      <c r="SPX13" s="2"/>
      <c r="SPY13" s="2"/>
      <c r="SPZ13" s="2"/>
      <c r="SQK13" s="2"/>
      <c r="SQL13" s="2"/>
      <c r="SQM13" s="2"/>
      <c r="SQX13" s="2"/>
      <c r="SQY13" s="2"/>
      <c r="SQZ13" s="2"/>
      <c r="SRK13" s="2"/>
      <c r="SRL13" s="2"/>
      <c r="SRM13" s="2"/>
      <c r="SRX13" s="2"/>
      <c r="SRY13" s="2"/>
      <c r="SRZ13" s="2"/>
      <c r="SSK13" s="2"/>
      <c r="SSL13" s="2"/>
      <c r="SSM13" s="2"/>
      <c r="SSX13" s="2"/>
      <c r="SSY13" s="2"/>
      <c r="SSZ13" s="2"/>
      <c r="STK13" s="2"/>
      <c r="STL13" s="2"/>
      <c r="STM13" s="2"/>
      <c r="STX13" s="2"/>
      <c r="STY13" s="2"/>
      <c r="STZ13" s="2"/>
      <c r="SUK13" s="2"/>
      <c r="SUL13" s="2"/>
      <c r="SUM13" s="2"/>
      <c r="SUX13" s="2"/>
      <c r="SUY13" s="2"/>
      <c r="SUZ13" s="2"/>
      <c r="SVK13" s="2"/>
      <c r="SVL13" s="2"/>
      <c r="SVM13" s="2"/>
      <c r="SVX13" s="2"/>
      <c r="SVY13" s="2"/>
      <c r="SVZ13" s="2"/>
      <c r="SWK13" s="2"/>
      <c r="SWL13" s="2"/>
      <c r="SWM13" s="2"/>
      <c r="SWX13" s="2"/>
      <c r="SWY13" s="2"/>
      <c r="SWZ13" s="2"/>
      <c r="SXK13" s="2"/>
      <c r="SXL13" s="2"/>
      <c r="SXM13" s="2"/>
      <c r="SXX13" s="2"/>
      <c r="SXY13" s="2"/>
      <c r="SXZ13" s="2"/>
      <c r="SYK13" s="2"/>
      <c r="SYL13" s="2"/>
      <c r="SYM13" s="2"/>
      <c r="SYX13" s="2"/>
      <c r="SYY13" s="2"/>
      <c r="SYZ13" s="2"/>
      <c r="SZK13" s="2"/>
      <c r="SZL13" s="2"/>
      <c r="SZM13" s="2"/>
      <c r="SZX13" s="2"/>
      <c r="SZY13" s="2"/>
      <c r="SZZ13" s="2"/>
      <c r="TAK13" s="2"/>
      <c r="TAL13" s="2"/>
      <c r="TAM13" s="2"/>
      <c r="TAX13" s="2"/>
      <c r="TAY13" s="2"/>
      <c r="TAZ13" s="2"/>
      <c r="TBK13" s="2"/>
      <c r="TBL13" s="2"/>
      <c r="TBM13" s="2"/>
      <c r="TBX13" s="2"/>
      <c r="TBY13" s="2"/>
      <c r="TBZ13" s="2"/>
      <c r="TCK13" s="2"/>
      <c r="TCL13" s="2"/>
      <c r="TCM13" s="2"/>
      <c r="TCX13" s="2"/>
      <c r="TCY13" s="2"/>
      <c r="TCZ13" s="2"/>
      <c r="TDK13" s="2"/>
      <c r="TDL13" s="2"/>
      <c r="TDM13" s="2"/>
      <c r="TDX13" s="2"/>
      <c r="TDY13" s="2"/>
      <c r="TDZ13" s="2"/>
      <c r="TEK13" s="2"/>
      <c r="TEL13" s="2"/>
      <c r="TEM13" s="2"/>
      <c r="TEX13" s="2"/>
      <c r="TEY13" s="2"/>
      <c r="TEZ13" s="2"/>
      <c r="TFK13" s="2"/>
      <c r="TFL13" s="2"/>
      <c r="TFM13" s="2"/>
      <c r="TFX13" s="2"/>
      <c r="TFY13" s="2"/>
      <c r="TFZ13" s="2"/>
      <c r="TGK13" s="2"/>
      <c r="TGL13" s="2"/>
      <c r="TGM13" s="2"/>
      <c r="TGX13" s="2"/>
      <c r="TGY13" s="2"/>
      <c r="TGZ13" s="2"/>
      <c r="THK13" s="2"/>
      <c r="THL13" s="2"/>
      <c r="THM13" s="2"/>
      <c r="THX13" s="2"/>
      <c r="THY13" s="2"/>
      <c r="THZ13" s="2"/>
      <c r="TIK13" s="2"/>
      <c r="TIL13" s="2"/>
      <c r="TIM13" s="2"/>
      <c r="TIX13" s="2"/>
      <c r="TIY13" s="2"/>
      <c r="TIZ13" s="2"/>
      <c r="TJK13" s="2"/>
      <c r="TJL13" s="2"/>
      <c r="TJM13" s="2"/>
      <c r="TJX13" s="2"/>
      <c r="TJY13" s="2"/>
      <c r="TJZ13" s="2"/>
      <c r="TKK13" s="2"/>
      <c r="TKL13" s="2"/>
      <c r="TKM13" s="2"/>
      <c r="TKX13" s="2"/>
      <c r="TKY13" s="2"/>
      <c r="TKZ13" s="2"/>
      <c r="TLK13" s="2"/>
      <c r="TLL13" s="2"/>
      <c r="TLM13" s="2"/>
      <c r="TLX13" s="2"/>
      <c r="TLY13" s="2"/>
      <c r="TLZ13" s="2"/>
      <c r="TMK13" s="2"/>
      <c r="TML13" s="2"/>
      <c r="TMM13" s="2"/>
      <c r="TMX13" s="2"/>
      <c r="TMY13" s="2"/>
      <c r="TMZ13" s="2"/>
      <c r="TNK13" s="2"/>
      <c r="TNL13" s="2"/>
      <c r="TNM13" s="2"/>
      <c r="TNX13" s="2"/>
      <c r="TNY13" s="2"/>
      <c r="TNZ13" s="2"/>
      <c r="TOK13" s="2"/>
      <c r="TOL13" s="2"/>
      <c r="TOM13" s="2"/>
      <c r="TOX13" s="2"/>
      <c r="TOY13" s="2"/>
      <c r="TOZ13" s="2"/>
      <c r="TPK13" s="2"/>
      <c r="TPL13" s="2"/>
      <c r="TPM13" s="2"/>
      <c r="TPX13" s="2"/>
      <c r="TPY13" s="2"/>
      <c r="TPZ13" s="2"/>
      <c r="TQK13" s="2"/>
      <c r="TQL13" s="2"/>
      <c r="TQM13" s="2"/>
      <c r="TQX13" s="2"/>
      <c r="TQY13" s="2"/>
      <c r="TQZ13" s="2"/>
      <c r="TRK13" s="2"/>
      <c r="TRL13" s="2"/>
      <c r="TRM13" s="2"/>
      <c r="TRX13" s="2"/>
      <c r="TRY13" s="2"/>
      <c r="TRZ13" s="2"/>
      <c r="TSK13" s="2"/>
      <c r="TSL13" s="2"/>
      <c r="TSM13" s="2"/>
      <c r="TSX13" s="2"/>
      <c r="TSY13" s="2"/>
      <c r="TSZ13" s="2"/>
      <c r="TTK13" s="2"/>
      <c r="TTL13" s="2"/>
      <c r="TTM13" s="2"/>
      <c r="TTX13" s="2"/>
      <c r="TTY13" s="2"/>
      <c r="TTZ13" s="2"/>
      <c r="TUK13" s="2"/>
      <c r="TUL13" s="2"/>
      <c r="TUM13" s="2"/>
      <c r="TUX13" s="2"/>
      <c r="TUY13" s="2"/>
      <c r="TUZ13" s="2"/>
      <c r="TVK13" s="2"/>
      <c r="TVL13" s="2"/>
      <c r="TVM13" s="2"/>
      <c r="TVX13" s="2"/>
      <c r="TVY13" s="2"/>
      <c r="TVZ13" s="2"/>
      <c r="TWK13" s="2"/>
      <c r="TWL13" s="2"/>
      <c r="TWM13" s="2"/>
      <c r="TWX13" s="2"/>
      <c r="TWY13" s="2"/>
      <c r="TWZ13" s="2"/>
      <c r="TXK13" s="2"/>
      <c r="TXL13" s="2"/>
      <c r="TXM13" s="2"/>
      <c r="TXX13" s="2"/>
      <c r="TXY13" s="2"/>
      <c r="TXZ13" s="2"/>
      <c r="TYK13" s="2"/>
      <c r="TYL13" s="2"/>
      <c r="TYM13" s="2"/>
      <c r="TYX13" s="2"/>
      <c r="TYY13" s="2"/>
      <c r="TYZ13" s="2"/>
      <c r="TZK13" s="2"/>
      <c r="TZL13" s="2"/>
      <c r="TZM13" s="2"/>
      <c r="TZX13" s="2"/>
      <c r="TZY13" s="2"/>
      <c r="TZZ13" s="2"/>
      <c r="UAK13" s="2"/>
      <c r="UAL13" s="2"/>
      <c r="UAM13" s="2"/>
      <c r="UAX13" s="2"/>
      <c r="UAY13" s="2"/>
      <c r="UAZ13" s="2"/>
      <c r="UBK13" s="2"/>
      <c r="UBL13" s="2"/>
      <c r="UBM13" s="2"/>
      <c r="UBX13" s="2"/>
      <c r="UBY13" s="2"/>
      <c r="UBZ13" s="2"/>
      <c r="UCK13" s="2"/>
      <c r="UCL13" s="2"/>
      <c r="UCM13" s="2"/>
      <c r="UCX13" s="2"/>
      <c r="UCY13" s="2"/>
      <c r="UCZ13" s="2"/>
      <c r="UDK13" s="2"/>
      <c r="UDL13" s="2"/>
      <c r="UDM13" s="2"/>
      <c r="UDX13" s="2"/>
      <c r="UDY13" s="2"/>
      <c r="UDZ13" s="2"/>
      <c r="UEK13" s="2"/>
      <c r="UEL13" s="2"/>
      <c r="UEM13" s="2"/>
      <c r="UEX13" s="2"/>
      <c r="UEY13" s="2"/>
      <c r="UEZ13" s="2"/>
      <c r="UFK13" s="2"/>
      <c r="UFL13" s="2"/>
      <c r="UFM13" s="2"/>
      <c r="UFX13" s="2"/>
      <c r="UFY13" s="2"/>
      <c r="UFZ13" s="2"/>
      <c r="UGK13" s="2"/>
      <c r="UGL13" s="2"/>
      <c r="UGM13" s="2"/>
      <c r="UGX13" s="2"/>
      <c r="UGY13" s="2"/>
      <c r="UGZ13" s="2"/>
      <c r="UHK13" s="2"/>
      <c r="UHL13" s="2"/>
      <c r="UHM13" s="2"/>
      <c r="UHX13" s="2"/>
      <c r="UHY13" s="2"/>
      <c r="UHZ13" s="2"/>
      <c r="UIK13" s="2"/>
      <c r="UIL13" s="2"/>
      <c r="UIM13" s="2"/>
      <c r="UIX13" s="2"/>
      <c r="UIY13" s="2"/>
      <c r="UIZ13" s="2"/>
      <c r="UJK13" s="2"/>
      <c r="UJL13" s="2"/>
      <c r="UJM13" s="2"/>
      <c r="UJX13" s="2"/>
      <c r="UJY13" s="2"/>
      <c r="UJZ13" s="2"/>
      <c r="UKK13" s="2"/>
      <c r="UKL13" s="2"/>
      <c r="UKM13" s="2"/>
      <c r="UKX13" s="2"/>
      <c r="UKY13" s="2"/>
      <c r="UKZ13" s="2"/>
      <c r="ULK13" s="2"/>
      <c r="ULL13" s="2"/>
      <c r="ULM13" s="2"/>
      <c r="ULX13" s="2"/>
      <c r="ULY13" s="2"/>
      <c r="ULZ13" s="2"/>
      <c r="UMK13" s="2"/>
      <c r="UML13" s="2"/>
      <c r="UMM13" s="2"/>
      <c r="UMX13" s="2"/>
      <c r="UMY13" s="2"/>
      <c r="UMZ13" s="2"/>
      <c r="UNK13" s="2"/>
      <c r="UNL13" s="2"/>
      <c r="UNM13" s="2"/>
      <c r="UNX13" s="2"/>
      <c r="UNY13" s="2"/>
      <c r="UNZ13" s="2"/>
      <c r="UOK13" s="2"/>
      <c r="UOL13" s="2"/>
      <c r="UOM13" s="2"/>
      <c r="UOX13" s="2"/>
      <c r="UOY13" s="2"/>
      <c r="UOZ13" s="2"/>
      <c r="UPK13" s="2"/>
      <c r="UPL13" s="2"/>
      <c r="UPM13" s="2"/>
      <c r="UPX13" s="2"/>
      <c r="UPY13" s="2"/>
      <c r="UPZ13" s="2"/>
      <c r="UQK13" s="2"/>
      <c r="UQL13" s="2"/>
      <c r="UQM13" s="2"/>
      <c r="UQX13" s="2"/>
      <c r="UQY13" s="2"/>
      <c r="UQZ13" s="2"/>
      <c r="URK13" s="2"/>
      <c r="URL13" s="2"/>
      <c r="URM13" s="2"/>
      <c r="URX13" s="2"/>
      <c r="URY13" s="2"/>
      <c r="URZ13" s="2"/>
      <c r="USK13" s="2"/>
      <c r="USL13" s="2"/>
      <c r="USM13" s="2"/>
      <c r="USX13" s="2"/>
      <c r="USY13" s="2"/>
      <c r="USZ13" s="2"/>
      <c r="UTK13" s="2"/>
      <c r="UTL13" s="2"/>
      <c r="UTM13" s="2"/>
      <c r="UTX13" s="2"/>
      <c r="UTY13" s="2"/>
      <c r="UTZ13" s="2"/>
      <c r="UUK13" s="2"/>
      <c r="UUL13" s="2"/>
      <c r="UUM13" s="2"/>
      <c r="UUX13" s="2"/>
      <c r="UUY13" s="2"/>
      <c r="UUZ13" s="2"/>
      <c r="UVK13" s="2"/>
      <c r="UVL13" s="2"/>
      <c r="UVM13" s="2"/>
      <c r="UVX13" s="2"/>
      <c r="UVY13" s="2"/>
      <c r="UVZ13" s="2"/>
      <c r="UWK13" s="2"/>
      <c r="UWL13" s="2"/>
      <c r="UWM13" s="2"/>
      <c r="UWX13" s="2"/>
      <c r="UWY13" s="2"/>
      <c r="UWZ13" s="2"/>
      <c r="UXK13" s="2"/>
      <c r="UXL13" s="2"/>
      <c r="UXM13" s="2"/>
      <c r="UXX13" s="2"/>
      <c r="UXY13" s="2"/>
      <c r="UXZ13" s="2"/>
      <c r="UYK13" s="2"/>
      <c r="UYL13" s="2"/>
      <c r="UYM13" s="2"/>
      <c r="UYX13" s="2"/>
      <c r="UYY13" s="2"/>
      <c r="UYZ13" s="2"/>
      <c r="UZK13" s="2"/>
      <c r="UZL13" s="2"/>
      <c r="UZM13" s="2"/>
      <c r="UZX13" s="2"/>
      <c r="UZY13" s="2"/>
      <c r="UZZ13" s="2"/>
      <c r="VAK13" s="2"/>
      <c r="VAL13" s="2"/>
      <c r="VAM13" s="2"/>
      <c r="VAX13" s="2"/>
      <c r="VAY13" s="2"/>
      <c r="VAZ13" s="2"/>
      <c r="VBK13" s="2"/>
      <c r="VBL13" s="2"/>
      <c r="VBM13" s="2"/>
      <c r="VBX13" s="2"/>
      <c r="VBY13" s="2"/>
      <c r="VBZ13" s="2"/>
      <c r="VCK13" s="2"/>
      <c r="VCL13" s="2"/>
      <c r="VCM13" s="2"/>
      <c r="VCX13" s="2"/>
      <c r="VCY13" s="2"/>
      <c r="VCZ13" s="2"/>
      <c r="VDK13" s="2"/>
      <c r="VDL13" s="2"/>
      <c r="VDM13" s="2"/>
      <c r="VDX13" s="2"/>
      <c r="VDY13" s="2"/>
      <c r="VDZ13" s="2"/>
      <c r="VEK13" s="2"/>
      <c r="VEL13" s="2"/>
      <c r="VEM13" s="2"/>
      <c r="VEX13" s="2"/>
      <c r="VEY13" s="2"/>
      <c r="VEZ13" s="2"/>
      <c r="VFK13" s="2"/>
      <c r="VFL13" s="2"/>
      <c r="VFM13" s="2"/>
      <c r="VFX13" s="2"/>
      <c r="VFY13" s="2"/>
      <c r="VFZ13" s="2"/>
      <c r="VGK13" s="2"/>
      <c r="VGL13" s="2"/>
      <c r="VGM13" s="2"/>
      <c r="VGX13" s="2"/>
      <c r="VGY13" s="2"/>
      <c r="VGZ13" s="2"/>
      <c r="VHK13" s="2"/>
      <c r="VHL13" s="2"/>
      <c r="VHM13" s="2"/>
      <c r="VHX13" s="2"/>
      <c r="VHY13" s="2"/>
      <c r="VHZ13" s="2"/>
      <c r="VIK13" s="2"/>
      <c r="VIL13" s="2"/>
      <c r="VIM13" s="2"/>
      <c r="VIX13" s="2"/>
      <c r="VIY13" s="2"/>
      <c r="VIZ13" s="2"/>
      <c r="VJK13" s="2"/>
      <c r="VJL13" s="2"/>
      <c r="VJM13" s="2"/>
      <c r="VJX13" s="2"/>
      <c r="VJY13" s="2"/>
      <c r="VJZ13" s="2"/>
      <c r="VKK13" s="2"/>
      <c r="VKL13" s="2"/>
      <c r="VKM13" s="2"/>
      <c r="VKX13" s="2"/>
      <c r="VKY13" s="2"/>
      <c r="VKZ13" s="2"/>
      <c r="VLK13" s="2"/>
      <c r="VLL13" s="2"/>
      <c r="VLM13" s="2"/>
      <c r="VLX13" s="2"/>
      <c r="VLY13" s="2"/>
      <c r="VLZ13" s="2"/>
      <c r="VMK13" s="2"/>
      <c r="VML13" s="2"/>
      <c r="VMM13" s="2"/>
      <c r="VMX13" s="2"/>
      <c r="VMY13" s="2"/>
      <c r="VMZ13" s="2"/>
      <c r="VNK13" s="2"/>
      <c r="VNL13" s="2"/>
      <c r="VNM13" s="2"/>
      <c r="VNX13" s="2"/>
      <c r="VNY13" s="2"/>
      <c r="VNZ13" s="2"/>
      <c r="VOK13" s="2"/>
      <c r="VOL13" s="2"/>
      <c r="VOM13" s="2"/>
      <c r="VOX13" s="2"/>
      <c r="VOY13" s="2"/>
      <c r="VOZ13" s="2"/>
      <c r="VPK13" s="2"/>
      <c r="VPL13" s="2"/>
      <c r="VPM13" s="2"/>
      <c r="VPX13" s="2"/>
      <c r="VPY13" s="2"/>
      <c r="VPZ13" s="2"/>
      <c r="VQK13" s="2"/>
      <c r="VQL13" s="2"/>
      <c r="VQM13" s="2"/>
      <c r="VQX13" s="2"/>
      <c r="VQY13" s="2"/>
      <c r="VQZ13" s="2"/>
      <c r="VRK13" s="2"/>
      <c r="VRL13" s="2"/>
      <c r="VRM13" s="2"/>
      <c r="VRX13" s="2"/>
      <c r="VRY13" s="2"/>
      <c r="VRZ13" s="2"/>
      <c r="VSK13" s="2"/>
      <c r="VSL13" s="2"/>
      <c r="VSM13" s="2"/>
      <c r="VSX13" s="2"/>
      <c r="VSY13" s="2"/>
      <c r="VSZ13" s="2"/>
      <c r="VTK13" s="2"/>
      <c r="VTL13" s="2"/>
      <c r="VTM13" s="2"/>
      <c r="VTX13" s="2"/>
      <c r="VTY13" s="2"/>
      <c r="VTZ13" s="2"/>
      <c r="VUK13" s="2"/>
      <c r="VUL13" s="2"/>
      <c r="VUM13" s="2"/>
      <c r="VUX13" s="2"/>
      <c r="VUY13" s="2"/>
      <c r="VUZ13" s="2"/>
      <c r="VVK13" s="2"/>
      <c r="VVL13" s="2"/>
      <c r="VVM13" s="2"/>
      <c r="VVX13" s="2"/>
      <c r="VVY13" s="2"/>
      <c r="VVZ13" s="2"/>
      <c r="VWK13" s="2"/>
      <c r="VWL13" s="2"/>
      <c r="VWM13" s="2"/>
      <c r="VWX13" s="2"/>
      <c r="VWY13" s="2"/>
      <c r="VWZ13" s="2"/>
      <c r="VXK13" s="2"/>
      <c r="VXL13" s="2"/>
      <c r="VXM13" s="2"/>
      <c r="VXX13" s="2"/>
      <c r="VXY13" s="2"/>
      <c r="VXZ13" s="2"/>
      <c r="VYK13" s="2"/>
      <c r="VYL13" s="2"/>
      <c r="VYM13" s="2"/>
      <c r="VYX13" s="2"/>
      <c r="VYY13" s="2"/>
      <c r="VYZ13" s="2"/>
      <c r="VZK13" s="2"/>
      <c r="VZL13" s="2"/>
      <c r="VZM13" s="2"/>
      <c r="VZX13" s="2"/>
      <c r="VZY13" s="2"/>
      <c r="VZZ13" s="2"/>
      <c r="WAK13" s="2"/>
      <c r="WAL13" s="2"/>
      <c r="WAM13" s="2"/>
      <c r="WAX13" s="2"/>
      <c r="WAY13" s="2"/>
      <c r="WAZ13" s="2"/>
      <c r="WBK13" s="2"/>
      <c r="WBL13" s="2"/>
      <c r="WBM13" s="2"/>
      <c r="WBX13" s="2"/>
      <c r="WBY13" s="2"/>
      <c r="WBZ13" s="2"/>
      <c r="WCK13" s="2"/>
      <c r="WCL13" s="2"/>
      <c r="WCM13" s="2"/>
      <c r="WCX13" s="2"/>
      <c r="WCY13" s="2"/>
      <c r="WCZ13" s="2"/>
      <c r="WDK13" s="2"/>
      <c r="WDL13" s="2"/>
      <c r="WDM13" s="2"/>
      <c r="WDX13" s="2"/>
      <c r="WDY13" s="2"/>
      <c r="WDZ13" s="2"/>
      <c r="WEK13" s="2"/>
      <c r="WEL13" s="2"/>
      <c r="WEM13" s="2"/>
      <c r="WEX13" s="2"/>
      <c r="WEY13" s="2"/>
      <c r="WEZ13" s="2"/>
      <c r="WFK13" s="2"/>
      <c r="WFL13" s="2"/>
      <c r="WFM13" s="2"/>
      <c r="WFX13" s="2"/>
      <c r="WFY13" s="2"/>
      <c r="WFZ13" s="2"/>
      <c r="WGK13" s="2"/>
      <c r="WGL13" s="2"/>
      <c r="WGM13" s="2"/>
      <c r="WGX13" s="2"/>
      <c r="WGY13" s="2"/>
      <c r="WGZ13" s="2"/>
      <c r="WHK13" s="2"/>
      <c r="WHL13" s="2"/>
      <c r="WHM13" s="2"/>
      <c r="WHX13" s="2"/>
      <c r="WHY13" s="2"/>
      <c r="WHZ13" s="2"/>
      <c r="WIK13" s="2"/>
      <c r="WIL13" s="2"/>
      <c r="WIM13" s="2"/>
      <c r="WIX13" s="2"/>
      <c r="WIY13" s="2"/>
      <c r="WIZ13" s="2"/>
      <c r="WJK13" s="2"/>
      <c r="WJL13" s="2"/>
      <c r="WJM13" s="2"/>
      <c r="WJX13" s="2"/>
      <c r="WJY13" s="2"/>
      <c r="WJZ13" s="2"/>
      <c r="WKK13" s="2"/>
      <c r="WKL13" s="2"/>
      <c r="WKM13" s="2"/>
      <c r="WKX13" s="2"/>
      <c r="WKY13" s="2"/>
      <c r="WKZ13" s="2"/>
      <c r="WLK13" s="2"/>
      <c r="WLL13" s="2"/>
      <c r="WLM13" s="2"/>
      <c r="WLX13" s="2"/>
      <c r="WLY13" s="2"/>
      <c r="WLZ13" s="2"/>
      <c r="WMK13" s="2"/>
      <c r="WML13" s="2"/>
      <c r="WMM13" s="2"/>
      <c r="WMX13" s="2"/>
      <c r="WMY13" s="2"/>
      <c r="WMZ13" s="2"/>
      <c r="WNK13" s="2"/>
      <c r="WNL13" s="2"/>
      <c r="WNM13" s="2"/>
      <c r="WNX13" s="2"/>
      <c r="WNY13" s="2"/>
      <c r="WNZ13" s="2"/>
      <c r="WOK13" s="2"/>
      <c r="WOL13" s="2"/>
      <c r="WOM13" s="2"/>
      <c r="WOX13" s="2"/>
      <c r="WOY13" s="2"/>
      <c r="WOZ13" s="2"/>
      <c r="WPK13" s="2"/>
      <c r="WPL13" s="2"/>
      <c r="WPM13" s="2"/>
      <c r="WPX13" s="2"/>
      <c r="WPY13" s="2"/>
      <c r="WPZ13" s="2"/>
      <c r="WQK13" s="2"/>
      <c r="WQL13" s="2"/>
      <c r="WQM13" s="2"/>
      <c r="WQX13" s="2"/>
      <c r="WQY13" s="2"/>
      <c r="WQZ13" s="2"/>
      <c r="WRK13" s="2"/>
      <c r="WRL13" s="2"/>
      <c r="WRM13" s="2"/>
      <c r="WRX13" s="2"/>
      <c r="WRY13" s="2"/>
      <c r="WRZ13" s="2"/>
      <c r="WSK13" s="2"/>
      <c r="WSL13" s="2"/>
      <c r="WSM13" s="2"/>
      <c r="WSX13" s="2"/>
      <c r="WSY13" s="2"/>
      <c r="WSZ13" s="2"/>
      <c r="WTK13" s="2"/>
      <c r="WTL13" s="2"/>
      <c r="WTM13" s="2"/>
      <c r="WTX13" s="2"/>
      <c r="WTY13" s="2"/>
      <c r="WTZ13" s="2"/>
      <c r="WUK13" s="2"/>
      <c r="WUL13" s="2"/>
      <c r="WUM13" s="2"/>
      <c r="WUX13" s="2"/>
      <c r="WUY13" s="2"/>
      <c r="WUZ13" s="2"/>
      <c r="WVK13" s="2"/>
      <c r="WVL13" s="2"/>
      <c r="WVM13" s="2"/>
      <c r="WVX13" s="2"/>
      <c r="WVY13" s="2"/>
      <c r="WVZ13" s="2"/>
      <c r="WWK13" s="2"/>
      <c r="WWL13" s="2"/>
      <c r="WWM13" s="2"/>
      <c r="WWX13" s="2"/>
      <c r="WWY13" s="2"/>
      <c r="WWZ13" s="2"/>
      <c r="WXK13" s="2"/>
      <c r="WXL13" s="2"/>
      <c r="WXM13" s="2"/>
      <c r="WXX13" s="2"/>
      <c r="WXY13" s="2"/>
      <c r="WXZ13" s="2"/>
      <c r="WYK13" s="2"/>
      <c r="WYL13" s="2"/>
      <c r="WYM13" s="2"/>
      <c r="WYX13" s="2"/>
      <c r="WYY13" s="2"/>
      <c r="WYZ13" s="2"/>
      <c r="WZK13" s="2"/>
      <c r="WZL13" s="2"/>
      <c r="WZM13" s="2"/>
      <c r="WZX13" s="2"/>
      <c r="WZY13" s="2"/>
      <c r="WZZ13" s="2"/>
      <c r="XAK13" s="2"/>
      <c r="XAL13" s="2"/>
      <c r="XAM13" s="2"/>
      <c r="XAX13" s="2"/>
      <c r="XAY13" s="2"/>
      <c r="XAZ13" s="2"/>
      <c r="XBK13" s="2"/>
      <c r="XBL13" s="2"/>
      <c r="XBM13" s="2"/>
      <c r="XBX13" s="2"/>
      <c r="XBY13" s="2"/>
      <c r="XBZ13" s="2"/>
      <c r="XCK13" s="2"/>
      <c r="XCL13" s="2"/>
      <c r="XCM13" s="2"/>
      <c r="XCX13" s="2"/>
      <c r="XCY13" s="2"/>
      <c r="XCZ13" s="2"/>
      <c r="XDK13" s="2"/>
      <c r="XDL13" s="2"/>
      <c r="XDM13" s="2"/>
      <c r="XDX13" s="2"/>
      <c r="XDY13" s="2"/>
      <c r="XDZ13" s="2"/>
      <c r="XEK13" s="2"/>
      <c r="XEL13" s="2"/>
      <c r="XEM13" s="2"/>
      <c r="XEX13" s="2"/>
      <c r="XEY13" s="2"/>
      <c r="XEZ13" s="2"/>
    </row>
    <row r="14" spans="1:2041 2051:3068 3078:4095 4105:6136 6146:7163 7173:8190 8200:10231 10241:11258 11268:12285 12295:13312 13322:15353 15363:16380" s="63" customFormat="1" ht="15" customHeight="1" x14ac:dyDescent="0.2">
      <c r="A14" s="841"/>
      <c r="B14" s="607" t="s">
        <v>600</v>
      </c>
      <c r="D14" s="3"/>
      <c r="K14" s="2"/>
      <c r="L14" s="699"/>
      <c r="M14" s="2"/>
      <c r="N14" s="55"/>
      <c r="S14" s="155"/>
      <c r="T14" s="1"/>
      <c r="U14" s="1"/>
      <c r="V14" s="1"/>
      <c r="W14" s="1"/>
      <c r="X14" s="1"/>
      <c r="Y14" s="1"/>
      <c r="Z14" s="2"/>
      <c r="AD14" s="49"/>
      <c r="BK14" s="2"/>
      <c r="BL14" s="2"/>
      <c r="BM14" s="2"/>
      <c r="BX14" s="2"/>
      <c r="BY14" s="2"/>
      <c r="BZ14" s="2"/>
      <c r="CK14" s="2"/>
      <c r="CL14" s="2"/>
      <c r="CM14" s="2"/>
      <c r="CX14" s="2"/>
      <c r="CY14" s="2"/>
      <c r="CZ14" s="2"/>
      <c r="DK14" s="2"/>
      <c r="DL14" s="2"/>
      <c r="DM14" s="2"/>
      <c r="DX14" s="2"/>
      <c r="DY14" s="2"/>
      <c r="DZ14" s="2"/>
      <c r="EK14" s="2"/>
      <c r="EL14" s="2"/>
      <c r="EM14" s="2"/>
      <c r="EX14" s="2"/>
      <c r="EY14" s="2"/>
      <c r="EZ14" s="2"/>
      <c r="FK14" s="2"/>
      <c r="FL14" s="2"/>
      <c r="FM14" s="2"/>
      <c r="FX14" s="2"/>
      <c r="FY14" s="2"/>
      <c r="FZ14" s="2"/>
      <c r="GK14" s="2"/>
      <c r="GL14" s="2"/>
      <c r="GM14" s="2"/>
      <c r="GX14" s="2"/>
      <c r="GY14" s="2"/>
      <c r="GZ14" s="2"/>
      <c r="HK14" s="2"/>
      <c r="HL14" s="2"/>
      <c r="HM14" s="2"/>
      <c r="HX14" s="2"/>
      <c r="HY14" s="2"/>
      <c r="HZ14" s="2"/>
      <c r="IK14" s="2"/>
      <c r="IL14" s="2"/>
      <c r="IM14" s="2"/>
      <c r="IX14" s="2"/>
      <c r="IY14" s="2"/>
      <c r="IZ14" s="2"/>
      <c r="JK14" s="2"/>
      <c r="JL14" s="2"/>
      <c r="JM14" s="2"/>
      <c r="JX14" s="2"/>
      <c r="JY14" s="2"/>
      <c r="JZ14" s="2"/>
      <c r="KK14" s="2"/>
      <c r="KL14" s="2"/>
      <c r="KM14" s="2"/>
      <c r="KX14" s="2"/>
      <c r="KY14" s="2"/>
      <c r="KZ14" s="2"/>
      <c r="LK14" s="2"/>
      <c r="LL14" s="2"/>
      <c r="LM14" s="2"/>
      <c r="LX14" s="2"/>
      <c r="LY14" s="2"/>
      <c r="LZ14" s="2"/>
      <c r="MK14" s="2"/>
      <c r="ML14" s="2"/>
      <c r="MM14" s="2"/>
      <c r="MX14" s="2"/>
      <c r="MY14" s="2"/>
      <c r="MZ14" s="2"/>
      <c r="NK14" s="2"/>
      <c r="NL14" s="2"/>
      <c r="NM14" s="2"/>
      <c r="NX14" s="2"/>
      <c r="NY14" s="2"/>
      <c r="NZ14" s="2"/>
      <c r="OK14" s="2"/>
      <c r="OL14" s="2"/>
      <c r="OM14" s="2"/>
      <c r="OX14" s="2"/>
      <c r="OY14" s="2"/>
      <c r="OZ14" s="2"/>
      <c r="PK14" s="2"/>
      <c r="PL14" s="2"/>
      <c r="PM14" s="2"/>
      <c r="PX14" s="2"/>
      <c r="PY14" s="2"/>
      <c r="PZ14" s="2"/>
      <c r="QK14" s="2"/>
      <c r="QL14" s="2"/>
      <c r="QM14" s="2"/>
      <c r="QX14" s="2"/>
      <c r="QY14" s="2"/>
      <c r="QZ14" s="2"/>
      <c r="RK14" s="2"/>
      <c r="RL14" s="2"/>
      <c r="RM14" s="2"/>
      <c r="RX14" s="2"/>
      <c r="RY14" s="2"/>
      <c r="RZ14" s="2"/>
      <c r="SK14" s="2"/>
      <c r="SL14" s="2"/>
      <c r="SM14" s="2"/>
      <c r="SX14" s="2"/>
      <c r="SY14" s="2"/>
      <c r="SZ14" s="2"/>
      <c r="TK14" s="2"/>
      <c r="TL14" s="2"/>
      <c r="TM14" s="2"/>
      <c r="TX14" s="2"/>
      <c r="TY14" s="2"/>
      <c r="TZ14" s="2"/>
      <c r="UK14" s="2"/>
      <c r="UL14" s="2"/>
      <c r="UM14" s="2"/>
      <c r="UX14" s="2"/>
      <c r="UY14" s="2"/>
      <c r="UZ14" s="2"/>
      <c r="VK14" s="2"/>
      <c r="VL14" s="2"/>
      <c r="VM14" s="2"/>
      <c r="VX14" s="2"/>
      <c r="VY14" s="2"/>
      <c r="VZ14" s="2"/>
      <c r="WK14" s="2"/>
      <c r="WL14" s="2"/>
      <c r="WM14" s="2"/>
      <c r="WX14" s="2"/>
      <c r="WY14" s="2"/>
      <c r="WZ14" s="2"/>
      <c r="XK14" s="2"/>
      <c r="XL14" s="2"/>
      <c r="XM14" s="2"/>
      <c r="XX14" s="2"/>
      <c r="XY14" s="2"/>
      <c r="XZ14" s="2"/>
      <c r="YK14" s="2"/>
      <c r="YL14" s="2"/>
      <c r="YM14" s="2"/>
      <c r="YX14" s="2"/>
      <c r="YY14" s="2"/>
      <c r="YZ14" s="2"/>
      <c r="ZK14" s="2"/>
      <c r="ZL14" s="2"/>
      <c r="ZM14" s="2"/>
      <c r="ZX14" s="2"/>
      <c r="ZY14" s="2"/>
      <c r="ZZ14" s="2"/>
      <c r="AAK14" s="2"/>
      <c r="AAL14" s="2"/>
      <c r="AAM14" s="2"/>
      <c r="AAX14" s="2"/>
      <c r="AAY14" s="2"/>
      <c r="AAZ14" s="2"/>
      <c r="ABK14" s="2"/>
      <c r="ABL14" s="2"/>
      <c r="ABM14" s="2"/>
      <c r="ABX14" s="2"/>
      <c r="ABY14" s="2"/>
      <c r="ABZ14" s="2"/>
      <c r="ACK14" s="2"/>
      <c r="ACL14" s="2"/>
      <c r="ACM14" s="2"/>
      <c r="ACX14" s="2"/>
      <c r="ACY14" s="2"/>
      <c r="ACZ14" s="2"/>
      <c r="ADK14" s="2"/>
      <c r="ADL14" s="2"/>
      <c r="ADM14" s="2"/>
      <c r="ADX14" s="2"/>
      <c r="ADY14" s="2"/>
      <c r="ADZ14" s="2"/>
      <c r="AEK14" s="2"/>
      <c r="AEL14" s="2"/>
      <c r="AEM14" s="2"/>
      <c r="AEX14" s="2"/>
      <c r="AEY14" s="2"/>
      <c r="AEZ14" s="2"/>
      <c r="AFK14" s="2"/>
      <c r="AFL14" s="2"/>
      <c r="AFM14" s="2"/>
      <c r="AFX14" s="2"/>
      <c r="AFY14" s="2"/>
      <c r="AFZ14" s="2"/>
      <c r="AGK14" s="2"/>
      <c r="AGL14" s="2"/>
      <c r="AGM14" s="2"/>
      <c r="AGX14" s="2"/>
      <c r="AGY14" s="2"/>
      <c r="AGZ14" s="2"/>
      <c r="AHK14" s="2"/>
      <c r="AHL14" s="2"/>
      <c r="AHM14" s="2"/>
      <c r="AHX14" s="2"/>
      <c r="AHY14" s="2"/>
      <c r="AHZ14" s="2"/>
      <c r="AIK14" s="2"/>
      <c r="AIL14" s="2"/>
      <c r="AIM14" s="2"/>
      <c r="AIX14" s="2"/>
      <c r="AIY14" s="2"/>
      <c r="AIZ14" s="2"/>
      <c r="AJK14" s="2"/>
      <c r="AJL14" s="2"/>
      <c r="AJM14" s="2"/>
      <c r="AJX14" s="2"/>
      <c r="AJY14" s="2"/>
      <c r="AJZ14" s="2"/>
      <c r="AKK14" s="2"/>
      <c r="AKL14" s="2"/>
      <c r="AKM14" s="2"/>
      <c r="AKX14" s="2"/>
      <c r="AKY14" s="2"/>
      <c r="AKZ14" s="2"/>
      <c r="ALK14" s="2"/>
      <c r="ALL14" s="2"/>
      <c r="ALM14" s="2"/>
      <c r="ALX14" s="2"/>
      <c r="ALY14" s="2"/>
      <c r="ALZ14" s="2"/>
      <c r="AMK14" s="2"/>
      <c r="AML14" s="2"/>
      <c r="AMM14" s="2"/>
      <c r="AMX14" s="2"/>
      <c r="AMY14" s="2"/>
      <c r="AMZ14" s="2"/>
      <c r="ANK14" s="2"/>
      <c r="ANL14" s="2"/>
      <c r="ANM14" s="2"/>
      <c r="ANX14" s="2"/>
      <c r="ANY14" s="2"/>
      <c r="ANZ14" s="2"/>
      <c r="AOK14" s="2"/>
      <c r="AOL14" s="2"/>
      <c r="AOM14" s="2"/>
      <c r="AOX14" s="2"/>
      <c r="AOY14" s="2"/>
      <c r="AOZ14" s="2"/>
      <c r="APK14" s="2"/>
      <c r="APL14" s="2"/>
      <c r="APM14" s="2"/>
      <c r="APX14" s="2"/>
      <c r="APY14" s="2"/>
      <c r="APZ14" s="2"/>
      <c r="AQK14" s="2"/>
      <c r="AQL14" s="2"/>
      <c r="AQM14" s="2"/>
      <c r="AQX14" s="2"/>
      <c r="AQY14" s="2"/>
      <c r="AQZ14" s="2"/>
      <c r="ARK14" s="2"/>
      <c r="ARL14" s="2"/>
      <c r="ARM14" s="2"/>
      <c r="ARX14" s="2"/>
      <c r="ARY14" s="2"/>
      <c r="ARZ14" s="2"/>
      <c r="ASK14" s="2"/>
      <c r="ASL14" s="2"/>
      <c r="ASM14" s="2"/>
      <c r="ASX14" s="2"/>
      <c r="ASY14" s="2"/>
      <c r="ASZ14" s="2"/>
      <c r="ATK14" s="2"/>
      <c r="ATL14" s="2"/>
      <c r="ATM14" s="2"/>
      <c r="ATX14" s="2"/>
      <c r="ATY14" s="2"/>
      <c r="ATZ14" s="2"/>
      <c r="AUK14" s="2"/>
      <c r="AUL14" s="2"/>
      <c r="AUM14" s="2"/>
      <c r="AUX14" s="2"/>
      <c r="AUY14" s="2"/>
      <c r="AUZ14" s="2"/>
      <c r="AVK14" s="2"/>
      <c r="AVL14" s="2"/>
      <c r="AVM14" s="2"/>
      <c r="AVX14" s="2"/>
      <c r="AVY14" s="2"/>
      <c r="AVZ14" s="2"/>
      <c r="AWK14" s="2"/>
      <c r="AWL14" s="2"/>
      <c r="AWM14" s="2"/>
      <c r="AWX14" s="2"/>
      <c r="AWY14" s="2"/>
      <c r="AWZ14" s="2"/>
      <c r="AXK14" s="2"/>
      <c r="AXL14" s="2"/>
      <c r="AXM14" s="2"/>
      <c r="AXX14" s="2"/>
      <c r="AXY14" s="2"/>
      <c r="AXZ14" s="2"/>
      <c r="AYK14" s="2"/>
      <c r="AYL14" s="2"/>
      <c r="AYM14" s="2"/>
      <c r="AYX14" s="2"/>
      <c r="AYY14" s="2"/>
      <c r="AYZ14" s="2"/>
      <c r="AZK14" s="2"/>
      <c r="AZL14" s="2"/>
      <c r="AZM14" s="2"/>
      <c r="AZX14" s="2"/>
      <c r="AZY14" s="2"/>
      <c r="AZZ14" s="2"/>
      <c r="BAK14" s="2"/>
      <c r="BAL14" s="2"/>
      <c r="BAM14" s="2"/>
      <c r="BAX14" s="2"/>
      <c r="BAY14" s="2"/>
      <c r="BAZ14" s="2"/>
      <c r="BBK14" s="2"/>
      <c r="BBL14" s="2"/>
      <c r="BBM14" s="2"/>
      <c r="BBX14" s="2"/>
      <c r="BBY14" s="2"/>
      <c r="BBZ14" s="2"/>
      <c r="BCK14" s="2"/>
      <c r="BCL14" s="2"/>
      <c r="BCM14" s="2"/>
      <c r="BCX14" s="2"/>
      <c r="BCY14" s="2"/>
      <c r="BCZ14" s="2"/>
      <c r="BDK14" s="2"/>
      <c r="BDL14" s="2"/>
      <c r="BDM14" s="2"/>
      <c r="BDX14" s="2"/>
      <c r="BDY14" s="2"/>
      <c r="BDZ14" s="2"/>
      <c r="BEK14" s="2"/>
      <c r="BEL14" s="2"/>
      <c r="BEM14" s="2"/>
      <c r="BEX14" s="2"/>
      <c r="BEY14" s="2"/>
      <c r="BEZ14" s="2"/>
      <c r="BFK14" s="2"/>
      <c r="BFL14" s="2"/>
      <c r="BFM14" s="2"/>
      <c r="BFX14" s="2"/>
      <c r="BFY14" s="2"/>
      <c r="BFZ14" s="2"/>
      <c r="BGK14" s="2"/>
      <c r="BGL14" s="2"/>
      <c r="BGM14" s="2"/>
      <c r="BGX14" s="2"/>
      <c r="BGY14" s="2"/>
      <c r="BGZ14" s="2"/>
      <c r="BHK14" s="2"/>
      <c r="BHL14" s="2"/>
      <c r="BHM14" s="2"/>
      <c r="BHX14" s="2"/>
      <c r="BHY14" s="2"/>
      <c r="BHZ14" s="2"/>
      <c r="BIK14" s="2"/>
      <c r="BIL14" s="2"/>
      <c r="BIM14" s="2"/>
      <c r="BIX14" s="2"/>
      <c r="BIY14" s="2"/>
      <c r="BIZ14" s="2"/>
      <c r="BJK14" s="2"/>
      <c r="BJL14" s="2"/>
      <c r="BJM14" s="2"/>
      <c r="BJX14" s="2"/>
      <c r="BJY14" s="2"/>
      <c r="BJZ14" s="2"/>
      <c r="BKK14" s="2"/>
      <c r="BKL14" s="2"/>
      <c r="BKM14" s="2"/>
      <c r="BKX14" s="2"/>
      <c r="BKY14" s="2"/>
      <c r="BKZ14" s="2"/>
      <c r="BLK14" s="2"/>
      <c r="BLL14" s="2"/>
      <c r="BLM14" s="2"/>
      <c r="BLX14" s="2"/>
      <c r="BLY14" s="2"/>
      <c r="BLZ14" s="2"/>
      <c r="BMK14" s="2"/>
      <c r="BML14" s="2"/>
      <c r="BMM14" s="2"/>
      <c r="BMX14" s="2"/>
      <c r="BMY14" s="2"/>
      <c r="BMZ14" s="2"/>
      <c r="BNK14" s="2"/>
      <c r="BNL14" s="2"/>
      <c r="BNM14" s="2"/>
      <c r="BNX14" s="2"/>
      <c r="BNY14" s="2"/>
      <c r="BNZ14" s="2"/>
      <c r="BOK14" s="2"/>
      <c r="BOL14" s="2"/>
      <c r="BOM14" s="2"/>
      <c r="BOX14" s="2"/>
      <c r="BOY14" s="2"/>
      <c r="BOZ14" s="2"/>
      <c r="BPK14" s="2"/>
      <c r="BPL14" s="2"/>
      <c r="BPM14" s="2"/>
      <c r="BPX14" s="2"/>
      <c r="BPY14" s="2"/>
      <c r="BPZ14" s="2"/>
      <c r="BQK14" s="2"/>
      <c r="BQL14" s="2"/>
      <c r="BQM14" s="2"/>
      <c r="BQX14" s="2"/>
      <c r="BQY14" s="2"/>
      <c r="BQZ14" s="2"/>
      <c r="BRK14" s="2"/>
      <c r="BRL14" s="2"/>
      <c r="BRM14" s="2"/>
      <c r="BRX14" s="2"/>
      <c r="BRY14" s="2"/>
      <c r="BRZ14" s="2"/>
      <c r="BSK14" s="2"/>
      <c r="BSL14" s="2"/>
      <c r="BSM14" s="2"/>
      <c r="BSX14" s="2"/>
      <c r="BSY14" s="2"/>
      <c r="BSZ14" s="2"/>
      <c r="BTK14" s="2"/>
      <c r="BTL14" s="2"/>
      <c r="BTM14" s="2"/>
      <c r="BTX14" s="2"/>
      <c r="BTY14" s="2"/>
      <c r="BTZ14" s="2"/>
      <c r="BUK14" s="2"/>
      <c r="BUL14" s="2"/>
      <c r="BUM14" s="2"/>
      <c r="BUX14" s="2"/>
      <c r="BUY14" s="2"/>
      <c r="BUZ14" s="2"/>
      <c r="BVK14" s="2"/>
      <c r="BVL14" s="2"/>
      <c r="BVM14" s="2"/>
      <c r="BVX14" s="2"/>
      <c r="BVY14" s="2"/>
      <c r="BVZ14" s="2"/>
      <c r="BWK14" s="2"/>
      <c r="BWL14" s="2"/>
      <c r="BWM14" s="2"/>
      <c r="BWX14" s="2"/>
      <c r="BWY14" s="2"/>
      <c r="BWZ14" s="2"/>
      <c r="BXK14" s="2"/>
      <c r="BXL14" s="2"/>
      <c r="BXM14" s="2"/>
      <c r="BXX14" s="2"/>
      <c r="BXY14" s="2"/>
      <c r="BXZ14" s="2"/>
      <c r="BYK14" s="2"/>
      <c r="BYL14" s="2"/>
      <c r="BYM14" s="2"/>
      <c r="BYX14" s="2"/>
      <c r="BYY14" s="2"/>
      <c r="BYZ14" s="2"/>
      <c r="BZK14" s="2"/>
      <c r="BZL14" s="2"/>
      <c r="BZM14" s="2"/>
      <c r="BZX14" s="2"/>
      <c r="BZY14" s="2"/>
      <c r="BZZ14" s="2"/>
      <c r="CAK14" s="2"/>
      <c r="CAL14" s="2"/>
      <c r="CAM14" s="2"/>
      <c r="CAX14" s="2"/>
      <c r="CAY14" s="2"/>
      <c r="CAZ14" s="2"/>
      <c r="CBK14" s="2"/>
      <c r="CBL14" s="2"/>
      <c r="CBM14" s="2"/>
      <c r="CBX14" s="2"/>
      <c r="CBY14" s="2"/>
      <c r="CBZ14" s="2"/>
      <c r="CCK14" s="2"/>
      <c r="CCL14" s="2"/>
      <c r="CCM14" s="2"/>
      <c r="CCX14" s="2"/>
      <c r="CCY14" s="2"/>
      <c r="CCZ14" s="2"/>
      <c r="CDK14" s="2"/>
      <c r="CDL14" s="2"/>
      <c r="CDM14" s="2"/>
      <c r="CDX14" s="2"/>
      <c r="CDY14" s="2"/>
      <c r="CDZ14" s="2"/>
      <c r="CEK14" s="2"/>
      <c r="CEL14" s="2"/>
      <c r="CEM14" s="2"/>
      <c r="CEX14" s="2"/>
      <c r="CEY14" s="2"/>
      <c r="CEZ14" s="2"/>
      <c r="CFK14" s="2"/>
      <c r="CFL14" s="2"/>
      <c r="CFM14" s="2"/>
      <c r="CFX14" s="2"/>
      <c r="CFY14" s="2"/>
      <c r="CFZ14" s="2"/>
      <c r="CGK14" s="2"/>
      <c r="CGL14" s="2"/>
      <c r="CGM14" s="2"/>
      <c r="CGX14" s="2"/>
      <c r="CGY14" s="2"/>
      <c r="CGZ14" s="2"/>
      <c r="CHK14" s="2"/>
      <c r="CHL14" s="2"/>
      <c r="CHM14" s="2"/>
      <c r="CHX14" s="2"/>
      <c r="CHY14" s="2"/>
      <c r="CHZ14" s="2"/>
      <c r="CIK14" s="2"/>
      <c r="CIL14" s="2"/>
      <c r="CIM14" s="2"/>
      <c r="CIX14" s="2"/>
      <c r="CIY14" s="2"/>
      <c r="CIZ14" s="2"/>
      <c r="CJK14" s="2"/>
      <c r="CJL14" s="2"/>
      <c r="CJM14" s="2"/>
      <c r="CJX14" s="2"/>
      <c r="CJY14" s="2"/>
      <c r="CJZ14" s="2"/>
      <c r="CKK14" s="2"/>
      <c r="CKL14" s="2"/>
      <c r="CKM14" s="2"/>
      <c r="CKX14" s="2"/>
      <c r="CKY14" s="2"/>
      <c r="CKZ14" s="2"/>
      <c r="CLK14" s="2"/>
      <c r="CLL14" s="2"/>
      <c r="CLM14" s="2"/>
      <c r="CLX14" s="2"/>
      <c r="CLY14" s="2"/>
      <c r="CLZ14" s="2"/>
      <c r="CMK14" s="2"/>
      <c r="CML14" s="2"/>
      <c r="CMM14" s="2"/>
      <c r="CMX14" s="2"/>
      <c r="CMY14" s="2"/>
      <c r="CMZ14" s="2"/>
      <c r="CNK14" s="2"/>
      <c r="CNL14" s="2"/>
      <c r="CNM14" s="2"/>
      <c r="CNX14" s="2"/>
      <c r="CNY14" s="2"/>
      <c r="CNZ14" s="2"/>
      <c r="COK14" s="2"/>
      <c r="COL14" s="2"/>
      <c r="COM14" s="2"/>
      <c r="COX14" s="2"/>
      <c r="COY14" s="2"/>
      <c r="COZ14" s="2"/>
      <c r="CPK14" s="2"/>
      <c r="CPL14" s="2"/>
      <c r="CPM14" s="2"/>
      <c r="CPX14" s="2"/>
      <c r="CPY14" s="2"/>
      <c r="CPZ14" s="2"/>
      <c r="CQK14" s="2"/>
      <c r="CQL14" s="2"/>
      <c r="CQM14" s="2"/>
      <c r="CQX14" s="2"/>
      <c r="CQY14" s="2"/>
      <c r="CQZ14" s="2"/>
      <c r="CRK14" s="2"/>
      <c r="CRL14" s="2"/>
      <c r="CRM14" s="2"/>
      <c r="CRX14" s="2"/>
      <c r="CRY14" s="2"/>
      <c r="CRZ14" s="2"/>
      <c r="CSK14" s="2"/>
      <c r="CSL14" s="2"/>
      <c r="CSM14" s="2"/>
      <c r="CSX14" s="2"/>
      <c r="CSY14" s="2"/>
      <c r="CSZ14" s="2"/>
      <c r="CTK14" s="2"/>
      <c r="CTL14" s="2"/>
      <c r="CTM14" s="2"/>
      <c r="CTX14" s="2"/>
      <c r="CTY14" s="2"/>
      <c r="CTZ14" s="2"/>
      <c r="CUK14" s="2"/>
      <c r="CUL14" s="2"/>
      <c r="CUM14" s="2"/>
      <c r="CUX14" s="2"/>
      <c r="CUY14" s="2"/>
      <c r="CUZ14" s="2"/>
      <c r="CVK14" s="2"/>
      <c r="CVL14" s="2"/>
      <c r="CVM14" s="2"/>
      <c r="CVX14" s="2"/>
      <c r="CVY14" s="2"/>
      <c r="CVZ14" s="2"/>
      <c r="CWK14" s="2"/>
      <c r="CWL14" s="2"/>
      <c r="CWM14" s="2"/>
      <c r="CWX14" s="2"/>
      <c r="CWY14" s="2"/>
      <c r="CWZ14" s="2"/>
      <c r="CXK14" s="2"/>
      <c r="CXL14" s="2"/>
      <c r="CXM14" s="2"/>
      <c r="CXX14" s="2"/>
      <c r="CXY14" s="2"/>
      <c r="CXZ14" s="2"/>
      <c r="CYK14" s="2"/>
      <c r="CYL14" s="2"/>
      <c r="CYM14" s="2"/>
      <c r="CYX14" s="2"/>
      <c r="CYY14" s="2"/>
      <c r="CYZ14" s="2"/>
      <c r="CZK14" s="2"/>
      <c r="CZL14" s="2"/>
      <c r="CZM14" s="2"/>
      <c r="CZX14" s="2"/>
      <c r="CZY14" s="2"/>
      <c r="CZZ14" s="2"/>
      <c r="DAK14" s="2"/>
      <c r="DAL14" s="2"/>
      <c r="DAM14" s="2"/>
      <c r="DAX14" s="2"/>
      <c r="DAY14" s="2"/>
      <c r="DAZ14" s="2"/>
      <c r="DBK14" s="2"/>
      <c r="DBL14" s="2"/>
      <c r="DBM14" s="2"/>
      <c r="DBX14" s="2"/>
      <c r="DBY14" s="2"/>
      <c r="DBZ14" s="2"/>
      <c r="DCK14" s="2"/>
      <c r="DCL14" s="2"/>
      <c r="DCM14" s="2"/>
      <c r="DCX14" s="2"/>
      <c r="DCY14" s="2"/>
      <c r="DCZ14" s="2"/>
      <c r="DDK14" s="2"/>
      <c r="DDL14" s="2"/>
      <c r="DDM14" s="2"/>
      <c r="DDX14" s="2"/>
      <c r="DDY14" s="2"/>
      <c r="DDZ14" s="2"/>
      <c r="DEK14" s="2"/>
      <c r="DEL14" s="2"/>
      <c r="DEM14" s="2"/>
      <c r="DEX14" s="2"/>
      <c r="DEY14" s="2"/>
      <c r="DEZ14" s="2"/>
      <c r="DFK14" s="2"/>
      <c r="DFL14" s="2"/>
      <c r="DFM14" s="2"/>
      <c r="DFX14" s="2"/>
      <c r="DFY14" s="2"/>
      <c r="DFZ14" s="2"/>
      <c r="DGK14" s="2"/>
      <c r="DGL14" s="2"/>
      <c r="DGM14" s="2"/>
      <c r="DGX14" s="2"/>
      <c r="DGY14" s="2"/>
      <c r="DGZ14" s="2"/>
      <c r="DHK14" s="2"/>
      <c r="DHL14" s="2"/>
      <c r="DHM14" s="2"/>
      <c r="DHX14" s="2"/>
      <c r="DHY14" s="2"/>
      <c r="DHZ14" s="2"/>
      <c r="DIK14" s="2"/>
      <c r="DIL14" s="2"/>
      <c r="DIM14" s="2"/>
      <c r="DIX14" s="2"/>
      <c r="DIY14" s="2"/>
      <c r="DIZ14" s="2"/>
      <c r="DJK14" s="2"/>
      <c r="DJL14" s="2"/>
      <c r="DJM14" s="2"/>
      <c r="DJX14" s="2"/>
      <c r="DJY14" s="2"/>
      <c r="DJZ14" s="2"/>
      <c r="DKK14" s="2"/>
      <c r="DKL14" s="2"/>
      <c r="DKM14" s="2"/>
      <c r="DKX14" s="2"/>
      <c r="DKY14" s="2"/>
      <c r="DKZ14" s="2"/>
      <c r="DLK14" s="2"/>
      <c r="DLL14" s="2"/>
      <c r="DLM14" s="2"/>
      <c r="DLX14" s="2"/>
      <c r="DLY14" s="2"/>
      <c r="DLZ14" s="2"/>
      <c r="DMK14" s="2"/>
      <c r="DML14" s="2"/>
      <c r="DMM14" s="2"/>
      <c r="DMX14" s="2"/>
      <c r="DMY14" s="2"/>
      <c r="DMZ14" s="2"/>
      <c r="DNK14" s="2"/>
      <c r="DNL14" s="2"/>
      <c r="DNM14" s="2"/>
      <c r="DNX14" s="2"/>
      <c r="DNY14" s="2"/>
      <c r="DNZ14" s="2"/>
      <c r="DOK14" s="2"/>
      <c r="DOL14" s="2"/>
      <c r="DOM14" s="2"/>
      <c r="DOX14" s="2"/>
      <c r="DOY14" s="2"/>
      <c r="DOZ14" s="2"/>
      <c r="DPK14" s="2"/>
      <c r="DPL14" s="2"/>
      <c r="DPM14" s="2"/>
      <c r="DPX14" s="2"/>
      <c r="DPY14" s="2"/>
      <c r="DPZ14" s="2"/>
      <c r="DQK14" s="2"/>
      <c r="DQL14" s="2"/>
      <c r="DQM14" s="2"/>
      <c r="DQX14" s="2"/>
      <c r="DQY14" s="2"/>
      <c r="DQZ14" s="2"/>
      <c r="DRK14" s="2"/>
      <c r="DRL14" s="2"/>
      <c r="DRM14" s="2"/>
      <c r="DRX14" s="2"/>
      <c r="DRY14" s="2"/>
      <c r="DRZ14" s="2"/>
      <c r="DSK14" s="2"/>
      <c r="DSL14" s="2"/>
      <c r="DSM14" s="2"/>
      <c r="DSX14" s="2"/>
      <c r="DSY14" s="2"/>
      <c r="DSZ14" s="2"/>
      <c r="DTK14" s="2"/>
      <c r="DTL14" s="2"/>
      <c r="DTM14" s="2"/>
      <c r="DTX14" s="2"/>
      <c r="DTY14" s="2"/>
      <c r="DTZ14" s="2"/>
      <c r="DUK14" s="2"/>
      <c r="DUL14" s="2"/>
      <c r="DUM14" s="2"/>
      <c r="DUX14" s="2"/>
      <c r="DUY14" s="2"/>
      <c r="DUZ14" s="2"/>
      <c r="DVK14" s="2"/>
      <c r="DVL14" s="2"/>
      <c r="DVM14" s="2"/>
      <c r="DVX14" s="2"/>
      <c r="DVY14" s="2"/>
      <c r="DVZ14" s="2"/>
      <c r="DWK14" s="2"/>
      <c r="DWL14" s="2"/>
      <c r="DWM14" s="2"/>
      <c r="DWX14" s="2"/>
      <c r="DWY14" s="2"/>
      <c r="DWZ14" s="2"/>
      <c r="DXK14" s="2"/>
      <c r="DXL14" s="2"/>
      <c r="DXM14" s="2"/>
      <c r="DXX14" s="2"/>
      <c r="DXY14" s="2"/>
      <c r="DXZ14" s="2"/>
      <c r="DYK14" s="2"/>
      <c r="DYL14" s="2"/>
      <c r="DYM14" s="2"/>
      <c r="DYX14" s="2"/>
      <c r="DYY14" s="2"/>
      <c r="DYZ14" s="2"/>
      <c r="DZK14" s="2"/>
      <c r="DZL14" s="2"/>
      <c r="DZM14" s="2"/>
      <c r="DZX14" s="2"/>
      <c r="DZY14" s="2"/>
      <c r="DZZ14" s="2"/>
      <c r="EAK14" s="2"/>
      <c r="EAL14" s="2"/>
      <c r="EAM14" s="2"/>
      <c r="EAX14" s="2"/>
      <c r="EAY14" s="2"/>
      <c r="EAZ14" s="2"/>
      <c r="EBK14" s="2"/>
      <c r="EBL14" s="2"/>
      <c r="EBM14" s="2"/>
      <c r="EBX14" s="2"/>
      <c r="EBY14" s="2"/>
      <c r="EBZ14" s="2"/>
      <c r="ECK14" s="2"/>
      <c r="ECL14" s="2"/>
      <c r="ECM14" s="2"/>
      <c r="ECX14" s="2"/>
      <c r="ECY14" s="2"/>
      <c r="ECZ14" s="2"/>
      <c r="EDK14" s="2"/>
      <c r="EDL14" s="2"/>
      <c r="EDM14" s="2"/>
      <c r="EDX14" s="2"/>
      <c r="EDY14" s="2"/>
      <c r="EDZ14" s="2"/>
      <c r="EEK14" s="2"/>
      <c r="EEL14" s="2"/>
      <c r="EEM14" s="2"/>
      <c r="EEX14" s="2"/>
      <c r="EEY14" s="2"/>
      <c r="EEZ14" s="2"/>
      <c r="EFK14" s="2"/>
      <c r="EFL14" s="2"/>
      <c r="EFM14" s="2"/>
      <c r="EFX14" s="2"/>
      <c r="EFY14" s="2"/>
      <c r="EFZ14" s="2"/>
      <c r="EGK14" s="2"/>
      <c r="EGL14" s="2"/>
      <c r="EGM14" s="2"/>
      <c r="EGX14" s="2"/>
      <c r="EGY14" s="2"/>
      <c r="EGZ14" s="2"/>
      <c r="EHK14" s="2"/>
      <c r="EHL14" s="2"/>
      <c r="EHM14" s="2"/>
      <c r="EHX14" s="2"/>
      <c r="EHY14" s="2"/>
      <c r="EHZ14" s="2"/>
      <c r="EIK14" s="2"/>
      <c r="EIL14" s="2"/>
      <c r="EIM14" s="2"/>
      <c r="EIX14" s="2"/>
      <c r="EIY14" s="2"/>
      <c r="EIZ14" s="2"/>
      <c r="EJK14" s="2"/>
      <c r="EJL14" s="2"/>
      <c r="EJM14" s="2"/>
      <c r="EJX14" s="2"/>
      <c r="EJY14" s="2"/>
      <c r="EJZ14" s="2"/>
      <c r="EKK14" s="2"/>
      <c r="EKL14" s="2"/>
      <c r="EKM14" s="2"/>
      <c r="EKX14" s="2"/>
      <c r="EKY14" s="2"/>
      <c r="EKZ14" s="2"/>
      <c r="ELK14" s="2"/>
      <c r="ELL14" s="2"/>
      <c r="ELM14" s="2"/>
      <c r="ELX14" s="2"/>
      <c r="ELY14" s="2"/>
      <c r="ELZ14" s="2"/>
      <c r="EMK14" s="2"/>
      <c r="EML14" s="2"/>
      <c r="EMM14" s="2"/>
      <c r="EMX14" s="2"/>
      <c r="EMY14" s="2"/>
      <c r="EMZ14" s="2"/>
      <c r="ENK14" s="2"/>
      <c r="ENL14" s="2"/>
      <c r="ENM14" s="2"/>
      <c r="ENX14" s="2"/>
      <c r="ENY14" s="2"/>
      <c r="ENZ14" s="2"/>
      <c r="EOK14" s="2"/>
      <c r="EOL14" s="2"/>
      <c r="EOM14" s="2"/>
      <c r="EOX14" s="2"/>
      <c r="EOY14" s="2"/>
      <c r="EOZ14" s="2"/>
      <c r="EPK14" s="2"/>
      <c r="EPL14" s="2"/>
      <c r="EPM14" s="2"/>
      <c r="EPX14" s="2"/>
      <c r="EPY14" s="2"/>
      <c r="EPZ14" s="2"/>
      <c r="EQK14" s="2"/>
      <c r="EQL14" s="2"/>
      <c r="EQM14" s="2"/>
      <c r="EQX14" s="2"/>
      <c r="EQY14" s="2"/>
      <c r="EQZ14" s="2"/>
      <c r="ERK14" s="2"/>
      <c r="ERL14" s="2"/>
      <c r="ERM14" s="2"/>
      <c r="ERX14" s="2"/>
      <c r="ERY14" s="2"/>
      <c r="ERZ14" s="2"/>
      <c r="ESK14" s="2"/>
      <c r="ESL14" s="2"/>
      <c r="ESM14" s="2"/>
      <c r="ESX14" s="2"/>
      <c r="ESY14" s="2"/>
      <c r="ESZ14" s="2"/>
      <c r="ETK14" s="2"/>
      <c r="ETL14" s="2"/>
      <c r="ETM14" s="2"/>
      <c r="ETX14" s="2"/>
      <c r="ETY14" s="2"/>
      <c r="ETZ14" s="2"/>
      <c r="EUK14" s="2"/>
      <c r="EUL14" s="2"/>
      <c r="EUM14" s="2"/>
      <c r="EUX14" s="2"/>
      <c r="EUY14" s="2"/>
      <c r="EUZ14" s="2"/>
      <c r="EVK14" s="2"/>
      <c r="EVL14" s="2"/>
      <c r="EVM14" s="2"/>
      <c r="EVX14" s="2"/>
      <c r="EVY14" s="2"/>
      <c r="EVZ14" s="2"/>
      <c r="EWK14" s="2"/>
      <c r="EWL14" s="2"/>
      <c r="EWM14" s="2"/>
      <c r="EWX14" s="2"/>
      <c r="EWY14" s="2"/>
      <c r="EWZ14" s="2"/>
      <c r="EXK14" s="2"/>
      <c r="EXL14" s="2"/>
      <c r="EXM14" s="2"/>
      <c r="EXX14" s="2"/>
      <c r="EXY14" s="2"/>
      <c r="EXZ14" s="2"/>
      <c r="EYK14" s="2"/>
      <c r="EYL14" s="2"/>
      <c r="EYM14" s="2"/>
      <c r="EYX14" s="2"/>
      <c r="EYY14" s="2"/>
      <c r="EYZ14" s="2"/>
      <c r="EZK14" s="2"/>
      <c r="EZL14" s="2"/>
      <c r="EZM14" s="2"/>
      <c r="EZX14" s="2"/>
      <c r="EZY14" s="2"/>
      <c r="EZZ14" s="2"/>
      <c r="FAK14" s="2"/>
      <c r="FAL14" s="2"/>
      <c r="FAM14" s="2"/>
      <c r="FAX14" s="2"/>
      <c r="FAY14" s="2"/>
      <c r="FAZ14" s="2"/>
      <c r="FBK14" s="2"/>
      <c r="FBL14" s="2"/>
      <c r="FBM14" s="2"/>
      <c r="FBX14" s="2"/>
      <c r="FBY14" s="2"/>
      <c r="FBZ14" s="2"/>
      <c r="FCK14" s="2"/>
      <c r="FCL14" s="2"/>
      <c r="FCM14" s="2"/>
      <c r="FCX14" s="2"/>
      <c r="FCY14" s="2"/>
      <c r="FCZ14" s="2"/>
      <c r="FDK14" s="2"/>
      <c r="FDL14" s="2"/>
      <c r="FDM14" s="2"/>
      <c r="FDX14" s="2"/>
      <c r="FDY14" s="2"/>
      <c r="FDZ14" s="2"/>
      <c r="FEK14" s="2"/>
      <c r="FEL14" s="2"/>
      <c r="FEM14" s="2"/>
      <c r="FEX14" s="2"/>
      <c r="FEY14" s="2"/>
      <c r="FEZ14" s="2"/>
      <c r="FFK14" s="2"/>
      <c r="FFL14" s="2"/>
      <c r="FFM14" s="2"/>
      <c r="FFX14" s="2"/>
      <c r="FFY14" s="2"/>
      <c r="FFZ14" s="2"/>
      <c r="FGK14" s="2"/>
      <c r="FGL14" s="2"/>
      <c r="FGM14" s="2"/>
      <c r="FGX14" s="2"/>
      <c r="FGY14" s="2"/>
      <c r="FGZ14" s="2"/>
      <c r="FHK14" s="2"/>
      <c r="FHL14" s="2"/>
      <c r="FHM14" s="2"/>
      <c r="FHX14" s="2"/>
      <c r="FHY14" s="2"/>
      <c r="FHZ14" s="2"/>
      <c r="FIK14" s="2"/>
      <c r="FIL14" s="2"/>
      <c r="FIM14" s="2"/>
      <c r="FIX14" s="2"/>
      <c r="FIY14" s="2"/>
      <c r="FIZ14" s="2"/>
      <c r="FJK14" s="2"/>
      <c r="FJL14" s="2"/>
      <c r="FJM14" s="2"/>
      <c r="FJX14" s="2"/>
      <c r="FJY14" s="2"/>
      <c r="FJZ14" s="2"/>
      <c r="FKK14" s="2"/>
      <c r="FKL14" s="2"/>
      <c r="FKM14" s="2"/>
      <c r="FKX14" s="2"/>
      <c r="FKY14" s="2"/>
      <c r="FKZ14" s="2"/>
      <c r="FLK14" s="2"/>
      <c r="FLL14" s="2"/>
      <c r="FLM14" s="2"/>
      <c r="FLX14" s="2"/>
      <c r="FLY14" s="2"/>
      <c r="FLZ14" s="2"/>
      <c r="FMK14" s="2"/>
      <c r="FML14" s="2"/>
      <c r="FMM14" s="2"/>
      <c r="FMX14" s="2"/>
      <c r="FMY14" s="2"/>
      <c r="FMZ14" s="2"/>
      <c r="FNK14" s="2"/>
      <c r="FNL14" s="2"/>
      <c r="FNM14" s="2"/>
      <c r="FNX14" s="2"/>
      <c r="FNY14" s="2"/>
      <c r="FNZ14" s="2"/>
      <c r="FOK14" s="2"/>
      <c r="FOL14" s="2"/>
      <c r="FOM14" s="2"/>
      <c r="FOX14" s="2"/>
      <c r="FOY14" s="2"/>
      <c r="FOZ14" s="2"/>
      <c r="FPK14" s="2"/>
      <c r="FPL14" s="2"/>
      <c r="FPM14" s="2"/>
      <c r="FPX14" s="2"/>
      <c r="FPY14" s="2"/>
      <c r="FPZ14" s="2"/>
      <c r="FQK14" s="2"/>
      <c r="FQL14" s="2"/>
      <c r="FQM14" s="2"/>
      <c r="FQX14" s="2"/>
      <c r="FQY14" s="2"/>
      <c r="FQZ14" s="2"/>
      <c r="FRK14" s="2"/>
      <c r="FRL14" s="2"/>
      <c r="FRM14" s="2"/>
      <c r="FRX14" s="2"/>
      <c r="FRY14" s="2"/>
      <c r="FRZ14" s="2"/>
      <c r="FSK14" s="2"/>
      <c r="FSL14" s="2"/>
      <c r="FSM14" s="2"/>
      <c r="FSX14" s="2"/>
      <c r="FSY14" s="2"/>
      <c r="FSZ14" s="2"/>
      <c r="FTK14" s="2"/>
      <c r="FTL14" s="2"/>
      <c r="FTM14" s="2"/>
      <c r="FTX14" s="2"/>
      <c r="FTY14" s="2"/>
      <c r="FTZ14" s="2"/>
      <c r="FUK14" s="2"/>
      <c r="FUL14" s="2"/>
      <c r="FUM14" s="2"/>
      <c r="FUX14" s="2"/>
      <c r="FUY14" s="2"/>
      <c r="FUZ14" s="2"/>
      <c r="FVK14" s="2"/>
      <c r="FVL14" s="2"/>
      <c r="FVM14" s="2"/>
      <c r="FVX14" s="2"/>
      <c r="FVY14" s="2"/>
      <c r="FVZ14" s="2"/>
      <c r="FWK14" s="2"/>
      <c r="FWL14" s="2"/>
      <c r="FWM14" s="2"/>
      <c r="FWX14" s="2"/>
      <c r="FWY14" s="2"/>
      <c r="FWZ14" s="2"/>
      <c r="FXK14" s="2"/>
      <c r="FXL14" s="2"/>
      <c r="FXM14" s="2"/>
      <c r="FXX14" s="2"/>
      <c r="FXY14" s="2"/>
      <c r="FXZ14" s="2"/>
      <c r="FYK14" s="2"/>
      <c r="FYL14" s="2"/>
      <c r="FYM14" s="2"/>
      <c r="FYX14" s="2"/>
      <c r="FYY14" s="2"/>
      <c r="FYZ14" s="2"/>
      <c r="FZK14" s="2"/>
      <c r="FZL14" s="2"/>
      <c r="FZM14" s="2"/>
      <c r="FZX14" s="2"/>
      <c r="FZY14" s="2"/>
      <c r="FZZ14" s="2"/>
      <c r="GAK14" s="2"/>
      <c r="GAL14" s="2"/>
      <c r="GAM14" s="2"/>
      <c r="GAX14" s="2"/>
      <c r="GAY14" s="2"/>
      <c r="GAZ14" s="2"/>
      <c r="GBK14" s="2"/>
      <c r="GBL14" s="2"/>
      <c r="GBM14" s="2"/>
      <c r="GBX14" s="2"/>
      <c r="GBY14" s="2"/>
      <c r="GBZ14" s="2"/>
      <c r="GCK14" s="2"/>
      <c r="GCL14" s="2"/>
      <c r="GCM14" s="2"/>
      <c r="GCX14" s="2"/>
      <c r="GCY14" s="2"/>
      <c r="GCZ14" s="2"/>
      <c r="GDK14" s="2"/>
      <c r="GDL14" s="2"/>
      <c r="GDM14" s="2"/>
      <c r="GDX14" s="2"/>
      <c r="GDY14" s="2"/>
      <c r="GDZ14" s="2"/>
      <c r="GEK14" s="2"/>
      <c r="GEL14" s="2"/>
      <c r="GEM14" s="2"/>
      <c r="GEX14" s="2"/>
      <c r="GEY14" s="2"/>
      <c r="GEZ14" s="2"/>
      <c r="GFK14" s="2"/>
      <c r="GFL14" s="2"/>
      <c r="GFM14" s="2"/>
      <c r="GFX14" s="2"/>
      <c r="GFY14" s="2"/>
      <c r="GFZ14" s="2"/>
      <c r="GGK14" s="2"/>
      <c r="GGL14" s="2"/>
      <c r="GGM14" s="2"/>
      <c r="GGX14" s="2"/>
      <c r="GGY14" s="2"/>
      <c r="GGZ14" s="2"/>
      <c r="GHK14" s="2"/>
      <c r="GHL14" s="2"/>
      <c r="GHM14" s="2"/>
      <c r="GHX14" s="2"/>
      <c r="GHY14" s="2"/>
      <c r="GHZ14" s="2"/>
      <c r="GIK14" s="2"/>
      <c r="GIL14" s="2"/>
      <c r="GIM14" s="2"/>
      <c r="GIX14" s="2"/>
      <c r="GIY14" s="2"/>
      <c r="GIZ14" s="2"/>
      <c r="GJK14" s="2"/>
      <c r="GJL14" s="2"/>
      <c r="GJM14" s="2"/>
      <c r="GJX14" s="2"/>
      <c r="GJY14" s="2"/>
      <c r="GJZ14" s="2"/>
      <c r="GKK14" s="2"/>
      <c r="GKL14" s="2"/>
      <c r="GKM14" s="2"/>
      <c r="GKX14" s="2"/>
      <c r="GKY14" s="2"/>
      <c r="GKZ14" s="2"/>
      <c r="GLK14" s="2"/>
      <c r="GLL14" s="2"/>
      <c r="GLM14" s="2"/>
      <c r="GLX14" s="2"/>
      <c r="GLY14" s="2"/>
      <c r="GLZ14" s="2"/>
      <c r="GMK14" s="2"/>
      <c r="GML14" s="2"/>
      <c r="GMM14" s="2"/>
      <c r="GMX14" s="2"/>
      <c r="GMY14" s="2"/>
      <c r="GMZ14" s="2"/>
      <c r="GNK14" s="2"/>
      <c r="GNL14" s="2"/>
      <c r="GNM14" s="2"/>
      <c r="GNX14" s="2"/>
      <c r="GNY14" s="2"/>
      <c r="GNZ14" s="2"/>
      <c r="GOK14" s="2"/>
      <c r="GOL14" s="2"/>
      <c r="GOM14" s="2"/>
      <c r="GOX14" s="2"/>
      <c r="GOY14" s="2"/>
      <c r="GOZ14" s="2"/>
      <c r="GPK14" s="2"/>
      <c r="GPL14" s="2"/>
      <c r="GPM14" s="2"/>
      <c r="GPX14" s="2"/>
      <c r="GPY14" s="2"/>
      <c r="GPZ14" s="2"/>
      <c r="GQK14" s="2"/>
      <c r="GQL14" s="2"/>
      <c r="GQM14" s="2"/>
      <c r="GQX14" s="2"/>
      <c r="GQY14" s="2"/>
      <c r="GQZ14" s="2"/>
      <c r="GRK14" s="2"/>
      <c r="GRL14" s="2"/>
      <c r="GRM14" s="2"/>
      <c r="GRX14" s="2"/>
      <c r="GRY14" s="2"/>
      <c r="GRZ14" s="2"/>
      <c r="GSK14" s="2"/>
      <c r="GSL14" s="2"/>
      <c r="GSM14" s="2"/>
      <c r="GSX14" s="2"/>
      <c r="GSY14" s="2"/>
      <c r="GSZ14" s="2"/>
      <c r="GTK14" s="2"/>
      <c r="GTL14" s="2"/>
      <c r="GTM14" s="2"/>
      <c r="GTX14" s="2"/>
      <c r="GTY14" s="2"/>
      <c r="GTZ14" s="2"/>
      <c r="GUK14" s="2"/>
      <c r="GUL14" s="2"/>
      <c r="GUM14" s="2"/>
      <c r="GUX14" s="2"/>
      <c r="GUY14" s="2"/>
      <c r="GUZ14" s="2"/>
      <c r="GVK14" s="2"/>
      <c r="GVL14" s="2"/>
      <c r="GVM14" s="2"/>
      <c r="GVX14" s="2"/>
      <c r="GVY14" s="2"/>
      <c r="GVZ14" s="2"/>
      <c r="GWK14" s="2"/>
      <c r="GWL14" s="2"/>
      <c r="GWM14" s="2"/>
      <c r="GWX14" s="2"/>
      <c r="GWY14" s="2"/>
      <c r="GWZ14" s="2"/>
      <c r="GXK14" s="2"/>
      <c r="GXL14" s="2"/>
      <c r="GXM14" s="2"/>
      <c r="GXX14" s="2"/>
      <c r="GXY14" s="2"/>
      <c r="GXZ14" s="2"/>
      <c r="GYK14" s="2"/>
      <c r="GYL14" s="2"/>
      <c r="GYM14" s="2"/>
      <c r="GYX14" s="2"/>
      <c r="GYY14" s="2"/>
      <c r="GYZ14" s="2"/>
      <c r="GZK14" s="2"/>
      <c r="GZL14" s="2"/>
      <c r="GZM14" s="2"/>
      <c r="GZX14" s="2"/>
      <c r="GZY14" s="2"/>
      <c r="GZZ14" s="2"/>
      <c r="HAK14" s="2"/>
      <c r="HAL14" s="2"/>
      <c r="HAM14" s="2"/>
      <c r="HAX14" s="2"/>
      <c r="HAY14" s="2"/>
      <c r="HAZ14" s="2"/>
      <c r="HBK14" s="2"/>
      <c r="HBL14" s="2"/>
      <c r="HBM14" s="2"/>
      <c r="HBX14" s="2"/>
      <c r="HBY14" s="2"/>
      <c r="HBZ14" s="2"/>
      <c r="HCK14" s="2"/>
      <c r="HCL14" s="2"/>
      <c r="HCM14" s="2"/>
      <c r="HCX14" s="2"/>
      <c r="HCY14" s="2"/>
      <c r="HCZ14" s="2"/>
      <c r="HDK14" s="2"/>
      <c r="HDL14" s="2"/>
      <c r="HDM14" s="2"/>
      <c r="HDX14" s="2"/>
      <c r="HDY14" s="2"/>
      <c r="HDZ14" s="2"/>
      <c r="HEK14" s="2"/>
      <c r="HEL14" s="2"/>
      <c r="HEM14" s="2"/>
      <c r="HEX14" s="2"/>
      <c r="HEY14" s="2"/>
      <c r="HEZ14" s="2"/>
      <c r="HFK14" s="2"/>
      <c r="HFL14" s="2"/>
      <c r="HFM14" s="2"/>
      <c r="HFX14" s="2"/>
      <c r="HFY14" s="2"/>
      <c r="HFZ14" s="2"/>
      <c r="HGK14" s="2"/>
      <c r="HGL14" s="2"/>
      <c r="HGM14" s="2"/>
      <c r="HGX14" s="2"/>
      <c r="HGY14" s="2"/>
      <c r="HGZ14" s="2"/>
      <c r="HHK14" s="2"/>
      <c r="HHL14" s="2"/>
      <c r="HHM14" s="2"/>
      <c r="HHX14" s="2"/>
      <c r="HHY14" s="2"/>
      <c r="HHZ14" s="2"/>
      <c r="HIK14" s="2"/>
      <c r="HIL14" s="2"/>
      <c r="HIM14" s="2"/>
      <c r="HIX14" s="2"/>
      <c r="HIY14" s="2"/>
      <c r="HIZ14" s="2"/>
      <c r="HJK14" s="2"/>
      <c r="HJL14" s="2"/>
      <c r="HJM14" s="2"/>
      <c r="HJX14" s="2"/>
      <c r="HJY14" s="2"/>
      <c r="HJZ14" s="2"/>
      <c r="HKK14" s="2"/>
      <c r="HKL14" s="2"/>
      <c r="HKM14" s="2"/>
      <c r="HKX14" s="2"/>
      <c r="HKY14" s="2"/>
      <c r="HKZ14" s="2"/>
      <c r="HLK14" s="2"/>
      <c r="HLL14" s="2"/>
      <c r="HLM14" s="2"/>
      <c r="HLX14" s="2"/>
      <c r="HLY14" s="2"/>
      <c r="HLZ14" s="2"/>
      <c r="HMK14" s="2"/>
      <c r="HML14" s="2"/>
      <c r="HMM14" s="2"/>
      <c r="HMX14" s="2"/>
      <c r="HMY14" s="2"/>
      <c r="HMZ14" s="2"/>
      <c r="HNK14" s="2"/>
      <c r="HNL14" s="2"/>
      <c r="HNM14" s="2"/>
      <c r="HNX14" s="2"/>
      <c r="HNY14" s="2"/>
      <c r="HNZ14" s="2"/>
      <c r="HOK14" s="2"/>
      <c r="HOL14" s="2"/>
      <c r="HOM14" s="2"/>
      <c r="HOX14" s="2"/>
      <c r="HOY14" s="2"/>
      <c r="HOZ14" s="2"/>
      <c r="HPK14" s="2"/>
      <c r="HPL14" s="2"/>
      <c r="HPM14" s="2"/>
      <c r="HPX14" s="2"/>
      <c r="HPY14" s="2"/>
      <c r="HPZ14" s="2"/>
      <c r="HQK14" s="2"/>
      <c r="HQL14" s="2"/>
      <c r="HQM14" s="2"/>
      <c r="HQX14" s="2"/>
      <c r="HQY14" s="2"/>
      <c r="HQZ14" s="2"/>
      <c r="HRK14" s="2"/>
      <c r="HRL14" s="2"/>
      <c r="HRM14" s="2"/>
      <c r="HRX14" s="2"/>
      <c r="HRY14" s="2"/>
      <c r="HRZ14" s="2"/>
      <c r="HSK14" s="2"/>
      <c r="HSL14" s="2"/>
      <c r="HSM14" s="2"/>
      <c r="HSX14" s="2"/>
      <c r="HSY14" s="2"/>
      <c r="HSZ14" s="2"/>
      <c r="HTK14" s="2"/>
      <c r="HTL14" s="2"/>
      <c r="HTM14" s="2"/>
      <c r="HTX14" s="2"/>
      <c r="HTY14" s="2"/>
      <c r="HTZ14" s="2"/>
      <c r="HUK14" s="2"/>
      <c r="HUL14" s="2"/>
      <c r="HUM14" s="2"/>
      <c r="HUX14" s="2"/>
      <c r="HUY14" s="2"/>
      <c r="HUZ14" s="2"/>
      <c r="HVK14" s="2"/>
      <c r="HVL14" s="2"/>
      <c r="HVM14" s="2"/>
      <c r="HVX14" s="2"/>
      <c r="HVY14" s="2"/>
      <c r="HVZ14" s="2"/>
      <c r="HWK14" s="2"/>
      <c r="HWL14" s="2"/>
      <c r="HWM14" s="2"/>
      <c r="HWX14" s="2"/>
      <c r="HWY14" s="2"/>
      <c r="HWZ14" s="2"/>
      <c r="HXK14" s="2"/>
      <c r="HXL14" s="2"/>
      <c r="HXM14" s="2"/>
      <c r="HXX14" s="2"/>
      <c r="HXY14" s="2"/>
      <c r="HXZ14" s="2"/>
      <c r="HYK14" s="2"/>
      <c r="HYL14" s="2"/>
      <c r="HYM14" s="2"/>
      <c r="HYX14" s="2"/>
      <c r="HYY14" s="2"/>
      <c r="HYZ14" s="2"/>
      <c r="HZK14" s="2"/>
      <c r="HZL14" s="2"/>
      <c r="HZM14" s="2"/>
      <c r="HZX14" s="2"/>
      <c r="HZY14" s="2"/>
      <c r="HZZ14" s="2"/>
      <c r="IAK14" s="2"/>
      <c r="IAL14" s="2"/>
      <c r="IAM14" s="2"/>
      <c r="IAX14" s="2"/>
      <c r="IAY14" s="2"/>
      <c r="IAZ14" s="2"/>
      <c r="IBK14" s="2"/>
      <c r="IBL14" s="2"/>
      <c r="IBM14" s="2"/>
      <c r="IBX14" s="2"/>
      <c r="IBY14" s="2"/>
      <c r="IBZ14" s="2"/>
      <c r="ICK14" s="2"/>
      <c r="ICL14" s="2"/>
      <c r="ICM14" s="2"/>
      <c r="ICX14" s="2"/>
      <c r="ICY14" s="2"/>
      <c r="ICZ14" s="2"/>
      <c r="IDK14" s="2"/>
      <c r="IDL14" s="2"/>
      <c r="IDM14" s="2"/>
      <c r="IDX14" s="2"/>
      <c r="IDY14" s="2"/>
      <c r="IDZ14" s="2"/>
      <c r="IEK14" s="2"/>
      <c r="IEL14" s="2"/>
      <c r="IEM14" s="2"/>
      <c r="IEX14" s="2"/>
      <c r="IEY14" s="2"/>
      <c r="IEZ14" s="2"/>
      <c r="IFK14" s="2"/>
      <c r="IFL14" s="2"/>
      <c r="IFM14" s="2"/>
      <c r="IFX14" s="2"/>
      <c r="IFY14" s="2"/>
      <c r="IFZ14" s="2"/>
      <c r="IGK14" s="2"/>
      <c r="IGL14" s="2"/>
      <c r="IGM14" s="2"/>
      <c r="IGX14" s="2"/>
      <c r="IGY14" s="2"/>
      <c r="IGZ14" s="2"/>
      <c r="IHK14" s="2"/>
      <c r="IHL14" s="2"/>
      <c r="IHM14" s="2"/>
      <c r="IHX14" s="2"/>
      <c r="IHY14" s="2"/>
      <c r="IHZ14" s="2"/>
      <c r="IIK14" s="2"/>
      <c r="IIL14" s="2"/>
      <c r="IIM14" s="2"/>
      <c r="IIX14" s="2"/>
      <c r="IIY14" s="2"/>
      <c r="IIZ14" s="2"/>
      <c r="IJK14" s="2"/>
      <c r="IJL14" s="2"/>
      <c r="IJM14" s="2"/>
      <c r="IJX14" s="2"/>
      <c r="IJY14" s="2"/>
      <c r="IJZ14" s="2"/>
      <c r="IKK14" s="2"/>
      <c r="IKL14" s="2"/>
      <c r="IKM14" s="2"/>
      <c r="IKX14" s="2"/>
      <c r="IKY14" s="2"/>
      <c r="IKZ14" s="2"/>
      <c r="ILK14" s="2"/>
      <c r="ILL14" s="2"/>
      <c r="ILM14" s="2"/>
      <c r="ILX14" s="2"/>
      <c r="ILY14" s="2"/>
      <c r="ILZ14" s="2"/>
      <c r="IMK14" s="2"/>
      <c r="IML14" s="2"/>
      <c r="IMM14" s="2"/>
      <c r="IMX14" s="2"/>
      <c r="IMY14" s="2"/>
      <c r="IMZ14" s="2"/>
      <c r="INK14" s="2"/>
      <c r="INL14" s="2"/>
      <c r="INM14" s="2"/>
      <c r="INX14" s="2"/>
      <c r="INY14" s="2"/>
      <c r="INZ14" s="2"/>
      <c r="IOK14" s="2"/>
      <c r="IOL14" s="2"/>
      <c r="IOM14" s="2"/>
      <c r="IOX14" s="2"/>
      <c r="IOY14" s="2"/>
      <c r="IOZ14" s="2"/>
      <c r="IPK14" s="2"/>
      <c r="IPL14" s="2"/>
      <c r="IPM14" s="2"/>
      <c r="IPX14" s="2"/>
      <c r="IPY14" s="2"/>
      <c r="IPZ14" s="2"/>
      <c r="IQK14" s="2"/>
      <c r="IQL14" s="2"/>
      <c r="IQM14" s="2"/>
      <c r="IQX14" s="2"/>
      <c r="IQY14" s="2"/>
      <c r="IQZ14" s="2"/>
      <c r="IRK14" s="2"/>
      <c r="IRL14" s="2"/>
      <c r="IRM14" s="2"/>
      <c r="IRX14" s="2"/>
      <c r="IRY14" s="2"/>
      <c r="IRZ14" s="2"/>
      <c r="ISK14" s="2"/>
      <c r="ISL14" s="2"/>
      <c r="ISM14" s="2"/>
      <c r="ISX14" s="2"/>
      <c r="ISY14" s="2"/>
      <c r="ISZ14" s="2"/>
      <c r="ITK14" s="2"/>
      <c r="ITL14" s="2"/>
      <c r="ITM14" s="2"/>
      <c r="ITX14" s="2"/>
      <c r="ITY14" s="2"/>
      <c r="ITZ14" s="2"/>
      <c r="IUK14" s="2"/>
      <c r="IUL14" s="2"/>
      <c r="IUM14" s="2"/>
      <c r="IUX14" s="2"/>
      <c r="IUY14" s="2"/>
      <c r="IUZ14" s="2"/>
      <c r="IVK14" s="2"/>
      <c r="IVL14" s="2"/>
      <c r="IVM14" s="2"/>
      <c r="IVX14" s="2"/>
      <c r="IVY14" s="2"/>
      <c r="IVZ14" s="2"/>
      <c r="IWK14" s="2"/>
      <c r="IWL14" s="2"/>
      <c r="IWM14" s="2"/>
      <c r="IWX14" s="2"/>
      <c r="IWY14" s="2"/>
      <c r="IWZ14" s="2"/>
      <c r="IXK14" s="2"/>
      <c r="IXL14" s="2"/>
      <c r="IXM14" s="2"/>
      <c r="IXX14" s="2"/>
      <c r="IXY14" s="2"/>
      <c r="IXZ14" s="2"/>
      <c r="IYK14" s="2"/>
      <c r="IYL14" s="2"/>
      <c r="IYM14" s="2"/>
      <c r="IYX14" s="2"/>
      <c r="IYY14" s="2"/>
      <c r="IYZ14" s="2"/>
      <c r="IZK14" s="2"/>
      <c r="IZL14" s="2"/>
      <c r="IZM14" s="2"/>
      <c r="IZX14" s="2"/>
      <c r="IZY14" s="2"/>
      <c r="IZZ14" s="2"/>
      <c r="JAK14" s="2"/>
      <c r="JAL14" s="2"/>
      <c r="JAM14" s="2"/>
      <c r="JAX14" s="2"/>
      <c r="JAY14" s="2"/>
      <c r="JAZ14" s="2"/>
      <c r="JBK14" s="2"/>
      <c r="JBL14" s="2"/>
      <c r="JBM14" s="2"/>
      <c r="JBX14" s="2"/>
      <c r="JBY14" s="2"/>
      <c r="JBZ14" s="2"/>
      <c r="JCK14" s="2"/>
      <c r="JCL14" s="2"/>
      <c r="JCM14" s="2"/>
      <c r="JCX14" s="2"/>
      <c r="JCY14" s="2"/>
      <c r="JCZ14" s="2"/>
      <c r="JDK14" s="2"/>
      <c r="JDL14" s="2"/>
      <c r="JDM14" s="2"/>
      <c r="JDX14" s="2"/>
      <c r="JDY14" s="2"/>
      <c r="JDZ14" s="2"/>
      <c r="JEK14" s="2"/>
      <c r="JEL14" s="2"/>
      <c r="JEM14" s="2"/>
      <c r="JEX14" s="2"/>
      <c r="JEY14" s="2"/>
      <c r="JEZ14" s="2"/>
      <c r="JFK14" s="2"/>
      <c r="JFL14" s="2"/>
      <c r="JFM14" s="2"/>
      <c r="JFX14" s="2"/>
      <c r="JFY14" s="2"/>
      <c r="JFZ14" s="2"/>
      <c r="JGK14" s="2"/>
      <c r="JGL14" s="2"/>
      <c r="JGM14" s="2"/>
      <c r="JGX14" s="2"/>
      <c r="JGY14" s="2"/>
      <c r="JGZ14" s="2"/>
      <c r="JHK14" s="2"/>
      <c r="JHL14" s="2"/>
      <c r="JHM14" s="2"/>
      <c r="JHX14" s="2"/>
      <c r="JHY14" s="2"/>
      <c r="JHZ14" s="2"/>
      <c r="JIK14" s="2"/>
      <c r="JIL14" s="2"/>
      <c r="JIM14" s="2"/>
      <c r="JIX14" s="2"/>
      <c r="JIY14" s="2"/>
      <c r="JIZ14" s="2"/>
      <c r="JJK14" s="2"/>
      <c r="JJL14" s="2"/>
      <c r="JJM14" s="2"/>
      <c r="JJX14" s="2"/>
      <c r="JJY14" s="2"/>
      <c r="JJZ14" s="2"/>
      <c r="JKK14" s="2"/>
      <c r="JKL14" s="2"/>
      <c r="JKM14" s="2"/>
      <c r="JKX14" s="2"/>
      <c r="JKY14" s="2"/>
      <c r="JKZ14" s="2"/>
      <c r="JLK14" s="2"/>
      <c r="JLL14" s="2"/>
      <c r="JLM14" s="2"/>
      <c r="JLX14" s="2"/>
      <c r="JLY14" s="2"/>
      <c r="JLZ14" s="2"/>
      <c r="JMK14" s="2"/>
      <c r="JML14" s="2"/>
      <c r="JMM14" s="2"/>
      <c r="JMX14" s="2"/>
      <c r="JMY14" s="2"/>
      <c r="JMZ14" s="2"/>
      <c r="JNK14" s="2"/>
      <c r="JNL14" s="2"/>
      <c r="JNM14" s="2"/>
      <c r="JNX14" s="2"/>
      <c r="JNY14" s="2"/>
      <c r="JNZ14" s="2"/>
      <c r="JOK14" s="2"/>
      <c r="JOL14" s="2"/>
      <c r="JOM14" s="2"/>
      <c r="JOX14" s="2"/>
      <c r="JOY14" s="2"/>
      <c r="JOZ14" s="2"/>
      <c r="JPK14" s="2"/>
      <c r="JPL14" s="2"/>
      <c r="JPM14" s="2"/>
      <c r="JPX14" s="2"/>
      <c r="JPY14" s="2"/>
      <c r="JPZ14" s="2"/>
      <c r="JQK14" s="2"/>
      <c r="JQL14" s="2"/>
      <c r="JQM14" s="2"/>
      <c r="JQX14" s="2"/>
      <c r="JQY14" s="2"/>
      <c r="JQZ14" s="2"/>
      <c r="JRK14" s="2"/>
      <c r="JRL14" s="2"/>
      <c r="JRM14" s="2"/>
      <c r="JRX14" s="2"/>
      <c r="JRY14" s="2"/>
      <c r="JRZ14" s="2"/>
      <c r="JSK14" s="2"/>
      <c r="JSL14" s="2"/>
      <c r="JSM14" s="2"/>
      <c r="JSX14" s="2"/>
      <c r="JSY14" s="2"/>
      <c r="JSZ14" s="2"/>
      <c r="JTK14" s="2"/>
      <c r="JTL14" s="2"/>
      <c r="JTM14" s="2"/>
      <c r="JTX14" s="2"/>
      <c r="JTY14" s="2"/>
      <c r="JTZ14" s="2"/>
      <c r="JUK14" s="2"/>
      <c r="JUL14" s="2"/>
      <c r="JUM14" s="2"/>
      <c r="JUX14" s="2"/>
      <c r="JUY14" s="2"/>
      <c r="JUZ14" s="2"/>
      <c r="JVK14" s="2"/>
      <c r="JVL14" s="2"/>
      <c r="JVM14" s="2"/>
      <c r="JVX14" s="2"/>
      <c r="JVY14" s="2"/>
      <c r="JVZ14" s="2"/>
      <c r="JWK14" s="2"/>
      <c r="JWL14" s="2"/>
      <c r="JWM14" s="2"/>
      <c r="JWX14" s="2"/>
      <c r="JWY14" s="2"/>
      <c r="JWZ14" s="2"/>
      <c r="JXK14" s="2"/>
      <c r="JXL14" s="2"/>
      <c r="JXM14" s="2"/>
      <c r="JXX14" s="2"/>
      <c r="JXY14" s="2"/>
      <c r="JXZ14" s="2"/>
      <c r="JYK14" s="2"/>
      <c r="JYL14" s="2"/>
      <c r="JYM14" s="2"/>
      <c r="JYX14" s="2"/>
      <c r="JYY14" s="2"/>
      <c r="JYZ14" s="2"/>
      <c r="JZK14" s="2"/>
      <c r="JZL14" s="2"/>
      <c r="JZM14" s="2"/>
      <c r="JZX14" s="2"/>
      <c r="JZY14" s="2"/>
      <c r="JZZ14" s="2"/>
      <c r="KAK14" s="2"/>
      <c r="KAL14" s="2"/>
      <c r="KAM14" s="2"/>
      <c r="KAX14" s="2"/>
      <c r="KAY14" s="2"/>
      <c r="KAZ14" s="2"/>
      <c r="KBK14" s="2"/>
      <c r="KBL14" s="2"/>
      <c r="KBM14" s="2"/>
      <c r="KBX14" s="2"/>
      <c r="KBY14" s="2"/>
      <c r="KBZ14" s="2"/>
      <c r="KCK14" s="2"/>
      <c r="KCL14" s="2"/>
      <c r="KCM14" s="2"/>
      <c r="KCX14" s="2"/>
      <c r="KCY14" s="2"/>
      <c r="KCZ14" s="2"/>
      <c r="KDK14" s="2"/>
      <c r="KDL14" s="2"/>
      <c r="KDM14" s="2"/>
      <c r="KDX14" s="2"/>
      <c r="KDY14" s="2"/>
      <c r="KDZ14" s="2"/>
      <c r="KEK14" s="2"/>
      <c r="KEL14" s="2"/>
      <c r="KEM14" s="2"/>
      <c r="KEX14" s="2"/>
      <c r="KEY14" s="2"/>
      <c r="KEZ14" s="2"/>
      <c r="KFK14" s="2"/>
      <c r="KFL14" s="2"/>
      <c r="KFM14" s="2"/>
      <c r="KFX14" s="2"/>
      <c r="KFY14" s="2"/>
      <c r="KFZ14" s="2"/>
      <c r="KGK14" s="2"/>
      <c r="KGL14" s="2"/>
      <c r="KGM14" s="2"/>
      <c r="KGX14" s="2"/>
      <c r="KGY14" s="2"/>
      <c r="KGZ14" s="2"/>
      <c r="KHK14" s="2"/>
      <c r="KHL14" s="2"/>
      <c r="KHM14" s="2"/>
      <c r="KHX14" s="2"/>
      <c r="KHY14" s="2"/>
      <c r="KHZ14" s="2"/>
      <c r="KIK14" s="2"/>
      <c r="KIL14" s="2"/>
      <c r="KIM14" s="2"/>
      <c r="KIX14" s="2"/>
      <c r="KIY14" s="2"/>
      <c r="KIZ14" s="2"/>
      <c r="KJK14" s="2"/>
      <c r="KJL14" s="2"/>
      <c r="KJM14" s="2"/>
      <c r="KJX14" s="2"/>
      <c r="KJY14" s="2"/>
      <c r="KJZ14" s="2"/>
      <c r="KKK14" s="2"/>
      <c r="KKL14" s="2"/>
      <c r="KKM14" s="2"/>
      <c r="KKX14" s="2"/>
      <c r="KKY14" s="2"/>
      <c r="KKZ14" s="2"/>
      <c r="KLK14" s="2"/>
      <c r="KLL14" s="2"/>
      <c r="KLM14" s="2"/>
      <c r="KLX14" s="2"/>
      <c r="KLY14" s="2"/>
      <c r="KLZ14" s="2"/>
      <c r="KMK14" s="2"/>
      <c r="KML14" s="2"/>
      <c r="KMM14" s="2"/>
      <c r="KMX14" s="2"/>
      <c r="KMY14" s="2"/>
      <c r="KMZ14" s="2"/>
      <c r="KNK14" s="2"/>
      <c r="KNL14" s="2"/>
      <c r="KNM14" s="2"/>
      <c r="KNX14" s="2"/>
      <c r="KNY14" s="2"/>
      <c r="KNZ14" s="2"/>
      <c r="KOK14" s="2"/>
      <c r="KOL14" s="2"/>
      <c r="KOM14" s="2"/>
      <c r="KOX14" s="2"/>
      <c r="KOY14" s="2"/>
      <c r="KOZ14" s="2"/>
      <c r="KPK14" s="2"/>
      <c r="KPL14" s="2"/>
      <c r="KPM14" s="2"/>
      <c r="KPX14" s="2"/>
      <c r="KPY14" s="2"/>
      <c r="KPZ14" s="2"/>
      <c r="KQK14" s="2"/>
      <c r="KQL14" s="2"/>
      <c r="KQM14" s="2"/>
      <c r="KQX14" s="2"/>
      <c r="KQY14" s="2"/>
      <c r="KQZ14" s="2"/>
      <c r="KRK14" s="2"/>
      <c r="KRL14" s="2"/>
      <c r="KRM14" s="2"/>
      <c r="KRX14" s="2"/>
      <c r="KRY14" s="2"/>
      <c r="KRZ14" s="2"/>
      <c r="KSK14" s="2"/>
      <c r="KSL14" s="2"/>
      <c r="KSM14" s="2"/>
      <c r="KSX14" s="2"/>
      <c r="KSY14" s="2"/>
      <c r="KSZ14" s="2"/>
      <c r="KTK14" s="2"/>
      <c r="KTL14" s="2"/>
      <c r="KTM14" s="2"/>
      <c r="KTX14" s="2"/>
      <c r="KTY14" s="2"/>
      <c r="KTZ14" s="2"/>
      <c r="KUK14" s="2"/>
      <c r="KUL14" s="2"/>
      <c r="KUM14" s="2"/>
      <c r="KUX14" s="2"/>
      <c r="KUY14" s="2"/>
      <c r="KUZ14" s="2"/>
      <c r="KVK14" s="2"/>
      <c r="KVL14" s="2"/>
      <c r="KVM14" s="2"/>
      <c r="KVX14" s="2"/>
      <c r="KVY14" s="2"/>
      <c r="KVZ14" s="2"/>
      <c r="KWK14" s="2"/>
      <c r="KWL14" s="2"/>
      <c r="KWM14" s="2"/>
      <c r="KWX14" s="2"/>
      <c r="KWY14" s="2"/>
      <c r="KWZ14" s="2"/>
      <c r="KXK14" s="2"/>
      <c r="KXL14" s="2"/>
      <c r="KXM14" s="2"/>
      <c r="KXX14" s="2"/>
      <c r="KXY14" s="2"/>
      <c r="KXZ14" s="2"/>
      <c r="KYK14" s="2"/>
      <c r="KYL14" s="2"/>
      <c r="KYM14" s="2"/>
      <c r="KYX14" s="2"/>
      <c r="KYY14" s="2"/>
      <c r="KYZ14" s="2"/>
      <c r="KZK14" s="2"/>
      <c r="KZL14" s="2"/>
      <c r="KZM14" s="2"/>
      <c r="KZX14" s="2"/>
      <c r="KZY14" s="2"/>
      <c r="KZZ14" s="2"/>
      <c r="LAK14" s="2"/>
      <c r="LAL14" s="2"/>
      <c r="LAM14" s="2"/>
      <c r="LAX14" s="2"/>
      <c r="LAY14" s="2"/>
      <c r="LAZ14" s="2"/>
      <c r="LBK14" s="2"/>
      <c r="LBL14" s="2"/>
      <c r="LBM14" s="2"/>
      <c r="LBX14" s="2"/>
      <c r="LBY14" s="2"/>
      <c r="LBZ14" s="2"/>
      <c r="LCK14" s="2"/>
      <c r="LCL14" s="2"/>
      <c r="LCM14" s="2"/>
      <c r="LCX14" s="2"/>
      <c r="LCY14" s="2"/>
      <c r="LCZ14" s="2"/>
      <c r="LDK14" s="2"/>
      <c r="LDL14" s="2"/>
      <c r="LDM14" s="2"/>
      <c r="LDX14" s="2"/>
      <c r="LDY14" s="2"/>
      <c r="LDZ14" s="2"/>
      <c r="LEK14" s="2"/>
      <c r="LEL14" s="2"/>
      <c r="LEM14" s="2"/>
      <c r="LEX14" s="2"/>
      <c r="LEY14" s="2"/>
      <c r="LEZ14" s="2"/>
      <c r="LFK14" s="2"/>
      <c r="LFL14" s="2"/>
      <c r="LFM14" s="2"/>
      <c r="LFX14" s="2"/>
      <c r="LFY14" s="2"/>
      <c r="LFZ14" s="2"/>
      <c r="LGK14" s="2"/>
      <c r="LGL14" s="2"/>
      <c r="LGM14" s="2"/>
      <c r="LGX14" s="2"/>
      <c r="LGY14" s="2"/>
      <c r="LGZ14" s="2"/>
      <c r="LHK14" s="2"/>
      <c r="LHL14" s="2"/>
      <c r="LHM14" s="2"/>
      <c r="LHX14" s="2"/>
      <c r="LHY14" s="2"/>
      <c r="LHZ14" s="2"/>
      <c r="LIK14" s="2"/>
      <c r="LIL14" s="2"/>
      <c r="LIM14" s="2"/>
      <c r="LIX14" s="2"/>
      <c r="LIY14" s="2"/>
      <c r="LIZ14" s="2"/>
      <c r="LJK14" s="2"/>
      <c r="LJL14" s="2"/>
      <c r="LJM14" s="2"/>
      <c r="LJX14" s="2"/>
      <c r="LJY14" s="2"/>
      <c r="LJZ14" s="2"/>
      <c r="LKK14" s="2"/>
      <c r="LKL14" s="2"/>
      <c r="LKM14" s="2"/>
      <c r="LKX14" s="2"/>
      <c r="LKY14" s="2"/>
      <c r="LKZ14" s="2"/>
      <c r="LLK14" s="2"/>
      <c r="LLL14" s="2"/>
      <c r="LLM14" s="2"/>
      <c r="LLX14" s="2"/>
      <c r="LLY14" s="2"/>
      <c r="LLZ14" s="2"/>
      <c r="LMK14" s="2"/>
      <c r="LML14" s="2"/>
      <c r="LMM14" s="2"/>
      <c r="LMX14" s="2"/>
      <c r="LMY14" s="2"/>
      <c r="LMZ14" s="2"/>
      <c r="LNK14" s="2"/>
      <c r="LNL14" s="2"/>
      <c r="LNM14" s="2"/>
      <c r="LNX14" s="2"/>
      <c r="LNY14" s="2"/>
      <c r="LNZ14" s="2"/>
      <c r="LOK14" s="2"/>
      <c r="LOL14" s="2"/>
      <c r="LOM14" s="2"/>
      <c r="LOX14" s="2"/>
      <c r="LOY14" s="2"/>
      <c r="LOZ14" s="2"/>
      <c r="LPK14" s="2"/>
      <c r="LPL14" s="2"/>
      <c r="LPM14" s="2"/>
      <c r="LPX14" s="2"/>
      <c r="LPY14" s="2"/>
      <c r="LPZ14" s="2"/>
      <c r="LQK14" s="2"/>
      <c r="LQL14" s="2"/>
      <c r="LQM14" s="2"/>
      <c r="LQX14" s="2"/>
      <c r="LQY14" s="2"/>
      <c r="LQZ14" s="2"/>
      <c r="LRK14" s="2"/>
      <c r="LRL14" s="2"/>
      <c r="LRM14" s="2"/>
      <c r="LRX14" s="2"/>
      <c r="LRY14" s="2"/>
      <c r="LRZ14" s="2"/>
      <c r="LSK14" s="2"/>
      <c r="LSL14" s="2"/>
      <c r="LSM14" s="2"/>
      <c r="LSX14" s="2"/>
      <c r="LSY14" s="2"/>
      <c r="LSZ14" s="2"/>
      <c r="LTK14" s="2"/>
      <c r="LTL14" s="2"/>
      <c r="LTM14" s="2"/>
      <c r="LTX14" s="2"/>
      <c r="LTY14" s="2"/>
      <c r="LTZ14" s="2"/>
      <c r="LUK14" s="2"/>
      <c r="LUL14" s="2"/>
      <c r="LUM14" s="2"/>
      <c r="LUX14" s="2"/>
      <c r="LUY14" s="2"/>
      <c r="LUZ14" s="2"/>
      <c r="LVK14" s="2"/>
      <c r="LVL14" s="2"/>
      <c r="LVM14" s="2"/>
      <c r="LVX14" s="2"/>
      <c r="LVY14" s="2"/>
      <c r="LVZ14" s="2"/>
      <c r="LWK14" s="2"/>
      <c r="LWL14" s="2"/>
      <c r="LWM14" s="2"/>
      <c r="LWX14" s="2"/>
      <c r="LWY14" s="2"/>
      <c r="LWZ14" s="2"/>
      <c r="LXK14" s="2"/>
      <c r="LXL14" s="2"/>
      <c r="LXM14" s="2"/>
      <c r="LXX14" s="2"/>
      <c r="LXY14" s="2"/>
      <c r="LXZ14" s="2"/>
      <c r="LYK14" s="2"/>
      <c r="LYL14" s="2"/>
      <c r="LYM14" s="2"/>
      <c r="LYX14" s="2"/>
      <c r="LYY14" s="2"/>
      <c r="LYZ14" s="2"/>
      <c r="LZK14" s="2"/>
      <c r="LZL14" s="2"/>
      <c r="LZM14" s="2"/>
      <c r="LZX14" s="2"/>
      <c r="LZY14" s="2"/>
      <c r="LZZ14" s="2"/>
      <c r="MAK14" s="2"/>
      <c r="MAL14" s="2"/>
      <c r="MAM14" s="2"/>
      <c r="MAX14" s="2"/>
      <c r="MAY14" s="2"/>
      <c r="MAZ14" s="2"/>
      <c r="MBK14" s="2"/>
      <c r="MBL14" s="2"/>
      <c r="MBM14" s="2"/>
      <c r="MBX14" s="2"/>
      <c r="MBY14" s="2"/>
      <c r="MBZ14" s="2"/>
      <c r="MCK14" s="2"/>
      <c r="MCL14" s="2"/>
      <c r="MCM14" s="2"/>
      <c r="MCX14" s="2"/>
      <c r="MCY14" s="2"/>
      <c r="MCZ14" s="2"/>
      <c r="MDK14" s="2"/>
      <c r="MDL14" s="2"/>
      <c r="MDM14" s="2"/>
      <c r="MDX14" s="2"/>
      <c r="MDY14" s="2"/>
      <c r="MDZ14" s="2"/>
      <c r="MEK14" s="2"/>
      <c r="MEL14" s="2"/>
      <c r="MEM14" s="2"/>
      <c r="MEX14" s="2"/>
      <c r="MEY14" s="2"/>
      <c r="MEZ14" s="2"/>
      <c r="MFK14" s="2"/>
      <c r="MFL14" s="2"/>
      <c r="MFM14" s="2"/>
      <c r="MFX14" s="2"/>
      <c r="MFY14" s="2"/>
      <c r="MFZ14" s="2"/>
      <c r="MGK14" s="2"/>
      <c r="MGL14" s="2"/>
      <c r="MGM14" s="2"/>
      <c r="MGX14" s="2"/>
      <c r="MGY14" s="2"/>
      <c r="MGZ14" s="2"/>
      <c r="MHK14" s="2"/>
      <c r="MHL14" s="2"/>
      <c r="MHM14" s="2"/>
      <c r="MHX14" s="2"/>
      <c r="MHY14" s="2"/>
      <c r="MHZ14" s="2"/>
      <c r="MIK14" s="2"/>
      <c r="MIL14" s="2"/>
      <c r="MIM14" s="2"/>
      <c r="MIX14" s="2"/>
      <c r="MIY14" s="2"/>
      <c r="MIZ14" s="2"/>
      <c r="MJK14" s="2"/>
      <c r="MJL14" s="2"/>
      <c r="MJM14" s="2"/>
      <c r="MJX14" s="2"/>
      <c r="MJY14" s="2"/>
      <c r="MJZ14" s="2"/>
      <c r="MKK14" s="2"/>
      <c r="MKL14" s="2"/>
      <c r="MKM14" s="2"/>
      <c r="MKX14" s="2"/>
      <c r="MKY14" s="2"/>
      <c r="MKZ14" s="2"/>
      <c r="MLK14" s="2"/>
      <c r="MLL14" s="2"/>
      <c r="MLM14" s="2"/>
      <c r="MLX14" s="2"/>
      <c r="MLY14" s="2"/>
      <c r="MLZ14" s="2"/>
      <c r="MMK14" s="2"/>
      <c r="MML14" s="2"/>
      <c r="MMM14" s="2"/>
      <c r="MMX14" s="2"/>
      <c r="MMY14" s="2"/>
      <c r="MMZ14" s="2"/>
      <c r="MNK14" s="2"/>
      <c r="MNL14" s="2"/>
      <c r="MNM14" s="2"/>
      <c r="MNX14" s="2"/>
      <c r="MNY14" s="2"/>
      <c r="MNZ14" s="2"/>
      <c r="MOK14" s="2"/>
      <c r="MOL14" s="2"/>
      <c r="MOM14" s="2"/>
      <c r="MOX14" s="2"/>
      <c r="MOY14" s="2"/>
      <c r="MOZ14" s="2"/>
      <c r="MPK14" s="2"/>
      <c r="MPL14" s="2"/>
      <c r="MPM14" s="2"/>
      <c r="MPX14" s="2"/>
      <c r="MPY14" s="2"/>
      <c r="MPZ14" s="2"/>
      <c r="MQK14" s="2"/>
      <c r="MQL14" s="2"/>
      <c r="MQM14" s="2"/>
      <c r="MQX14" s="2"/>
      <c r="MQY14" s="2"/>
      <c r="MQZ14" s="2"/>
      <c r="MRK14" s="2"/>
      <c r="MRL14" s="2"/>
      <c r="MRM14" s="2"/>
      <c r="MRX14" s="2"/>
      <c r="MRY14" s="2"/>
      <c r="MRZ14" s="2"/>
      <c r="MSK14" s="2"/>
      <c r="MSL14" s="2"/>
      <c r="MSM14" s="2"/>
      <c r="MSX14" s="2"/>
      <c r="MSY14" s="2"/>
      <c r="MSZ14" s="2"/>
      <c r="MTK14" s="2"/>
      <c r="MTL14" s="2"/>
      <c r="MTM14" s="2"/>
      <c r="MTX14" s="2"/>
      <c r="MTY14" s="2"/>
      <c r="MTZ14" s="2"/>
      <c r="MUK14" s="2"/>
      <c r="MUL14" s="2"/>
      <c r="MUM14" s="2"/>
      <c r="MUX14" s="2"/>
      <c r="MUY14" s="2"/>
      <c r="MUZ14" s="2"/>
      <c r="MVK14" s="2"/>
      <c r="MVL14" s="2"/>
      <c r="MVM14" s="2"/>
      <c r="MVX14" s="2"/>
      <c r="MVY14" s="2"/>
      <c r="MVZ14" s="2"/>
      <c r="MWK14" s="2"/>
      <c r="MWL14" s="2"/>
      <c r="MWM14" s="2"/>
      <c r="MWX14" s="2"/>
      <c r="MWY14" s="2"/>
      <c r="MWZ14" s="2"/>
      <c r="MXK14" s="2"/>
      <c r="MXL14" s="2"/>
      <c r="MXM14" s="2"/>
      <c r="MXX14" s="2"/>
      <c r="MXY14" s="2"/>
      <c r="MXZ14" s="2"/>
      <c r="MYK14" s="2"/>
      <c r="MYL14" s="2"/>
      <c r="MYM14" s="2"/>
      <c r="MYX14" s="2"/>
      <c r="MYY14" s="2"/>
      <c r="MYZ14" s="2"/>
      <c r="MZK14" s="2"/>
      <c r="MZL14" s="2"/>
      <c r="MZM14" s="2"/>
      <c r="MZX14" s="2"/>
      <c r="MZY14" s="2"/>
      <c r="MZZ14" s="2"/>
      <c r="NAK14" s="2"/>
      <c r="NAL14" s="2"/>
      <c r="NAM14" s="2"/>
      <c r="NAX14" s="2"/>
      <c r="NAY14" s="2"/>
      <c r="NAZ14" s="2"/>
      <c r="NBK14" s="2"/>
      <c r="NBL14" s="2"/>
      <c r="NBM14" s="2"/>
      <c r="NBX14" s="2"/>
      <c r="NBY14" s="2"/>
      <c r="NBZ14" s="2"/>
      <c r="NCK14" s="2"/>
      <c r="NCL14" s="2"/>
      <c r="NCM14" s="2"/>
      <c r="NCX14" s="2"/>
      <c r="NCY14" s="2"/>
      <c r="NCZ14" s="2"/>
      <c r="NDK14" s="2"/>
      <c r="NDL14" s="2"/>
      <c r="NDM14" s="2"/>
      <c r="NDX14" s="2"/>
      <c r="NDY14" s="2"/>
      <c r="NDZ14" s="2"/>
      <c r="NEK14" s="2"/>
      <c r="NEL14" s="2"/>
      <c r="NEM14" s="2"/>
      <c r="NEX14" s="2"/>
      <c r="NEY14" s="2"/>
      <c r="NEZ14" s="2"/>
      <c r="NFK14" s="2"/>
      <c r="NFL14" s="2"/>
      <c r="NFM14" s="2"/>
      <c r="NFX14" s="2"/>
      <c r="NFY14" s="2"/>
      <c r="NFZ14" s="2"/>
      <c r="NGK14" s="2"/>
      <c r="NGL14" s="2"/>
      <c r="NGM14" s="2"/>
      <c r="NGX14" s="2"/>
      <c r="NGY14" s="2"/>
      <c r="NGZ14" s="2"/>
      <c r="NHK14" s="2"/>
      <c r="NHL14" s="2"/>
      <c r="NHM14" s="2"/>
      <c r="NHX14" s="2"/>
      <c r="NHY14" s="2"/>
      <c r="NHZ14" s="2"/>
      <c r="NIK14" s="2"/>
      <c r="NIL14" s="2"/>
      <c r="NIM14" s="2"/>
      <c r="NIX14" s="2"/>
      <c r="NIY14" s="2"/>
      <c r="NIZ14" s="2"/>
      <c r="NJK14" s="2"/>
      <c r="NJL14" s="2"/>
      <c r="NJM14" s="2"/>
      <c r="NJX14" s="2"/>
      <c r="NJY14" s="2"/>
      <c r="NJZ14" s="2"/>
      <c r="NKK14" s="2"/>
      <c r="NKL14" s="2"/>
      <c r="NKM14" s="2"/>
      <c r="NKX14" s="2"/>
      <c r="NKY14" s="2"/>
      <c r="NKZ14" s="2"/>
      <c r="NLK14" s="2"/>
      <c r="NLL14" s="2"/>
      <c r="NLM14" s="2"/>
      <c r="NLX14" s="2"/>
      <c r="NLY14" s="2"/>
      <c r="NLZ14" s="2"/>
      <c r="NMK14" s="2"/>
      <c r="NML14" s="2"/>
      <c r="NMM14" s="2"/>
      <c r="NMX14" s="2"/>
      <c r="NMY14" s="2"/>
      <c r="NMZ14" s="2"/>
      <c r="NNK14" s="2"/>
      <c r="NNL14" s="2"/>
      <c r="NNM14" s="2"/>
      <c r="NNX14" s="2"/>
      <c r="NNY14" s="2"/>
      <c r="NNZ14" s="2"/>
      <c r="NOK14" s="2"/>
      <c r="NOL14" s="2"/>
      <c r="NOM14" s="2"/>
      <c r="NOX14" s="2"/>
      <c r="NOY14" s="2"/>
      <c r="NOZ14" s="2"/>
      <c r="NPK14" s="2"/>
      <c r="NPL14" s="2"/>
      <c r="NPM14" s="2"/>
      <c r="NPX14" s="2"/>
      <c r="NPY14" s="2"/>
      <c r="NPZ14" s="2"/>
      <c r="NQK14" s="2"/>
      <c r="NQL14" s="2"/>
      <c r="NQM14" s="2"/>
      <c r="NQX14" s="2"/>
      <c r="NQY14" s="2"/>
      <c r="NQZ14" s="2"/>
      <c r="NRK14" s="2"/>
      <c r="NRL14" s="2"/>
      <c r="NRM14" s="2"/>
      <c r="NRX14" s="2"/>
      <c r="NRY14" s="2"/>
      <c r="NRZ14" s="2"/>
      <c r="NSK14" s="2"/>
      <c r="NSL14" s="2"/>
      <c r="NSM14" s="2"/>
      <c r="NSX14" s="2"/>
      <c r="NSY14" s="2"/>
      <c r="NSZ14" s="2"/>
      <c r="NTK14" s="2"/>
      <c r="NTL14" s="2"/>
      <c r="NTM14" s="2"/>
      <c r="NTX14" s="2"/>
      <c r="NTY14" s="2"/>
      <c r="NTZ14" s="2"/>
      <c r="NUK14" s="2"/>
      <c r="NUL14" s="2"/>
      <c r="NUM14" s="2"/>
      <c r="NUX14" s="2"/>
      <c r="NUY14" s="2"/>
      <c r="NUZ14" s="2"/>
      <c r="NVK14" s="2"/>
      <c r="NVL14" s="2"/>
      <c r="NVM14" s="2"/>
      <c r="NVX14" s="2"/>
      <c r="NVY14" s="2"/>
      <c r="NVZ14" s="2"/>
      <c r="NWK14" s="2"/>
      <c r="NWL14" s="2"/>
      <c r="NWM14" s="2"/>
      <c r="NWX14" s="2"/>
      <c r="NWY14" s="2"/>
      <c r="NWZ14" s="2"/>
      <c r="NXK14" s="2"/>
      <c r="NXL14" s="2"/>
      <c r="NXM14" s="2"/>
      <c r="NXX14" s="2"/>
      <c r="NXY14" s="2"/>
      <c r="NXZ14" s="2"/>
      <c r="NYK14" s="2"/>
      <c r="NYL14" s="2"/>
      <c r="NYM14" s="2"/>
      <c r="NYX14" s="2"/>
      <c r="NYY14" s="2"/>
      <c r="NYZ14" s="2"/>
      <c r="NZK14" s="2"/>
      <c r="NZL14" s="2"/>
      <c r="NZM14" s="2"/>
      <c r="NZX14" s="2"/>
      <c r="NZY14" s="2"/>
      <c r="NZZ14" s="2"/>
      <c r="OAK14" s="2"/>
      <c r="OAL14" s="2"/>
      <c r="OAM14" s="2"/>
      <c r="OAX14" s="2"/>
      <c r="OAY14" s="2"/>
      <c r="OAZ14" s="2"/>
      <c r="OBK14" s="2"/>
      <c r="OBL14" s="2"/>
      <c r="OBM14" s="2"/>
      <c r="OBX14" s="2"/>
      <c r="OBY14" s="2"/>
      <c r="OBZ14" s="2"/>
      <c r="OCK14" s="2"/>
      <c r="OCL14" s="2"/>
      <c r="OCM14" s="2"/>
      <c r="OCX14" s="2"/>
      <c r="OCY14" s="2"/>
      <c r="OCZ14" s="2"/>
      <c r="ODK14" s="2"/>
      <c r="ODL14" s="2"/>
      <c r="ODM14" s="2"/>
      <c r="ODX14" s="2"/>
      <c r="ODY14" s="2"/>
      <c r="ODZ14" s="2"/>
      <c r="OEK14" s="2"/>
      <c r="OEL14" s="2"/>
      <c r="OEM14" s="2"/>
      <c r="OEX14" s="2"/>
      <c r="OEY14" s="2"/>
      <c r="OEZ14" s="2"/>
      <c r="OFK14" s="2"/>
      <c r="OFL14" s="2"/>
      <c r="OFM14" s="2"/>
      <c r="OFX14" s="2"/>
      <c r="OFY14" s="2"/>
      <c r="OFZ14" s="2"/>
      <c r="OGK14" s="2"/>
      <c r="OGL14" s="2"/>
      <c r="OGM14" s="2"/>
      <c r="OGX14" s="2"/>
      <c r="OGY14" s="2"/>
      <c r="OGZ14" s="2"/>
      <c r="OHK14" s="2"/>
      <c r="OHL14" s="2"/>
      <c r="OHM14" s="2"/>
      <c r="OHX14" s="2"/>
      <c r="OHY14" s="2"/>
      <c r="OHZ14" s="2"/>
      <c r="OIK14" s="2"/>
      <c r="OIL14" s="2"/>
      <c r="OIM14" s="2"/>
      <c r="OIX14" s="2"/>
      <c r="OIY14" s="2"/>
      <c r="OIZ14" s="2"/>
      <c r="OJK14" s="2"/>
      <c r="OJL14" s="2"/>
      <c r="OJM14" s="2"/>
      <c r="OJX14" s="2"/>
      <c r="OJY14" s="2"/>
      <c r="OJZ14" s="2"/>
      <c r="OKK14" s="2"/>
      <c r="OKL14" s="2"/>
      <c r="OKM14" s="2"/>
      <c r="OKX14" s="2"/>
      <c r="OKY14" s="2"/>
      <c r="OKZ14" s="2"/>
      <c r="OLK14" s="2"/>
      <c r="OLL14" s="2"/>
      <c r="OLM14" s="2"/>
      <c r="OLX14" s="2"/>
      <c r="OLY14" s="2"/>
      <c r="OLZ14" s="2"/>
      <c r="OMK14" s="2"/>
      <c r="OML14" s="2"/>
      <c r="OMM14" s="2"/>
      <c r="OMX14" s="2"/>
      <c r="OMY14" s="2"/>
      <c r="OMZ14" s="2"/>
      <c r="ONK14" s="2"/>
      <c r="ONL14" s="2"/>
      <c r="ONM14" s="2"/>
      <c r="ONX14" s="2"/>
      <c r="ONY14" s="2"/>
      <c r="ONZ14" s="2"/>
      <c r="OOK14" s="2"/>
      <c r="OOL14" s="2"/>
      <c r="OOM14" s="2"/>
      <c r="OOX14" s="2"/>
      <c r="OOY14" s="2"/>
      <c r="OOZ14" s="2"/>
      <c r="OPK14" s="2"/>
      <c r="OPL14" s="2"/>
      <c r="OPM14" s="2"/>
      <c r="OPX14" s="2"/>
      <c r="OPY14" s="2"/>
      <c r="OPZ14" s="2"/>
      <c r="OQK14" s="2"/>
      <c r="OQL14" s="2"/>
      <c r="OQM14" s="2"/>
      <c r="OQX14" s="2"/>
      <c r="OQY14" s="2"/>
      <c r="OQZ14" s="2"/>
      <c r="ORK14" s="2"/>
      <c r="ORL14" s="2"/>
      <c r="ORM14" s="2"/>
      <c r="ORX14" s="2"/>
      <c r="ORY14" s="2"/>
      <c r="ORZ14" s="2"/>
      <c r="OSK14" s="2"/>
      <c r="OSL14" s="2"/>
      <c r="OSM14" s="2"/>
      <c r="OSX14" s="2"/>
      <c r="OSY14" s="2"/>
      <c r="OSZ14" s="2"/>
      <c r="OTK14" s="2"/>
      <c r="OTL14" s="2"/>
      <c r="OTM14" s="2"/>
      <c r="OTX14" s="2"/>
      <c r="OTY14" s="2"/>
      <c r="OTZ14" s="2"/>
      <c r="OUK14" s="2"/>
      <c r="OUL14" s="2"/>
      <c r="OUM14" s="2"/>
      <c r="OUX14" s="2"/>
      <c r="OUY14" s="2"/>
      <c r="OUZ14" s="2"/>
      <c r="OVK14" s="2"/>
      <c r="OVL14" s="2"/>
      <c r="OVM14" s="2"/>
      <c r="OVX14" s="2"/>
      <c r="OVY14" s="2"/>
      <c r="OVZ14" s="2"/>
      <c r="OWK14" s="2"/>
      <c r="OWL14" s="2"/>
      <c r="OWM14" s="2"/>
      <c r="OWX14" s="2"/>
      <c r="OWY14" s="2"/>
      <c r="OWZ14" s="2"/>
      <c r="OXK14" s="2"/>
      <c r="OXL14" s="2"/>
      <c r="OXM14" s="2"/>
      <c r="OXX14" s="2"/>
      <c r="OXY14" s="2"/>
      <c r="OXZ14" s="2"/>
      <c r="OYK14" s="2"/>
      <c r="OYL14" s="2"/>
      <c r="OYM14" s="2"/>
      <c r="OYX14" s="2"/>
      <c r="OYY14" s="2"/>
      <c r="OYZ14" s="2"/>
      <c r="OZK14" s="2"/>
      <c r="OZL14" s="2"/>
      <c r="OZM14" s="2"/>
      <c r="OZX14" s="2"/>
      <c r="OZY14" s="2"/>
      <c r="OZZ14" s="2"/>
      <c r="PAK14" s="2"/>
      <c r="PAL14" s="2"/>
      <c r="PAM14" s="2"/>
      <c r="PAX14" s="2"/>
      <c r="PAY14" s="2"/>
      <c r="PAZ14" s="2"/>
      <c r="PBK14" s="2"/>
      <c r="PBL14" s="2"/>
      <c r="PBM14" s="2"/>
      <c r="PBX14" s="2"/>
      <c r="PBY14" s="2"/>
      <c r="PBZ14" s="2"/>
      <c r="PCK14" s="2"/>
      <c r="PCL14" s="2"/>
      <c r="PCM14" s="2"/>
      <c r="PCX14" s="2"/>
      <c r="PCY14" s="2"/>
      <c r="PCZ14" s="2"/>
      <c r="PDK14" s="2"/>
      <c r="PDL14" s="2"/>
      <c r="PDM14" s="2"/>
      <c r="PDX14" s="2"/>
      <c r="PDY14" s="2"/>
      <c r="PDZ14" s="2"/>
      <c r="PEK14" s="2"/>
      <c r="PEL14" s="2"/>
      <c r="PEM14" s="2"/>
      <c r="PEX14" s="2"/>
      <c r="PEY14" s="2"/>
      <c r="PEZ14" s="2"/>
      <c r="PFK14" s="2"/>
      <c r="PFL14" s="2"/>
      <c r="PFM14" s="2"/>
      <c r="PFX14" s="2"/>
      <c r="PFY14" s="2"/>
      <c r="PFZ14" s="2"/>
      <c r="PGK14" s="2"/>
      <c r="PGL14" s="2"/>
      <c r="PGM14" s="2"/>
      <c r="PGX14" s="2"/>
      <c r="PGY14" s="2"/>
      <c r="PGZ14" s="2"/>
      <c r="PHK14" s="2"/>
      <c r="PHL14" s="2"/>
      <c r="PHM14" s="2"/>
      <c r="PHX14" s="2"/>
      <c r="PHY14" s="2"/>
      <c r="PHZ14" s="2"/>
      <c r="PIK14" s="2"/>
      <c r="PIL14" s="2"/>
      <c r="PIM14" s="2"/>
      <c r="PIX14" s="2"/>
      <c r="PIY14" s="2"/>
      <c r="PIZ14" s="2"/>
      <c r="PJK14" s="2"/>
      <c r="PJL14" s="2"/>
      <c r="PJM14" s="2"/>
      <c r="PJX14" s="2"/>
      <c r="PJY14" s="2"/>
      <c r="PJZ14" s="2"/>
      <c r="PKK14" s="2"/>
      <c r="PKL14" s="2"/>
      <c r="PKM14" s="2"/>
      <c r="PKX14" s="2"/>
      <c r="PKY14" s="2"/>
      <c r="PKZ14" s="2"/>
      <c r="PLK14" s="2"/>
      <c r="PLL14" s="2"/>
      <c r="PLM14" s="2"/>
      <c r="PLX14" s="2"/>
      <c r="PLY14" s="2"/>
      <c r="PLZ14" s="2"/>
      <c r="PMK14" s="2"/>
      <c r="PML14" s="2"/>
      <c r="PMM14" s="2"/>
      <c r="PMX14" s="2"/>
      <c r="PMY14" s="2"/>
      <c r="PMZ14" s="2"/>
      <c r="PNK14" s="2"/>
      <c r="PNL14" s="2"/>
      <c r="PNM14" s="2"/>
      <c r="PNX14" s="2"/>
      <c r="PNY14" s="2"/>
      <c r="PNZ14" s="2"/>
      <c r="POK14" s="2"/>
      <c r="POL14" s="2"/>
      <c r="POM14" s="2"/>
      <c r="POX14" s="2"/>
      <c r="POY14" s="2"/>
      <c r="POZ14" s="2"/>
      <c r="PPK14" s="2"/>
      <c r="PPL14" s="2"/>
      <c r="PPM14" s="2"/>
      <c r="PPX14" s="2"/>
      <c r="PPY14" s="2"/>
      <c r="PPZ14" s="2"/>
      <c r="PQK14" s="2"/>
      <c r="PQL14" s="2"/>
      <c r="PQM14" s="2"/>
      <c r="PQX14" s="2"/>
      <c r="PQY14" s="2"/>
      <c r="PQZ14" s="2"/>
      <c r="PRK14" s="2"/>
      <c r="PRL14" s="2"/>
      <c r="PRM14" s="2"/>
      <c r="PRX14" s="2"/>
      <c r="PRY14" s="2"/>
      <c r="PRZ14" s="2"/>
      <c r="PSK14" s="2"/>
      <c r="PSL14" s="2"/>
      <c r="PSM14" s="2"/>
      <c r="PSX14" s="2"/>
      <c r="PSY14" s="2"/>
      <c r="PSZ14" s="2"/>
      <c r="PTK14" s="2"/>
      <c r="PTL14" s="2"/>
      <c r="PTM14" s="2"/>
      <c r="PTX14" s="2"/>
      <c r="PTY14" s="2"/>
      <c r="PTZ14" s="2"/>
      <c r="PUK14" s="2"/>
      <c r="PUL14" s="2"/>
      <c r="PUM14" s="2"/>
      <c r="PUX14" s="2"/>
      <c r="PUY14" s="2"/>
      <c r="PUZ14" s="2"/>
      <c r="PVK14" s="2"/>
      <c r="PVL14" s="2"/>
      <c r="PVM14" s="2"/>
      <c r="PVX14" s="2"/>
      <c r="PVY14" s="2"/>
      <c r="PVZ14" s="2"/>
      <c r="PWK14" s="2"/>
      <c r="PWL14" s="2"/>
      <c r="PWM14" s="2"/>
      <c r="PWX14" s="2"/>
      <c r="PWY14" s="2"/>
      <c r="PWZ14" s="2"/>
      <c r="PXK14" s="2"/>
      <c r="PXL14" s="2"/>
      <c r="PXM14" s="2"/>
      <c r="PXX14" s="2"/>
      <c r="PXY14" s="2"/>
      <c r="PXZ14" s="2"/>
      <c r="PYK14" s="2"/>
      <c r="PYL14" s="2"/>
      <c r="PYM14" s="2"/>
      <c r="PYX14" s="2"/>
      <c r="PYY14" s="2"/>
      <c r="PYZ14" s="2"/>
      <c r="PZK14" s="2"/>
      <c r="PZL14" s="2"/>
      <c r="PZM14" s="2"/>
      <c r="PZX14" s="2"/>
      <c r="PZY14" s="2"/>
      <c r="PZZ14" s="2"/>
      <c r="QAK14" s="2"/>
      <c r="QAL14" s="2"/>
      <c r="QAM14" s="2"/>
      <c r="QAX14" s="2"/>
      <c r="QAY14" s="2"/>
      <c r="QAZ14" s="2"/>
      <c r="QBK14" s="2"/>
      <c r="QBL14" s="2"/>
      <c r="QBM14" s="2"/>
      <c r="QBX14" s="2"/>
      <c r="QBY14" s="2"/>
      <c r="QBZ14" s="2"/>
      <c r="QCK14" s="2"/>
      <c r="QCL14" s="2"/>
      <c r="QCM14" s="2"/>
      <c r="QCX14" s="2"/>
      <c r="QCY14" s="2"/>
      <c r="QCZ14" s="2"/>
      <c r="QDK14" s="2"/>
      <c r="QDL14" s="2"/>
      <c r="QDM14" s="2"/>
      <c r="QDX14" s="2"/>
      <c r="QDY14" s="2"/>
      <c r="QDZ14" s="2"/>
      <c r="QEK14" s="2"/>
      <c r="QEL14" s="2"/>
      <c r="QEM14" s="2"/>
      <c r="QEX14" s="2"/>
      <c r="QEY14" s="2"/>
      <c r="QEZ14" s="2"/>
      <c r="QFK14" s="2"/>
      <c r="QFL14" s="2"/>
      <c r="QFM14" s="2"/>
      <c r="QFX14" s="2"/>
      <c r="QFY14" s="2"/>
      <c r="QFZ14" s="2"/>
      <c r="QGK14" s="2"/>
      <c r="QGL14" s="2"/>
      <c r="QGM14" s="2"/>
      <c r="QGX14" s="2"/>
      <c r="QGY14" s="2"/>
      <c r="QGZ14" s="2"/>
      <c r="QHK14" s="2"/>
      <c r="QHL14" s="2"/>
      <c r="QHM14" s="2"/>
      <c r="QHX14" s="2"/>
      <c r="QHY14" s="2"/>
      <c r="QHZ14" s="2"/>
      <c r="QIK14" s="2"/>
      <c r="QIL14" s="2"/>
      <c r="QIM14" s="2"/>
      <c r="QIX14" s="2"/>
      <c r="QIY14" s="2"/>
      <c r="QIZ14" s="2"/>
      <c r="QJK14" s="2"/>
      <c r="QJL14" s="2"/>
      <c r="QJM14" s="2"/>
      <c r="QJX14" s="2"/>
      <c r="QJY14" s="2"/>
      <c r="QJZ14" s="2"/>
      <c r="QKK14" s="2"/>
      <c r="QKL14" s="2"/>
      <c r="QKM14" s="2"/>
      <c r="QKX14" s="2"/>
      <c r="QKY14" s="2"/>
      <c r="QKZ14" s="2"/>
      <c r="QLK14" s="2"/>
      <c r="QLL14" s="2"/>
      <c r="QLM14" s="2"/>
      <c r="QLX14" s="2"/>
      <c r="QLY14" s="2"/>
      <c r="QLZ14" s="2"/>
      <c r="QMK14" s="2"/>
      <c r="QML14" s="2"/>
      <c r="QMM14" s="2"/>
      <c r="QMX14" s="2"/>
      <c r="QMY14" s="2"/>
      <c r="QMZ14" s="2"/>
      <c r="QNK14" s="2"/>
      <c r="QNL14" s="2"/>
      <c r="QNM14" s="2"/>
      <c r="QNX14" s="2"/>
      <c r="QNY14" s="2"/>
      <c r="QNZ14" s="2"/>
      <c r="QOK14" s="2"/>
      <c r="QOL14" s="2"/>
      <c r="QOM14" s="2"/>
      <c r="QOX14" s="2"/>
      <c r="QOY14" s="2"/>
      <c r="QOZ14" s="2"/>
      <c r="QPK14" s="2"/>
      <c r="QPL14" s="2"/>
      <c r="QPM14" s="2"/>
      <c r="QPX14" s="2"/>
      <c r="QPY14" s="2"/>
      <c r="QPZ14" s="2"/>
      <c r="QQK14" s="2"/>
      <c r="QQL14" s="2"/>
      <c r="QQM14" s="2"/>
      <c r="QQX14" s="2"/>
      <c r="QQY14" s="2"/>
      <c r="QQZ14" s="2"/>
      <c r="QRK14" s="2"/>
      <c r="QRL14" s="2"/>
      <c r="QRM14" s="2"/>
      <c r="QRX14" s="2"/>
      <c r="QRY14" s="2"/>
      <c r="QRZ14" s="2"/>
      <c r="QSK14" s="2"/>
      <c r="QSL14" s="2"/>
      <c r="QSM14" s="2"/>
      <c r="QSX14" s="2"/>
      <c r="QSY14" s="2"/>
      <c r="QSZ14" s="2"/>
      <c r="QTK14" s="2"/>
      <c r="QTL14" s="2"/>
      <c r="QTM14" s="2"/>
      <c r="QTX14" s="2"/>
      <c r="QTY14" s="2"/>
      <c r="QTZ14" s="2"/>
      <c r="QUK14" s="2"/>
      <c r="QUL14" s="2"/>
      <c r="QUM14" s="2"/>
      <c r="QUX14" s="2"/>
      <c r="QUY14" s="2"/>
      <c r="QUZ14" s="2"/>
      <c r="QVK14" s="2"/>
      <c r="QVL14" s="2"/>
      <c r="QVM14" s="2"/>
      <c r="QVX14" s="2"/>
      <c r="QVY14" s="2"/>
      <c r="QVZ14" s="2"/>
      <c r="QWK14" s="2"/>
      <c r="QWL14" s="2"/>
      <c r="QWM14" s="2"/>
      <c r="QWX14" s="2"/>
      <c r="QWY14" s="2"/>
      <c r="QWZ14" s="2"/>
      <c r="QXK14" s="2"/>
      <c r="QXL14" s="2"/>
      <c r="QXM14" s="2"/>
      <c r="QXX14" s="2"/>
      <c r="QXY14" s="2"/>
      <c r="QXZ14" s="2"/>
      <c r="QYK14" s="2"/>
      <c r="QYL14" s="2"/>
      <c r="QYM14" s="2"/>
      <c r="QYX14" s="2"/>
      <c r="QYY14" s="2"/>
      <c r="QYZ14" s="2"/>
      <c r="QZK14" s="2"/>
      <c r="QZL14" s="2"/>
      <c r="QZM14" s="2"/>
      <c r="QZX14" s="2"/>
      <c r="QZY14" s="2"/>
      <c r="QZZ14" s="2"/>
      <c r="RAK14" s="2"/>
      <c r="RAL14" s="2"/>
      <c r="RAM14" s="2"/>
      <c r="RAX14" s="2"/>
      <c r="RAY14" s="2"/>
      <c r="RAZ14" s="2"/>
      <c r="RBK14" s="2"/>
      <c r="RBL14" s="2"/>
      <c r="RBM14" s="2"/>
      <c r="RBX14" s="2"/>
      <c r="RBY14" s="2"/>
      <c r="RBZ14" s="2"/>
      <c r="RCK14" s="2"/>
      <c r="RCL14" s="2"/>
      <c r="RCM14" s="2"/>
      <c r="RCX14" s="2"/>
      <c r="RCY14" s="2"/>
      <c r="RCZ14" s="2"/>
      <c r="RDK14" s="2"/>
      <c r="RDL14" s="2"/>
      <c r="RDM14" s="2"/>
      <c r="RDX14" s="2"/>
      <c r="RDY14" s="2"/>
      <c r="RDZ14" s="2"/>
      <c r="REK14" s="2"/>
      <c r="REL14" s="2"/>
      <c r="REM14" s="2"/>
      <c r="REX14" s="2"/>
      <c r="REY14" s="2"/>
      <c r="REZ14" s="2"/>
      <c r="RFK14" s="2"/>
      <c r="RFL14" s="2"/>
      <c r="RFM14" s="2"/>
      <c r="RFX14" s="2"/>
      <c r="RFY14" s="2"/>
      <c r="RFZ14" s="2"/>
      <c r="RGK14" s="2"/>
      <c r="RGL14" s="2"/>
      <c r="RGM14" s="2"/>
      <c r="RGX14" s="2"/>
      <c r="RGY14" s="2"/>
      <c r="RGZ14" s="2"/>
      <c r="RHK14" s="2"/>
      <c r="RHL14" s="2"/>
      <c r="RHM14" s="2"/>
      <c r="RHX14" s="2"/>
      <c r="RHY14" s="2"/>
      <c r="RHZ14" s="2"/>
      <c r="RIK14" s="2"/>
      <c r="RIL14" s="2"/>
      <c r="RIM14" s="2"/>
      <c r="RIX14" s="2"/>
      <c r="RIY14" s="2"/>
      <c r="RIZ14" s="2"/>
      <c r="RJK14" s="2"/>
      <c r="RJL14" s="2"/>
      <c r="RJM14" s="2"/>
      <c r="RJX14" s="2"/>
      <c r="RJY14" s="2"/>
      <c r="RJZ14" s="2"/>
      <c r="RKK14" s="2"/>
      <c r="RKL14" s="2"/>
      <c r="RKM14" s="2"/>
      <c r="RKX14" s="2"/>
      <c r="RKY14" s="2"/>
      <c r="RKZ14" s="2"/>
      <c r="RLK14" s="2"/>
      <c r="RLL14" s="2"/>
      <c r="RLM14" s="2"/>
      <c r="RLX14" s="2"/>
      <c r="RLY14" s="2"/>
      <c r="RLZ14" s="2"/>
      <c r="RMK14" s="2"/>
      <c r="RML14" s="2"/>
      <c r="RMM14" s="2"/>
      <c r="RMX14" s="2"/>
      <c r="RMY14" s="2"/>
      <c r="RMZ14" s="2"/>
      <c r="RNK14" s="2"/>
      <c r="RNL14" s="2"/>
      <c r="RNM14" s="2"/>
      <c r="RNX14" s="2"/>
      <c r="RNY14" s="2"/>
      <c r="RNZ14" s="2"/>
      <c r="ROK14" s="2"/>
      <c r="ROL14" s="2"/>
      <c r="ROM14" s="2"/>
      <c r="ROX14" s="2"/>
      <c r="ROY14" s="2"/>
      <c r="ROZ14" s="2"/>
      <c r="RPK14" s="2"/>
      <c r="RPL14" s="2"/>
      <c r="RPM14" s="2"/>
      <c r="RPX14" s="2"/>
      <c r="RPY14" s="2"/>
      <c r="RPZ14" s="2"/>
      <c r="RQK14" s="2"/>
      <c r="RQL14" s="2"/>
      <c r="RQM14" s="2"/>
      <c r="RQX14" s="2"/>
      <c r="RQY14" s="2"/>
      <c r="RQZ14" s="2"/>
      <c r="RRK14" s="2"/>
      <c r="RRL14" s="2"/>
      <c r="RRM14" s="2"/>
      <c r="RRX14" s="2"/>
      <c r="RRY14" s="2"/>
      <c r="RRZ14" s="2"/>
      <c r="RSK14" s="2"/>
      <c r="RSL14" s="2"/>
      <c r="RSM14" s="2"/>
      <c r="RSX14" s="2"/>
      <c r="RSY14" s="2"/>
      <c r="RSZ14" s="2"/>
      <c r="RTK14" s="2"/>
      <c r="RTL14" s="2"/>
      <c r="RTM14" s="2"/>
      <c r="RTX14" s="2"/>
      <c r="RTY14" s="2"/>
      <c r="RTZ14" s="2"/>
      <c r="RUK14" s="2"/>
      <c r="RUL14" s="2"/>
      <c r="RUM14" s="2"/>
      <c r="RUX14" s="2"/>
      <c r="RUY14" s="2"/>
      <c r="RUZ14" s="2"/>
      <c r="RVK14" s="2"/>
      <c r="RVL14" s="2"/>
      <c r="RVM14" s="2"/>
      <c r="RVX14" s="2"/>
      <c r="RVY14" s="2"/>
      <c r="RVZ14" s="2"/>
      <c r="RWK14" s="2"/>
      <c r="RWL14" s="2"/>
      <c r="RWM14" s="2"/>
      <c r="RWX14" s="2"/>
      <c r="RWY14" s="2"/>
      <c r="RWZ14" s="2"/>
      <c r="RXK14" s="2"/>
      <c r="RXL14" s="2"/>
      <c r="RXM14" s="2"/>
      <c r="RXX14" s="2"/>
      <c r="RXY14" s="2"/>
      <c r="RXZ14" s="2"/>
      <c r="RYK14" s="2"/>
      <c r="RYL14" s="2"/>
      <c r="RYM14" s="2"/>
      <c r="RYX14" s="2"/>
      <c r="RYY14" s="2"/>
      <c r="RYZ14" s="2"/>
      <c r="RZK14" s="2"/>
      <c r="RZL14" s="2"/>
      <c r="RZM14" s="2"/>
      <c r="RZX14" s="2"/>
      <c r="RZY14" s="2"/>
      <c r="RZZ14" s="2"/>
      <c r="SAK14" s="2"/>
      <c r="SAL14" s="2"/>
      <c r="SAM14" s="2"/>
      <c r="SAX14" s="2"/>
      <c r="SAY14" s="2"/>
      <c r="SAZ14" s="2"/>
      <c r="SBK14" s="2"/>
      <c r="SBL14" s="2"/>
      <c r="SBM14" s="2"/>
      <c r="SBX14" s="2"/>
      <c r="SBY14" s="2"/>
      <c r="SBZ14" s="2"/>
      <c r="SCK14" s="2"/>
      <c r="SCL14" s="2"/>
      <c r="SCM14" s="2"/>
      <c r="SCX14" s="2"/>
      <c r="SCY14" s="2"/>
      <c r="SCZ14" s="2"/>
      <c r="SDK14" s="2"/>
      <c r="SDL14" s="2"/>
      <c r="SDM14" s="2"/>
      <c r="SDX14" s="2"/>
      <c r="SDY14" s="2"/>
      <c r="SDZ14" s="2"/>
      <c r="SEK14" s="2"/>
      <c r="SEL14" s="2"/>
      <c r="SEM14" s="2"/>
      <c r="SEX14" s="2"/>
      <c r="SEY14" s="2"/>
      <c r="SEZ14" s="2"/>
      <c r="SFK14" s="2"/>
      <c r="SFL14" s="2"/>
      <c r="SFM14" s="2"/>
      <c r="SFX14" s="2"/>
      <c r="SFY14" s="2"/>
      <c r="SFZ14" s="2"/>
      <c r="SGK14" s="2"/>
      <c r="SGL14" s="2"/>
      <c r="SGM14" s="2"/>
      <c r="SGX14" s="2"/>
      <c r="SGY14" s="2"/>
      <c r="SGZ14" s="2"/>
      <c r="SHK14" s="2"/>
      <c r="SHL14" s="2"/>
      <c r="SHM14" s="2"/>
      <c r="SHX14" s="2"/>
      <c r="SHY14" s="2"/>
      <c r="SHZ14" s="2"/>
      <c r="SIK14" s="2"/>
      <c r="SIL14" s="2"/>
      <c r="SIM14" s="2"/>
      <c r="SIX14" s="2"/>
      <c r="SIY14" s="2"/>
      <c r="SIZ14" s="2"/>
      <c r="SJK14" s="2"/>
      <c r="SJL14" s="2"/>
      <c r="SJM14" s="2"/>
      <c r="SJX14" s="2"/>
      <c r="SJY14" s="2"/>
      <c r="SJZ14" s="2"/>
      <c r="SKK14" s="2"/>
      <c r="SKL14" s="2"/>
      <c r="SKM14" s="2"/>
      <c r="SKX14" s="2"/>
      <c r="SKY14" s="2"/>
      <c r="SKZ14" s="2"/>
      <c r="SLK14" s="2"/>
      <c r="SLL14" s="2"/>
      <c r="SLM14" s="2"/>
      <c r="SLX14" s="2"/>
      <c r="SLY14" s="2"/>
      <c r="SLZ14" s="2"/>
      <c r="SMK14" s="2"/>
      <c r="SML14" s="2"/>
      <c r="SMM14" s="2"/>
      <c r="SMX14" s="2"/>
      <c r="SMY14" s="2"/>
      <c r="SMZ14" s="2"/>
      <c r="SNK14" s="2"/>
      <c r="SNL14" s="2"/>
      <c r="SNM14" s="2"/>
      <c r="SNX14" s="2"/>
      <c r="SNY14" s="2"/>
      <c r="SNZ14" s="2"/>
      <c r="SOK14" s="2"/>
      <c r="SOL14" s="2"/>
      <c r="SOM14" s="2"/>
      <c r="SOX14" s="2"/>
      <c r="SOY14" s="2"/>
      <c r="SOZ14" s="2"/>
      <c r="SPK14" s="2"/>
      <c r="SPL14" s="2"/>
      <c r="SPM14" s="2"/>
      <c r="SPX14" s="2"/>
      <c r="SPY14" s="2"/>
      <c r="SPZ14" s="2"/>
      <c r="SQK14" s="2"/>
      <c r="SQL14" s="2"/>
      <c r="SQM14" s="2"/>
      <c r="SQX14" s="2"/>
      <c r="SQY14" s="2"/>
      <c r="SQZ14" s="2"/>
      <c r="SRK14" s="2"/>
      <c r="SRL14" s="2"/>
      <c r="SRM14" s="2"/>
      <c r="SRX14" s="2"/>
      <c r="SRY14" s="2"/>
      <c r="SRZ14" s="2"/>
      <c r="SSK14" s="2"/>
      <c r="SSL14" s="2"/>
      <c r="SSM14" s="2"/>
      <c r="SSX14" s="2"/>
      <c r="SSY14" s="2"/>
      <c r="SSZ14" s="2"/>
      <c r="STK14" s="2"/>
      <c r="STL14" s="2"/>
      <c r="STM14" s="2"/>
      <c r="STX14" s="2"/>
      <c r="STY14" s="2"/>
      <c r="STZ14" s="2"/>
      <c r="SUK14" s="2"/>
      <c r="SUL14" s="2"/>
      <c r="SUM14" s="2"/>
      <c r="SUX14" s="2"/>
      <c r="SUY14" s="2"/>
      <c r="SUZ14" s="2"/>
      <c r="SVK14" s="2"/>
      <c r="SVL14" s="2"/>
      <c r="SVM14" s="2"/>
      <c r="SVX14" s="2"/>
      <c r="SVY14" s="2"/>
      <c r="SVZ14" s="2"/>
      <c r="SWK14" s="2"/>
      <c r="SWL14" s="2"/>
      <c r="SWM14" s="2"/>
      <c r="SWX14" s="2"/>
      <c r="SWY14" s="2"/>
      <c r="SWZ14" s="2"/>
      <c r="SXK14" s="2"/>
      <c r="SXL14" s="2"/>
      <c r="SXM14" s="2"/>
      <c r="SXX14" s="2"/>
      <c r="SXY14" s="2"/>
      <c r="SXZ14" s="2"/>
      <c r="SYK14" s="2"/>
      <c r="SYL14" s="2"/>
      <c r="SYM14" s="2"/>
      <c r="SYX14" s="2"/>
      <c r="SYY14" s="2"/>
      <c r="SYZ14" s="2"/>
      <c r="SZK14" s="2"/>
      <c r="SZL14" s="2"/>
      <c r="SZM14" s="2"/>
      <c r="SZX14" s="2"/>
      <c r="SZY14" s="2"/>
      <c r="SZZ14" s="2"/>
      <c r="TAK14" s="2"/>
      <c r="TAL14" s="2"/>
      <c r="TAM14" s="2"/>
      <c r="TAX14" s="2"/>
      <c r="TAY14" s="2"/>
      <c r="TAZ14" s="2"/>
      <c r="TBK14" s="2"/>
      <c r="TBL14" s="2"/>
      <c r="TBM14" s="2"/>
      <c r="TBX14" s="2"/>
      <c r="TBY14" s="2"/>
      <c r="TBZ14" s="2"/>
      <c r="TCK14" s="2"/>
      <c r="TCL14" s="2"/>
      <c r="TCM14" s="2"/>
      <c r="TCX14" s="2"/>
      <c r="TCY14" s="2"/>
      <c r="TCZ14" s="2"/>
      <c r="TDK14" s="2"/>
      <c r="TDL14" s="2"/>
      <c r="TDM14" s="2"/>
      <c r="TDX14" s="2"/>
      <c r="TDY14" s="2"/>
      <c r="TDZ14" s="2"/>
      <c r="TEK14" s="2"/>
      <c r="TEL14" s="2"/>
      <c r="TEM14" s="2"/>
      <c r="TEX14" s="2"/>
      <c r="TEY14" s="2"/>
      <c r="TEZ14" s="2"/>
      <c r="TFK14" s="2"/>
      <c r="TFL14" s="2"/>
      <c r="TFM14" s="2"/>
      <c r="TFX14" s="2"/>
      <c r="TFY14" s="2"/>
      <c r="TFZ14" s="2"/>
      <c r="TGK14" s="2"/>
      <c r="TGL14" s="2"/>
      <c r="TGM14" s="2"/>
      <c r="TGX14" s="2"/>
      <c r="TGY14" s="2"/>
      <c r="TGZ14" s="2"/>
      <c r="THK14" s="2"/>
      <c r="THL14" s="2"/>
      <c r="THM14" s="2"/>
      <c r="THX14" s="2"/>
      <c r="THY14" s="2"/>
      <c r="THZ14" s="2"/>
      <c r="TIK14" s="2"/>
      <c r="TIL14" s="2"/>
      <c r="TIM14" s="2"/>
      <c r="TIX14" s="2"/>
      <c r="TIY14" s="2"/>
      <c r="TIZ14" s="2"/>
      <c r="TJK14" s="2"/>
      <c r="TJL14" s="2"/>
      <c r="TJM14" s="2"/>
      <c r="TJX14" s="2"/>
      <c r="TJY14" s="2"/>
      <c r="TJZ14" s="2"/>
      <c r="TKK14" s="2"/>
      <c r="TKL14" s="2"/>
      <c r="TKM14" s="2"/>
      <c r="TKX14" s="2"/>
      <c r="TKY14" s="2"/>
      <c r="TKZ14" s="2"/>
      <c r="TLK14" s="2"/>
      <c r="TLL14" s="2"/>
      <c r="TLM14" s="2"/>
      <c r="TLX14" s="2"/>
      <c r="TLY14" s="2"/>
      <c r="TLZ14" s="2"/>
      <c r="TMK14" s="2"/>
      <c r="TML14" s="2"/>
      <c r="TMM14" s="2"/>
      <c r="TMX14" s="2"/>
      <c r="TMY14" s="2"/>
      <c r="TMZ14" s="2"/>
      <c r="TNK14" s="2"/>
      <c r="TNL14" s="2"/>
      <c r="TNM14" s="2"/>
      <c r="TNX14" s="2"/>
      <c r="TNY14" s="2"/>
      <c r="TNZ14" s="2"/>
      <c r="TOK14" s="2"/>
      <c r="TOL14" s="2"/>
      <c r="TOM14" s="2"/>
      <c r="TOX14" s="2"/>
      <c r="TOY14" s="2"/>
      <c r="TOZ14" s="2"/>
      <c r="TPK14" s="2"/>
      <c r="TPL14" s="2"/>
      <c r="TPM14" s="2"/>
      <c r="TPX14" s="2"/>
      <c r="TPY14" s="2"/>
      <c r="TPZ14" s="2"/>
      <c r="TQK14" s="2"/>
      <c r="TQL14" s="2"/>
      <c r="TQM14" s="2"/>
      <c r="TQX14" s="2"/>
      <c r="TQY14" s="2"/>
      <c r="TQZ14" s="2"/>
      <c r="TRK14" s="2"/>
      <c r="TRL14" s="2"/>
      <c r="TRM14" s="2"/>
      <c r="TRX14" s="2"/>
      <c r="TRY14" s="2"/>
      <c r="TRZ14" s="2"/>
      <c r="TSK14" s="2"/>
      <c r="TSL14" s="2"/>
      <c r="TSM14" s="2"/>
      <c r="TSX14" s="2"/>
      <c r="TSY14" s="2"/>
      <c r="TSZ14" s="2"/>
      <c r="TTK14" s="2"/>
      <c r="TTL14" s="2"/>
      <c r="TTM14" s="2"/>
      <c r="TTX14" s="2"/>
      <c r="TTY14" s="2"/>
      <c r="TTZ14" s="2"/>
      <c r="TUK14" s="2"/>
      <c r="TUL14" s="2"/>
      <c r="TUM14" s="2"/>
      <c r="TUX14" s="2"/>
      <c r="TUY14" s="2"/>
      <c r="TUZ14" s="2"/>
      <c r="TVK14" s="2"/>
      <c r="TVL14" s="2"/>
      <c r="TVM14" s="2"/>
      <c r="TVX14" s="2"/>
      <c r="TVY14" s="2"/>
      <c r="TVZ14" s="2"/>
      <c r="TWK14" s="2"/>
      <c r="TWL14" s="2"/>
      <c r="TWM14" s="2"/>
      <c r="TWX14" s="2"/>
      <c r="TWY14" s="2"/>
      <c r="TWZ14" s="2"/>
      <c r="TXK14" s="2"/>
      <c r="TXL14" s="2"/>
      <c r="TXM14" s="2"/>
      <c r="TXX14" s="2"/>
      <c r="TXY14" s="2"/>
      <c r="TXZ14" s="2"/>
      <c r="TYK14" s="2"/>
      <c r="TYL14" s="2"/>
      <c r="TYM14" s="2"/>
      <c r="TYX14" s="2"/>
      <c r="TYY14" s="2"/>
      <c r="TYZ14" s="2"/>
      <c r="TZK14" s="2"/>
      <c r="TZL14" s="2"/>
      <c r="TZM14" s="2"/>
      <c r="TZX14" s="2"/>
      <c r="TZY14" s="2"/>
      <c r="TZZ14" s="2"/>
      <c r="UAK14" s="2"/>
      <c r="UAL14" s="2"/>
      <c r="UAM14" s="2"/>
      <c r="UAX14" s="2"/>
      <c r="UAY14" s="2"/>
      <c r="UAZ14" s="2"/>
      <c r="UBK14" s="2"/>
      <c r="UBL14" s="2"/>
      <c r="UBM14" s="2"/>
      <c r="UBX14" s="2"/>
      <c r="UBY14" s="2"/>
      <c r="UBZ14" s="2"/>
      <c r="UCK14" s="2"/>
      <c r="UCL14" s="2"/>
      <c r="UCM14" s="2"/>
      <c r="UCX14" s="2"/>
      <c r="UCY14" s="2"/>
      <c r="UCZ14" s="2"/>
      <c r="UDK14" s="2"/>
      <c r="UDL14" s="2"/>
      <c r="UDM14" s="2"/>
      <c r="UDX14" s="2"/>
      <c r="UDY14" s="2"/>
      <c r="UDZ14" s="2"/>
      <c r="UEK14" s="2"/>
      <c r="UEL14" s="2"/>
      <c r="UEM14" s="2"/>
      <c r="UEX14" s="2"/>
      <c r="UEY14" s="2"/>
      <c r="UEZ14" s="2"/>
      <c r="UFK14" s="2"/>
      <c r="UFL14" s="2"/>
      <c r="UFM14" s="2"/>
      <c r="UFX14" s="2"/>
      <c r="UFY14" s="2"/>
      <c r="UFZ14" s="2"/>
      <c r="UGK14" s="2"/>
      <c r="UGL14" s="2"/>
      <c r="UGM14" s="2"/>
      <c r="UGX14" s="2"/>
      <c r="UGY14" s="2"/>
      <c r="UGZ14" s="2"/>
      <c r="UHK14" s="2"/>
      <c r="UHL14" s="2"/>
      <c r="UHM14" s="2"/>
      <c r="UHX14" s="2"/>
      <c r="UHY14" s="2"/>
      <c r="UHZ14" s="2"/>
      <c r="UIK14" s="2"/>
      <c r="UIL14" s="2"/>
      <c r="UIM14" s="2"/>
      <c r="UIX14" s="2"/>
      <c r="UIY14" s="2"/>
      <c r="UIZ14" s="2"/>
      <c r="UJK14" s="2"/>
      <c r="UJL14" s="2"/>
      <c r="UJM14" s="2"/>
      <c r="UJX14" s="2"/>
      <c r="UJY14" s="2"/>
      <c r="UJZ14" s="2"/>
      <c r="UKK14" s="2"/>
      <c r="UKL14" s="2"/>
      <c r="UKM14" s="2"/>
      <c r="UKX14" s="2"/>
      <c r="UKY14" s="2"/>
      <c r="UKZ14" s="2"/>
      <c r="ULK14" s="2"/>
      <c r="ULL14" s="2"/>
      <c r="ULM14" s="2"/>
      <c r="ULX14" s="2"/>
      <c r="ULY14" s="2"/>
      <c r="ULZ14" s="2"/>
      <c r="UMK14" s="2"/>
      <c r="UML14" s="2"/>
      <c r="UMM14" s="2"/>
      <c r="UMX14" s="2"/>
      <c r="UMY14" s="2"/>
      <c r="UMZ14" s="2"/>
      <c r="UNK14" s="2"/>
      <c r="UNL14" s="2"/>
      <c r="UNM14" s="2"/>
      <c r="UNX14" s="2"/>
      <c r="UNY14" s="2"/>
      <c r="UNZ14" s="2"/>
      <c r="UOK14" s="2"/>
      <c r="UOL14" s="2"/>
      <c r="UOM14" s="2"/>
      <c r="UOX14" s="2"/>
      <c r="UOY14" s="2"/>
      <c r="UOZ14" s="2"/>
      <c r="UPK14" s="2"/>
      <c r="UPL14" s="2"/>
      <c r="UPM14" s="2"/>
      <c r="UPX14" s="2"/>
      <c r="UPY14" s="2"/>
      <c r="UPZ14" s="2"/>
      <c r="UQK14" s="2"/>
      <c r="UQL14" s="2"/>
      <c r="UQM14" s="2"/>
      <c r="UQX14" s="2"/>
      <c r="UQY14" s="2"/>
      <c r="UQZ14" s="2"/>
      <c r="URK14" s="2"/>
      <c r="URL14" s="2"/>
      <c r="URM14" s="2"/>
      <c r="URX14" s="2"/>
      <c r="URY14" s="2"/>
      <c r="URZ14" s="2"/>
      <c r="USK14" s="2"/>
      <c r="USL14" s="2"/>
      <c r="USM14" s="2"/>
      <c r="USX14" s="2"/>
      <c r="USY14" s="2"/>
      <c r="USZ14" s="2"/>
      <c r="UTK14" s="2"/>
      <c r="UTL14" s="2"/>
      <c r="UTM14" s="2"/>
      <c r="UTX14" s="2"/>
      <c r="UTY14" s="2"/>
      <c r="UTZ14" s="2"/>
      <c r="UUK14" s="2"/>
      <c r="UUL14" s="2"/>
      <c r="UUM14" s="2"/>
      <c r="UUX14" s="2"/>
      <c r="UUY14" s="2"/>
      <c r="UUZ14" s="2"/>
      <c r="UVK14" s="2"/>
      <c r="UVL14" s="2"/>
      <c r="UVM14" s="2"/>
      <c r="UVX14" s="2"/>
      <c r="UVY14" s="2"/>
      <c r="UVZ14" s="2"/>
      <c r="UWK14" s="2"/>
      <c r="UWL14" s="2"/>
      <c r="UWM14" s="2"/>
      <c r="UWX14" s="2"/>
      <c r="UWY14" s="2"/>
      <c r="UWZ14" s="2"/>
      <c r="UXK14" s="2"/>
      <c r="UXL14" s="2"/>
      <c r="UXM14" s="2"/>
      <c r="UXX14" s="2"/>
      <c r="UXY14" s="2"/>
      <c r="UXZ14" s="2"/>
      <c r="UYK14" s="2"/>
      <c r="UYL14" s="2"/>
      <c r="UYM14" s="2"/>
      <c r="UYX14" s="2"/>
      <c r="UYY14" s="2"/>
      <c r="UYZ14" s="2"/>
      <c r="UZK14" s="2"/>
      <c r="UZL14" s="2"/>
      <c r="UZM14" s="2"/>
      <c r="UZX14" s="2"/>
      <c r="UZY14" s="2"/>
      <c r="UZZ14" s="2"/>
      <c r="VAK14" s="2"/>
      <c r="VAL14" s="2"/>
      <c r="VAM14" s="2"/>
      <c r="VAX14" s="2"/>
      <c r="VAY14" s="2"/>
      <c r="VAZ14" s="2"/>
      <c r="VBK14" s="2"/>
      <c r="VBL14" s="2"/>
      <c r="VBM14" s="2"/>
      <c r="VBX14" s="2"/>
      <c r="VBY14" s="2"/>
      <c r="VBZ14" s="2"/>
      <c r="VCK14" s="2"/>
      <c r="VCL14" s="2"/>
      <c r="VCM14" s="2"/>
      <c r="VCX14" s="2"/>
      <c r="VCY14" s="2"/>
      <c r="VCZ14" s="2"/>
      <c r="VDK14" s="2"/>
      <c r="VDL14" s="2"/>
      <c r="VDM14" s="2"/>
      <c r="VDX14" s="2"/>
      <c r="VDY14" s="2"/>
      <c r="VDZ14" s="2"/>
      <c r="VEK14" s="2"/>
      <c r="VEL14" s="2"/>
      <c r="VEM14" s="2"/>
      <c r="VEX14" s="2"/>
      <c r="VEY14" s="2"/>
      <c r="VEZ14" s="2"/>
      <c r="VFK14" s="2"/>
      <c r="VFL14" s="2"/>
      <c r="VFM14" s="2"/>
      <c r="VFX14" s="2"/>
      <c r="VFY14" s="2"/>
      <c r="VFZ14" s="2"/>
      <c r="VGK14" s="2"/>
      <c r="VGL14" s="2"/>
      <c r="VGM14" s="2"/>
      <c r="VGX14" s="2"/>
      <c r="VGY14" s="2"/>
      <c r="VGZ14" s="2"/>
      <c r="VHK14" s="2"/>
      <c r="VHL14" s="2"/>
      <c r="VHM14" s="2"/>
      <c r="VHX14" s="2"/>
      <c r="VHY14" s="2"/>
      <c r="VHZ14" s="2"/>
      <c r="VIK14" s="2"/>
      <c r="VIL14" s="2"/>
      <c r="VIM14" s="2"/>
      <c r="VIX14" s="2"/>
      <c r="VIY14" s="2"/>
      <c r="VIZ14" s="2"/>
      <c r="VJK14" s="2"/>
      <c r="VJL14" s="2"/>
      <c r="VJM14" s="2"/>
      <c r="VJX14" s="2"/>
      <c r="VJY14" s="2"/>
      <c r="VJZ14" s="2"/>
      <c r="VKK14" s="2"/>
      <c r="VKL14" s="2"/>
      <c r="VKM14" s="2"/>
      <c r="VKX14" s="2"/>
      <c r="VKY14" s="2"/>
      <c r="VKZ14" s="2"/>
      <c r="VLK14" s="2"/>
      <c r="VLL14" s="2"/>
      <c r="VLM14" s="2"/>
      <c r="VLX14" s="2"/>
      <c r="VLY14" s="2"/>
      <c r="VLZ14" s="2"/>
      <c r="VMK14" s="2"/>
      <c r="VML14" s="2"/>
      <c r="VMM14" s="2"/>
      <c r="VMX14" s="2"/>
      <c r="VMY14" s="2"/>
      <c r="VMZ14" s="2"/>
      <c r="VNK14" s="2"/>
      <c r="VNL14" s="2"/>
      <c r="VNM14" s="2"/>
      <c r="VNX14" s="2"/>
      <c r="VNY14" s="2"/>
      <c r="VNZ14" s="2"/>
      <c r="VOK14" s="2"/>
      <c r="VOL14" s="2"/>
      <c r="VOM14" s="2"/>
      <c r="VOX14" s="2"/>
      <c r="VOY14" s="2"/>
      <c r="VOZ14" s="2"/>
      <c r="VPK14" s="2"/>
      <c r="VPL14" s="2"/>
      <c r="VPM14" s="2"/>
      <c r="VPX14" s="2"/>
      <c r="VPY14" s="2"/>
      <c r="VPZ14" s="2"/>
      <c r="VQK14" s="2"/>
      <c r="VQL14" s="2"/>
      <c r="VQM14" s="2"/>
      <c r="VQX14" s="2"/>
      <c r="VQY14" s="2"/>
      <c r="VQZ14" s="2"/>
      <c r="VRK14" s="2"/>
      <c r="VRL14" s="2"/>
      <c r="VRM14" s="2"/>
      <c r="VRX14" s="2"/>
      <c r="VRY14" s="2"/>
      <c r="VRZ14" s="2"/>
      <c r="VSK14" s="2"/>
      <c r="VSL14" s="2"/>
      <c r="VSM14" s="2"/>
      <c r="VSX14" s="2"/>
      <c r="VSY14" s="2"/>
      <c r="VSZ14" s="2"/>
      <c r="VTK14" s="2"/>
      <c r="VTL14" s="2"/>
      <c r="VTM14" s="2"/>
      <c r="VTX14" s="2"/>
      <c r="VTY14" s="2"/>
      <c r="VTZ14" s="2"/>
      <c r="VUK14" s="2"/>
      <c r="VUL14" s="2"/>
      <c r="VUM14" s="2"/>
      <c r="VUX14" s="2"/>
      <c r="VUY14" s="2"/>
      <c r="VUZ14" s="2"/>
      <c r="VVK14" s="2"/>
      <c r="VVL14" s="2"/>
      <c r="VVM14" s="2"/>
      <c r="VVX14" s="2"/>
      <c r="VVY14" s="2"/>
      <c r="VVZ14" s="2"/>
      <c r="VWK14" s="2"/>
      <c r="VWL14" s="2"/>
      <c r="VWM14" s="2"/>
      <c r="VWX14" s="2"/>
      <c r="VWY14" s="2"/>
      <c r="VWZ14" s="2"/>
      <c r="VXK14" s="2"/>
      <c r="VXL14" s="2"/>
      <c r="VXM14" s="2"/>
      <c r="VXX14" s="2"/>
      <c r="VXY14" s="2"/>
      <c r="VXZ14" s="2"/>
      <c r="VYK14" s="2"/>
      <c r="VYL14" s="2"/>
      <c r="VYM14" s="2"/>
      <c r="VYX14" s="2"/>
      <c r="VYY14" s="2"/>
      <c r="VYZ14" s="2"/>
      <c r="VZK14" s="2"/>
      <c r="VZL14" s="2"/>
      <c r="VZM14" s="2"/>
      <c r="VZX14" s="2"/>
      <c r="VZY14" s="2"/>
      <c r="VZZ14" s="2"/>
      <c r="WAK14" s="2"/>
      <c r="WAL14" s="2"/>
      <c r="WAM14" s="2"/>
      <c r="WAX14" s="2"/>
      <c r="WAY14" s="2"/>
      <c r="WAZ14" s="2"/>
      <c r="WBK14" s="2"/>
      <c r="WBL14" s="2"/>
      <c r="WBM14" s="2"/>
      <c r="WBX14" s="2"/>
      <c r="WBY14" s="2"/>
      <c r="WBZ14" s="2"/>
      <c r="WCK14" s="2"/>
      <c r="WCL14" s="2"/>
      <c r="WCM14" s="2"/>
      <c r="WCX14" s="2"/>
      <c r="WCY14" s="2"/>
      <c r="WCZ14" s="2"/>
      <c r="WDK14" s="2"/>
      <c r="WDL14" s="2"/>
      <c r="WDM14" s="2"/>
      <c r="WDX14" s="2"/>
      <c r="WDY14" s="2"/>
      <c r="WDZ14" s="2"/>
      <c r="WEK14" s="2"/>
      <c r="WEL14" s="2"/>
      <c r="WEM14" s="2"/>
      <c r="WEX14" s="2"/>
      <c r="WEY14" s="2"/>
      <c r="WEZ14" s="2"/>
      <c r="WFK14" s="2"/>
      <c r="WFL14" s="2"/>
      <c r="WFM14" s="2"/>
      <c r="WFX14" s="2"/>
      <c r="WFY14" s="2"/>
      <c r="WFZ14" s="2"/>
      <c r="WGK14" s="2"/>
      <c r="WGL14" s="2"/>
      <c r="WGM14" s="2"/>
      <c r="WGX14" s="2"/>
      <c r="WGY14" s="2"/>
      <c r="WGZ14" s="2"/>
      <c r="WHK14" s="2"/>
      <c r="WHL14" s="2"/>
      <c r="WHM14" s="2"/>
      <c r="WHX14" s="2"/>
      <c r="WHY14" s="2"/>
      <c r="WHZ14" s="2"/>
      <c r="WIK14" s="2"/>
      <c r="WIL14" s="2"/>
      <c r="WIM14" s="2"/>
      <c r="WIX14" s="2"/>
      <c r="WIY14" s="2"/>
      <c r="WIZ14" s="2"/>
      <c r="WJK14" s="2"/>
      <c r="WJL14" s="2"/>
      <c r="WJM14" s="2"/>
      <c r="WJX14" s="2"/>
      <c r="WJY14" s="2"/>
      <c r="WJZ14" s="2"/>
      <c r="WKK14" s="2"/>
      <c r="WKL14" s="2"/>
      <c r="WKM14" s="2"/>
      <c r="WKX14" s="2"/>
      <c r="WKY14" s="2"/>
      <c r="WKZ14" s="2"/>
      <c r="WLK14" s="2"/>
      <c r="WLL14" s="2"/>
      <c r="WLM14" s="2"/>
      <c r="WLX14" s="2"/>
      <c r="WLY14" s="2"/>
      <c r="WLZ14" s="2"/>
      <c r="WMK14" s="2"/>
      <c r="WML14" s="2"/>
      <c r="WMM14" s="2"/>
      <c r="WMX14" s="2"/>
      <c r="WMY14" s="2"/>
      <c r="WMZ14" s="2"/>
      <c r="WNK14" s="2"/>
      <c r="WNL14" s="2"/>
      <c r="WNM14" s="2"/>
      <c r="WNX14" s="2"/>
      <c r="WNY14" s="2"/>
      <c r="WNZ14" s="2"/>
      <c r="WOK14" s="2"/>
      <c r="WOL14" s="2"/>
      <c r="WOM14" s="2"/>
      <c r="WOX14" s="2"/>
      <c r="WOY14" s="2"/>
      <c r="WOZ14" s="2"/>
      <c r="WPK14" s="2"/>
      <c r="WPL14" s="2"/>
      <c r="WPM14" s="2"/>
      <c r="WPX14" s="2"/>
      <c r="WPY14" s="2"/>
      <c r="WPZ14" s="2"/>
      <c r="WQK14" s="2"/>
      <c r="WQL14" s="2"/>
      <c r="WQM14" s="2"/>
      <c r="WQX14" s="2"/>
      <c r="WQY14" s="2"/>
      <c r="WQZ14" s="2"/>
      <c r="WRK14" s="2"/>
      <c r="WRL14" s="2"/>
      <c r="WRM14" s="2"/>
      <c r="WRX14" s="2"/>
      <c r="WRY14" s="2"/>
      <c r="WRZ14" s="2"/>
      <c r="WSK14" s="2"/>
      <c r="WSL14" s="2"/>
      <c r="WSM14" s="2"/>
      <c r="WSX14" s="2"/>
      <c r="WSY14" s="2"/>
      <c r="WSZ14" s="2"/>
      <c r="WTK14" s="2"/>
      <c r="WTL14" s="2"/>
      <c r="WTM14" s="2"/>
      <c r="WTX14" s="2"/>
      <c r="WTY14" s="2"/>
      <c r="WTZ14" s="2"/>
      <c r="WUK14" s="2"/>
      <c r="WUL14" s="2"/>
      <c r="WUM14" s="2"/>
      <c r="WUX14" s="2"/>
      <c r="WUY14" s="2"/>
      <c r="WUZ14" s="2"/>
      <c r="WVK14" s="2"/>
      <c r="WVL14" s="2"/>
      <c r="WVM14" s="2"/>
      <c r="WVX14" s="2"/>
      <c r="WVY14" s="2"/>
      <c r="WVZ14" s="2"/>
      <c r="WWK14" s="2"/>
      <c r="WWL14" s="2"/>
      <c r="WWM14" s="2"/>
      <c r="WWX14" s="2"/>
      <c r="WWY14" s="2"/>
      <c r="WWZ14" s="2"/>
      <c r="WXK14" s="2"/>
      <c r="WXL14" s="2"/>
      <c r="WXM14" s="2"/>
      <c r="WXX14" s="2"/>
      <c r="WXY14" s="2"/>
      <c r="WXZ14" s="2"/>
      <c r="WYK14" s="2"/>
      <c r="WYL14" s="2"/>
      <c r="WYM14" s="2"/>
      <c r="WYX14" s="2"/>
      <c r="WYY14" s="2"/>
      <c r="WYZ14" s="2"/>
      <c r="WZK14" s="2"/>
      <c r="WZL14" s="2"/>
      <c r="WZM14" s="2"/>
      <c r="WZX14" s="2"/>
      <c r="WZY14" s="2"/>
      <c r="WZZ14" s="2"/>
      <c r="XAK14" s="2"/>
      <c r="XAL14" s="2"/>
      <c r="XAM14" s="2"/>
      <c r="XAX14" s="2"/>
      <c r="XAY14" s="2"/>
      <c r="XAZ14" s="2"/>
      <c r="XBK14" s="2"/>
      <c r="XBL14" s="2"/>
      <c r="XBM14" s="2"/>
      <c r="XBX14" s="2"/>
      <c r="XBY14" s="2"/>
      <c r="XBZ14" s="2"/>
      <c r="XCK14" s="2"/>
      <c r="XCL14" s="2"/>
      <c r="XCM14" s="2"/>
      <c r="XCX14" s="2"/>
      <c r="XCY14" s="2"/>
      <c r="XCZ14" s="2"/>
      <c r="XDK14" s="2"/>
      <c r="XDL14" s="2"/>
      <c r="XDM14" s="2"/>
      <c r="XDX14" s="2"/>
      <c r="XDY14" s="2"/>
      <c r="XDZ14" s="2"/>
      <c r="XEK14" s="2"/>
      <c r="XEL14" s="2"/>
      <c r="XEM14" s="2"/>
      <c r="XEX14" s="2"/>
      <c r="XEY14" s="2"/>
      <c r="XEZ14" s="2"/>
    </row>
    <row r="15" spans="1:2041 2051:3068 3078:4095 4105:6136 6146:7163 7173:8190 8200:10231 10241:11258 11268:12285 12295:13312 13322:15353 15363:16380" ht="15" customHeight="1" x14ac:dyDescent="0.3">
      <c r="A15" s="841"/>
      <c r="B15" s="581" t="s">
        <v>601</v>
      </c>
      <c r="C15" s="1"/>
      <c r="D15" s="1"/>
      <c r="E15" s="1"/>
      <c r="F15" s="1"/>
      <c r="H15" s="1"/>
      <c r="I15" s="1"/>
      <c r="J15" s="1"/>
      <c r="K15" s="1"/>
      <c r="L15" s="723"/>
      <c r="M15" s="2"/>
      <c r="N15" s="21"/>
      <c r="O15" s="21"/>
      <c r="P15" s="3"/>
      <c r="Q15" s="3"/>
      <c r="R15" s="3"/>
      <c r="S15" s="147"/>
      <c r="T15" s="147"/>
      <c r="U15" s="1"/>
      <c r="V15" s="1"/>
      <c r="W15" s="1"/>
      <c r="X15" s="1"/>
      <c r="Y15" s="1"/>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row>
    <row r="16" spans="1:2041 2051:3068 3078:4095 4105:6136 6146:7163 7173:8190 8200:10231 10241:11258 11268:12285 12295:13312 13322:15353 15363:16380" ht="12" customHeight="1" x14ac:dyDescent="0.3">
      <c r="A16" s="841"/>
      <c r="B16" s="806"/>
      <c r="C16" s="580"/>
      <c r="D16" s="580"/>
      <c r="E16" s="580"/>
      <c r="F16" s="580"/>
      <c r="G16" s="571"/>
      <c r="H16" s="580"/>
      <c r="I16" s="580"/>
      <c r="J16" s="580"/>
      <c r="K16" s="580"/>
      <c r="L16" s="807"/>
      <c r="M16" s="21"/>
      <c r="N16" s="21"/>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2" customHeight="1" x14ac:dyDescent="0.3">
      <c r="A17" s="841"/>
      <c r="B17" s="1571"/>
      <c r="C17" s="1572"/>
      <c r="D17" s="1572"/>
      <c r="E17" s="1572"/>
      <c r="F17" s="1572"/>
      <c r="G17" s="1494"/>
      <c r="H17" s="1572"/>
      <c r="I17" s="1572"/>
      <c r="J17" s="1572"/>
      <c r="K17" s="1572"/>
      <c r="L17" s="1572"/>
      <c r="M17" s="21"/>
      <c r="N17" s="21"/>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12" customHeight="1" x14ac:dyDescent="0.3">
      <c r="A18" s="841"/>
      <c r="B18" s="458"/>
      <c r="C18" s="1"/>
      <c r="D18" s="1"/>
      <c r="E18" s="1"/>
      <c r="F18" s="1"/>
      <c r="H18" s="1"/>
      <c r="I18" s="1"/>
      <c r="J18" s="1"/>
      <c r="K18" s="1"/>
      <c r="L18" s="1"/>
      <c r="M18" s="21"/>
      <c r="N18" s="21"/>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row>
    <row r="19" spans="1:58" s="58" customFormat="1" ht="15.75" x14ac:dyDescent="0.25">
      <c r="A19" s="841">
        <v>1</v>
      </c>
      <c r="B19" s="626" t="str">
        <f>"Table "&amp;A1&amp;"."&amp;A19&amp;": Calculation of Notional General Income - Ordinary Rates from "&amp;'WS0 - Input data'!L58&amp;" to "&amp;'WS0 - Input data'!Q58&amp;" ($ nominal)"</f>
        <v>Table 5.1: Calculation of Notional General Income - Ordinary Rates from 2025-26 to 2030-31 ($ nominal)</v>
      </c>
      <c r="C19" s="49"/>
      <c r="D19" s="22"/>
      <c r="E19" s="22"/>
      <c r="F19" s="43"/>
      <c r="H19" s="43"/>
      <c r="I19" s="43"/>
      <c r="J19" s="43"/>
      <c r="L19" s="63"/>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58" s="58" customFormat="1" ht="15.75" x14ac:dyDescent="0.25">
      <c r="A20" s="841"/>
      <c r="B20" s="848"/>
      <c r="C20" s="882"/>
      <c r="D20" s="884" t="str">
        <f>'WS0 - Input data'!L55&amp;" ("&amp;'WS0 - Input data'!L58&amp;")"</f>
        <v>Year 2 (2025-26)</v>
      </c>
      <c r="E20" s="849"/>
      <c r="F20" s="850"/>
      <c r="G20" s="851"/>
      <c r="H20" s="850"/>
      <c r="I20" s="850"/>
      <c r="J20" s="850"/>
      <c r="K20" s="851"/>
      <c r="L20" s="852"/>
      <c r="M20" s="867" t="str">
        <f>'WS0 - Input data'!M55&amp;" ("&amp;'WS0 - Input data'!M58&amp;")"</f>
        <v>Year 3 (2026-27)</v>
      </c>
      <c r="N20" s="868"/>
      <c r="O20" s="869"/>
      <c r="P20" s="870"/>
      <c r="Q20" s="869"/>
      <c r="R20" s="869"/>
      <c r="S20" s="869"/>
      <c r="T20" s="870"/>
      <c r="U20" s="871"/>
      <c r="V20" s="873" t="str">
        <f>'WS0 - Input data'!N55&amp;" ("&amp;'WS0 - Input data'!N58&amp;")"</f>
        <v>Year 4 (2027-28)</v>
      </c>
      <c r="W20" s="874"/>
      <c r="X20" s="875"/>
      <c r="Y20" s="876"/>
      <c r="Z20" s="875"/>
      <c r="AA20" s="875"/>
      <c r="AB20" s="875"/>
      <c r="AC20" s="876"/>
      <c r="AD20" s="877"/>
      <c r="AE20" s="867" t="str">
        <f>'WS0 - Input data'!O55&amp;" ("&amp;'WS0 - Input data'!O58&amp;")"</f>
        <v>Year 5 (2028-29)</v>
      </c>
      <c r="AF20" s="868"/>
      <c r="AG20" s="869"/>
      <c r="AH20" s="870"/>
      <c r="AI20" s="869"/>
      <c r="AJ20" s="869"/>
      <c r="AK20" s="869"/>
      <c r="AL20" s="870"/>
      <c r="AM20" s="871"/>
      <c r="AN20" s="873" t="str">
        <f>'WS0 - Input data'!P55&amp;" ("&amp;'WS0 - Input data'!P58&amp;")"</f>
        <v>Year 6 (2029-30)</v>
      </c>
      <c r="AO20" s="874"/>
      <c r="AP20" s="875"/>
      <c r="AQ20" s="876"/>
      <c r="AR20" s="875"/>
      <c r="AS20" s="875"/>
      <c r="AT20" s="875"/>
      <c r="AU20" s="876"/>
      <c r="AV20" s="877"/>
      <c r="AW20" s="867" t="str">
        <f>'WS0 - Input data'!Q55&amp;" ("&amp;'WS0 - Input data'!Q58&amp;")"</f>
        <v>Year 7 (2030-31)</v>
      </c>
      <c r="AX20" s="868"/>
      <c r="AY20" s="869"/>
      <c r="AZ20" s="870"/>
      <c r="BA20" s="869"/>
      <c r="BB20" s="869"/>
      <c r="BC20" s="869"/>
      <c r="BD20" s="870"/>
      <c r="BE20" s="871"/>
      <c r="BF20" s="49"/>
    </row>
    <row r="21" spans="1:58" s="28" customFormat="1" ht="36" x14ac:dyDescent="0.2">
      <c r="A21" s="841"/>
      <c r="B21" s="734" t="s">
        <v>568</v>
      </c>
      <c r="C21" s="795" t="s">
        <v>569</v>
      </c>
      <c r="D21" s="885" t="s">
        <v>570</v>
      </c>
      <c r="E21" s="734" t="s">
        <v>602</v>
      </c>
      <c r="F21" s="734" t="s">
        <v>572</v>
      </c>
      <c r="G21" s="734" t="s">
        <v>603</v>
      </c>
      <c r="H21" s="734" t="s">
        <v>574</v>
      </c>
      <c r="I21" s="734" t="s">
        <v>575</v>
      </c>
      <c r="J21" s="734" t="s">
        <v>604</v>
      </c>
      <c r="K21" s="735" t="s">
        <v>605</v>
      </c>
      <c r="L21" s="853" t="s">
        <v>606</v>
      </c>
      <c r="M21" s="864" t="str">
        <f>D21</f>
        <v>Number of Assessments</v>
      </c>
      <c r="N21" s="865" t="str">
        <f t="shared" ref="N21:U21" si="0">E21</f>
        <v>Ad valorem rate
(cents)</v>
      </c>
      <c r="O21" s="865" t="str">
        <f t="shared" si="0"/>
        <v>Base Amount
$</v>
      </c>
      <c r="P21" s="865" t="str">
        <f t="shared" si="0"/>
        <v>Base Amount
%</v>
      </c>
      <c r="Q21" s="865" t="str">
        <f t="shared" si="0"/>
        <v>Minimum
Amount
$</v>
      </c>
      <c r="R21" s="865" t="str">
        <f t="shared" si="0"/>
        <v>Number on Minimum</v>
      </c>
      <c r="S21" s="865" t="str">
        <f t="shared" si="0"/>
        <v>Land Value as at
start of year
$</v>
      </c>
      <c r="T21" s="1445" t="str">
        <f t="shared" si="0"/>
        <v>Land Value of Land on Minimum $</v>
      </c>
      <c r="U21" s="866" t="str">
        <f t="shared" si="0"/>
        <v>Notional General
Income</v>
      </c>
      <c r="V21" s="864" t="str">
        <f>M21</f>
        <v>Number of Assessments</v>
      </c>
      <c r="W21" s="865" t="str">
        <f t="shared" ref="W21" si="1">N21</f>
        <v>Ad valorem rate
(cents)</v>
      </c>
      <c r="X21" s="865" t="str">
        <f t="shared" ref="X21" si="2">O21</f>
        <v>Base Amount
$</v>
      </c>
      <c r="Y21" s="865" t="str">
        <f t="shared" ref="Y21" si="3">P21</f>
        <v>Base Amount
%</v>
      </c>
      <c r="Z21" s="865" t="str">
        <f t="shared" ref="Z21" si="4">Q21</f>
        <v>Minimum
Amount
$</v>
      </c>
      <c r="AA21" s="865" t="str">
        <f t="shared" ref="AA21" si="5">R21</f>
        <v>Number on Minimum</v>
      </c>
      <c r="AB21" s="865" t="str">
        <f t="shared" ref="AB21" si="6">S21</f>
        <v>Land Value as at
start of year
$</v>
      </c>
      <c r="AC21" s="1445" t="str">
        <f t="shared" ref="AC21" si="7">T21</f>
        <v>Land Value of Land on Minimum $</v>
      </c>
      <c r="AD21" s="866" t="str">
        <f t="shared" ref="AD21" si="8">U21</f>
        <v>Notional General
Income</v>
      </c>
      <c r="AE21" s="864" t="str">
        <f>V21</f>
        <v>Number of Assessments</v>
      </c>
      <c r="AF21" s="865" t="str">
        <f t="shared" ref="AF21" si="9">W21</f>
        <v>Ad valorem rate
(cents)</v>
      </c>
      <c r="AG21" s="865" t="str">
        <f t="shared" ref="AG21" si="10">X21</f>
        <v>Base Amount
$</v>
      </c>
      <c r="AH21" s="865" t="str">
        <f t="shared" ref="AH21" si="11">Y21</f>
        <v>Base Amount
%</v>
      </c>
      <c r="AI21" s="865" t="str">
        <f t="shared" ref="AI21" si="12">Z21</f>
        <v>Minimum
Amount
$</v>
      </c>
      <c r="AJ21" s="865" t="str">
        <f t="shared" ref="AJ21" si="13">AA21</f>
        <v>Number on Minimum</v>
      </c>
      <c r="AK21" s="865" t="str">
        <f t="shared" ref="AK21" si="14">AB21</f>
        <v>Land Value as at
start of year
$</v>
      </c>
      <c r="AL21" s="1445" t="str">
        <f t="shared" ref="AL21" si="15">AC21</f>
        <v>Land Value of Land on Minimum $</v>
      </c>
      <c r="AM21" s="866" t="str">
        <f t="shared" ref="AM21" si="16">AD21</f>
        <v>Notional General
Income</v>
      </c>
      <c r="AN21" s="864" t="str">
        <f>AE21</f>
        <v>Number of Assessments</v>
      </c>
      <c r="AO21" s="865" t="str">
        <f t="shared" ref="AO21" si="17">AF21</f>
        <v>Ad valorem rate
(cents)</v>
      </c>
      <c r="AP21" s="865" t="str">
        <f t="shared" ref="AP21" si="18">AG21</f>
        <v>Base Amount
$</v>
      </c>
      <c r="AQ21" s="865" t="str">
        <f t="shared" ref="AQ21" si="19">AH21</f>
        <v>Base Amount
%</v>
      </c>
      <c r="AR21" s="865" t="str">
        <f t="shared" ref="AR21" si="20">AI21</f>
        <v>Minimum
Amount
$</v>
      </c>
      <c r="AS21" s="865" t="str">
        <f t="shared" ref="AS21" si="21">AJ21</f>
        <v>Number on Minimum</v>
      </c>
      <c r="AT21" s="865" t="str">
        <f t="shared" ref="AT21" si="22">AK21</f>
        <v>Land Value as at
start of year
$</v>
      </c>
      <c r="AU21" s="1445" t="str">
        <f t="shared" ref="AU21" si="23">AL21</f>
        <v>Land Value of Land on Minimum $</v>
      </c>
      <c r="AV21" s="866" t="str">
        <f t="shared" ref="AV21" si="24">AM21</f>
        <v>Notional General
Income</v>
      </c>
      <c r="AW21" s="864" t="str">
        <f>AN21</f>
        <v>Number of Assessments</v>
      </c>
      <c r="AX21" s="865" t="str">
        <f t="shared" ref="AX21" si="25">AO21</f>
        <v>Ad valorem rate
(cents)</v>
      </c>
      <c r="AY21" s="865" t="str">
        <f t="shared" ref="AY21" si="26">AP21</f>
        <v>Base Amount
$</v>
      </c>
      <c r="AZ21" s="865" t="str">
        <f t="shared" ref="AZ21" si="27">AQ21</f>
        <v>Base Amount
%</v>
      </c>
      <c r="BA21" s="865" t="str">
        <f t="shared" ref="BA21" si="28">AR21</f>
        <v>Minimum
Amount
$</v>
      </c>
      <c r="BB21" s="865" t="str">
        <f t="shared" ref="BB21" si="29">AS21</f>
        <v>Number on Minimum</v>
      </c>
      <c r="BC21" s="865" t="str">
        <f t="shared" ref="BC21" si="30">AT21</f>
        <v>Land Value as at
start of year
$</v>
      </c>
      <c r="BD21" s="1445" t="str">
        <f t="shared" ref="BD21" si="31">AU21</f>
        <v>Land Value of Land on Minimum $</v>
      </c>
      <c r="BE21" s="866" t="str">
        <f t="shared" ref="BE21" si="32">AV21</f>
        <v>Notional General
Income</v>
      </c>
      <c r="BF21" s="27"/>
    </row>
    <row r="22" spans="1:58" ht="12" x14ac:dyDescent="0.2">
      <c r="A22" s="841"/>
      <c r="B22" s="769" t="s">
        <v>579</v>
      </c>
      <c r="C22" s="820" t="str">
        <f>IF('WS3 - Notional General Income'!C21="","",'WS3 - Notional General Income'!C21)</f>
        <v>Residential</v>
      </c>
      <c r="D22" s="860">
        <f>'WS4 - Yr 1 YIELD'!D18</f>
        <v>29428</v>
      </c>
      <c r="E22" s="754">
        <f>'WS4 - Yr 1 YIELD'!E18*1.03</f>
        <v>6.1074004500000001E-2</v>
      </c>
      <c r="F22" s="752"/>
      <c r="G22" s="755" t="str">
        <f>IF(F22="",".",D22*F22/L22)</f>
        <v>.</v>
      </c>
      <c r="H22" s="752">
        <f>'WS4 - Yr 1 YIELD'!H18*1.03</f>
        <v>1043.7814000000001</v>
      </c>
      <c r="I22" s="753">
        <f>'WS4 - Yr 1 YIELD'!I18</f>
        <v>16449</v>
      </c>
      <c r="J22" s="753">
        <f>'WS4 - Yr 1 YIELD'!J18</f>
        <v>41955718018</v>
      </c>
      <c r="K22" s="753">
        <f>'WS4 - Yr 1 YIELD'!K18</f>
        <v>7978632695</v>
      </c>
      <c r="L22" s="854">
        <f t="shared" ref="L22:L41" si="33">IF(D22="",".",IF(F22&lt;&gt;"",F22*D22+J22*(E22/100),(J22-K22)*(E22/100)+H22*I22))</f>
        <v>37920326.867737859</v>
      </c>
      <c r="M22" s="1446">
        <f>D22</f>
        <v>29428</v>
      </c>
      <c r="N22" s="750">
        <f>E22*1.03</f>
        <v>6.2906224635000008E-2</v>
      </c>
      <c r="O22" s="748"/>
      <c r="P22" s="751" t="str">
        <f>IF(O22="",".",M22*O22/U22)</f>
        <v>.</v>
      </c>
      <c r="Q22" s="748">
        <f>H22*1.03</f>
        <v>1075.0948420000002</v>
      </c>
      <c r="R22" s="749">
        <f>I22</f>
        <v>16449</v>
      </c>
      <c r="S22" s="749">
        <f>J22</f>
        <v>41955718018</v>
      </c>
      <c r="T22" s="749">
        <f>K22</f>
        <v>7978632695</v>
      </c>
      <c r="U22" s="1447">
        <f t="shared" ref="U22:U67" si="34">IF(M22="",".",IF(O22&lt;&gt;"",O22*M22+S22*(N22/100),(S22-T22)*(N22/100)+Q22*R22))</f>
        <v>39057936.673770003</v>
      </c>
      <c r="V22" s="1446">
        <f>M22</f>
        <v>29428</v>
      </c>
      <c r="W22" s="750">
        <f>N22*1.03</f>
        <v>6.4793411374050008E-2</v>
      </c>
      <c r="X22" s="748"/>
      <c r="Y22" s="751" t="str">
        <f>IF(X22="",".",V22*X22/AD22)</f>
        <v>.</v>
      </c>
      <c r="Z22" s="748">
        <f>Q22*1.03</f>
        <v>1107.3476872600002</v>
      </c>
      <c r="AA22" s="749">
        <f>R22</f>
        <v>16449</v>
      </c>
      <c r="AB22" s="749">
        <f>S22</f>
        <v>41955718018</v>
      </c>
      <c r="AC22" s="749">
        <f>T22</f>
        <v>7978632695</v>
      </c>
      <c r="AD22" s="1447">
        <f t="shared" ref="AD22:AD41" si="35">IF(V22="",".",IF(X22&lt;&gt;"",X22*V22+AB22*(W22/100),(AB22-AC22)*(W22/100)+Z22*AA22))</f>
        <v>40229674.773983099</v>
      </c>
      <c r="AE22" s="1446">
        <f>V22</f>
        <v>29428</v>
      </c>
      <c r="AF22" s="750">
        <f>W22*1.03</f>
        <v>6.6737213715271512E-2</v>
      </c>
      <c r="AG22" s="748"/>
      <c r="AH22" s="751" t="str">
        <f>IF(AG22="",".",AE22*AG22/AM22)</f>
        <v>.</v>
      </c>
      <c r="AI22" s="748">
        <f>Z22*1.03</f>
        <v>1140.5681178778002</v>
      </c>
      <c r="AJ22" s="749">
        <f>AA22</f>
        <v>16449</v>
      </c>
      <c r="AK22" s="749">
        <f>AB22</f>
        <v>41955718018</v>
      </c>
      <c r="AL22" s="749">
        <f>AC22</f>
        <v>7978632695</v>
      </c>
      <c r="AM22" s="1447">
        <f t="shared" ref="AM22:AM41" si="36">IF(AE22="",".",IF(AG22&lt;&gt;"",AG22*AE22+AK22*(AF22/100),(AK22-AL22)*(AF22/100)+AI22*AJ22))</f>
        <v>41436565.017202593</v>
      </c>
      <c r="AN22" s="1446">
        <f>AE22</f>
        <v>29428</v>
      </c>
      <c r="AO22" s="750">
        <f>AF22*1.03</f>
        <v>6.8739330126729656E-2</v>
      </c>
      <c r="AP22" s="748"/>
      <c r="AQ22" s="751" t="str">
        <f>IF(AP22="",".",AN22*AP22/AV22)</f>
        <v>.</v>
      </c>
      <c r="AR22" s="748">
        <f>AI22*1.03</f>
        <v>1174.7851614141343</v>
      </c>
      <c r="AS22" s="1634">
        <f>AJ22</f>
        <v>16449</v>
      </c>
      <c r="AT22" s="1634">
        <f>AK22</f>
        <v>41955718018</v>
      </c>
      <c r="AU22" s="1634">
        <f>AL22</f>
        <v>7978632695</v>
      </c>
      <c r="AV22" s="1447">
        <f t="shared" ref="AV22:AV41" si="37">IF(AN22="",".",IF(AP22&lt;&gt;"",AP22*AN22+AT22*(AO22/100),(AT22-AU22)*(AO22/100)+AR22*AS22))</f>
        <v>42679661.967718676</v>
      </c>
      <c r="AW22" s="1446">
        <v>29428</v>
      </c>
      <c r="AX22" s="750">
        <f>AO22*1.03</f>
        <v>7.0801510030531548E-2</v>
      </c>
      <c r="AY22" s="748"/>
      <c r="AZ22" s="751" t="str">
        <f>IF(AY22="",".",AW22*AY22/BE22)</f>
        <v>.</v>
      </c>
      <c r="BA22" s="748">
        <f>AR22*1.03</f>
        <v>1210.0287162565585</v>
      </c>
      <c r="BB22" s="749">
        <v>16449</v>
      </c>
      <c r="BC22" s="749">
        <v>41955718018</v>
      </c>
      <c r="BD22" s="749">
        <v>7978632695</v>
      </c>
      <c r="BE22" s="1447">
        <f t="shared" ref="BE22:BE41" si="38">IF(AW22="",".",IF(AY22&lt;&gt;"",AY22*AW22+BC22*(AX22/100),(BC22-BD22)*(AX22/100)+BA22*BB22))</f>
        <v>43960051.826750241</v>
      </c>
      <c r="BF22" s="3"/>
    </row>
    <row r="23" spans="1:58" ht="12" x14ac:dyDescent="0.2">
      <c r="A23" s="841"/>
      <c r="B23" s="769" t="s">
        <v>579</v>
      </c>
      <c r="C23" s="820" t="str">
        <f>IF('WS3 - Notional General Income'!C22="","",'WS3 - Notional General Income'!C22)</f>
        <v/>
      </c>
      <c r="D23" s="860"/>
      <c r="E23" s="754"/>
      <c r="F23" s="752"/>
      <c r="G23" s="755" t="str">
        <f t="shared" ref="G23:G67" si="39">IF(F23="",".",D23*F23/L23)</f>
        <v>.</v>
      </c>
      <c r="H23" s="752"/>
      <c r="I23" s="753"/>
      <c r="J23" s="753"/>
      <c r="K23" s="753"/>
      <c r="L23" s="854" t="str">
        <f t="shared" si="33"/>
        <v>.</v>
      </c>
      <c r="M23" s="860"/>
      <c r="N23" s="754"/>
      <c r="O23" s="752"/>
      <c r="P23" s="755" t="str">
        <f t="shared" ref="P23:P41" si="40">IF(O23="",".",M23*O23/U23)</f>
        <v>.</v>
      </c>
      <c r="Q23" s="752"/>
      <c r="R23" s="753"/>
      <c r="S23" s="753"/>
      <c r="T23" s="753"/>
      <c r="U23" s="854" t="str">
        <f t="shared" si="34"/>
        <v>.</v>
      </c>
      <c r="V23" s="860"/>
      <c r="W23" s="754"/>
      <c r="X23" s="752"/>
      <c r="Y23" s="755" t="str">
        <f t="shared" ref="Y23:Y41" si="41">IF(X23="",".",V23*X23/AD23)</f>
        <v>.</v>
      </c>
      <c r="Z23" s="752"/>
      <c r="AA23" s="753"/>
      <c r="AB23" s="753"/>
      <c r="AC23" s="753"/>
      <c r="AD23" s="854" t="str">
        <f t="shared" si="35"/>
        <v>.</v>
      </c>
      <c r="AE23" s="860"/>
      <c r="AF23" s="754"/>
      <c r="AG23" s="752"/>
      <c r="AH23" s="755" t="str">
        <f t="shared" ref="AH23:AH41" si="42">IF(AG23="",".",AE23*AG23/AM23)</f>
        <v>.</v>
      </c>
      <c r="AI23" s="752"/>
      <c r="AJ23" s="753"/>
      <c r="AK23" s="753"/>
      <c r="AL23" s="753"/>
      <c r="AM23" s="854" t="str">
        <f t="shared" si="36"/>
        <v>.</v>
      </c>
      <c r="AN23" s="860"/>
      <c r="AO23" s="754"/>
      <c r="AP23" s="752"/>
      <c r="AQ23" s="755" t="str">
        <f t="shared" ref="AQ23:AQ41" si="43">IF(AP23="",".",AN23*AP23/AV23)</f>
        <v>.</v>
      </c>
      <c r="AR23" s="752"/>
      <c r="AS23" s="753"/>
      <c r="AT23" s="753"/>
      <c r="AU23" s="753"/>
      <c r="AV23" s="854" t="str">
        <f t="shared" si="37"/>
        <v>.</v>
      </c>
      <c r="AW23" s="860"/>
      <c r="AX23" s="754"/>
      <c r="AY23" s="752"/>
      <c r="AZ23" s="755" t="str">
        <f t="shared" ref="AZ23:AZ41" si="44">IF(AY23="",".",AW23*AY23/BE23)</f>
        <v>.</v>
      </c>
      <c r="BA23" s="752"/>
      <c r="BB23" s="753"/>
      <c r="BC23" s="753"/>
      <c r="BD23" s="753"/>
      <c r="BE23" s="854" t="str">
        <f t="shared" si="38"/>
        <v>.</v>
      </c>
      <c r="BF23" s="3"/>
    </row>
    <row r="24" spans="1:58" ht="12" x14ac:dyDescent="0.2">
      <c r="A24" s="841"/>
      <c r="B24" s="769" t="s">
        <v>579</v>
      </c>
      <c r="C24" s="820" t="str">
        <f>IF('WS3 - Notional General Income'!C23="","",'WS3 - Notional General Income'!C23)</f>
        <v/>
      </c>
      <c r="D24" s="860"/>
      <c r="E24" s="754"/>
      <c r="F24" s="752"/>
      <c r="G24" s="755" t="str">
        <f t="shared" si="39"/>
        <v>.</v>
      </c>
      <c r="H24" s="752"/>
      <c r="I24" s="753"/>
      <c r="J24" s="753"/>
      <c r="K24" s="753"/>
      <c r="L24" s="854" t="str">
        <f t="shared" si="33"/>
        <v>.</v>
      </c>
      <c r="M24" s="860"/>
      <c r="N24" s="754"/>
      <c r="O24" s="752"/>
      <c r="P24" s="755" t="str">
        <f t="shared" si="40"/>
        <v>.</v>
      </c>
      <c r="Q24" s="752"/>
      <c r="R24" s="753"/>
      <c r="S24" s="753"/>
      <c r="T24" s="753"/>
      <c r="U24" s="854" t="str">
        <f t="shared" si="34"/>
        <v>.</v>
      </c>
      <c r="V24" s="860"/>
      <c r="W24" s="754"/>
      <c r="X24" s="752"/>
      <c r="Y24" s="755" t="str">
        <f t="shared" si="41"/>
        <v>.</v>
      </c>
      <c r="Z24" s="752"/>
      <c r="AA24" s="753"/>
      <c r="AB24" s="753"/>
      <c r="AC24" s="753"/>
      <c r="AD24" s="854" t="str">
        <f t="shared" si="35"/>
        <v>.</v>
      </c>
      <c r="AE24" s="860"/>
      <c r="AF24" s="754"/>
      <c r="AG24" s="752"/>
      <c r="AH24" s="755" t="str">
        <f t="shared" si="42"/>
        <v>.</v>
      </c>
      <c r="AI24" s="752"/>
      <c r="AJ24" s="753"/>
      <c r="AK24" s="753"/>
      <c r="AL24" s="753"/>
      <c r="AM24" s="854" t="str">
        <f t="shared" si="36"/>
        <v>.</v>
      </c>
      <c r="AN24" s="860"/>
      <c r="AO24" s="754"/>
      <c r="AP24" s="752"/>
      <c r="AQ24" s="755" t="str">
        <f t="shared" si="43"/>
        <v>.</v>
      </c>
      <c r="AR24" s="752"/>
      <c r="AS24" s="753"/>
      <c r="AT24" s="753"/>
      <c r="AU24" s="753"/>
      <c r="AV24" s="854" t="str">
        <f t="shared" si="37"/>
        <v>.</v>
      </c>
      <c r="AW24" s="860"/>
      <c r="AX24" s="754"/>
      <c r="AY24" s="752"/>
      <c r="AZ24" s="755" t="str">
        <f t="shared" si="44"/>
        <v>.</v>
      </c>
      <c r="BA24" s="752"/>
      <c r="BB24" s="753"/>
      <c r="BC24" s="753"/>
      <c r="BD24" s="753"/>
      <c r="BE24" s="854" t="str">
        <f t="shared" si="38"/>
        <v>.</v>
      </c>
      <c r="BF24" s="3"/>
    </row>
    <row r="25" spans="1:58" ht="12" x14ac:dyDescent="0.2">
      <c r="A25" s="841"/>
      <c r="B25" s="769" t="s">
        <v>579</v>
      </c>
      <c r="C25" s="820" t="str">
        <f>IF('WS3 - Notional General Income'!C24="","",'WS3 - Notional General Income'!C24)</f>
        <v/>
      </c>
      <c r="D25" s="860"/>
      <c r="E25" s="754"/>
      <c r="F25" s="752"/>
      <c r="G25" s="755" t="str">
        <f t="shared" si="39"/>
        <v>.</v>
      </c>
      <c r="H25" s="752"/>
      <c r="I25" s="753"/>
      <c r="J25" s="753"/>
      <c r="K25" s="753"/>
      <c r="L25" s="854" t="str">
        <f t="shared" si="33"/>
        <v>.</v>
      </c>
      <c r="M25" s="860"/>
      <c r="N25" s="754"/>
      <c r="O25" s="752"/>
      <c r="P25" s="755" t="str">
        <f t="shared" si="40"/>
        <v>.</v>
      </c>
      <c r="Q25" s="752"/>
      <c r="R25" s="753"/>
      <c r="S25" s="753"/>
      <c r="T25" s="753"/>
      <c r="U25" s="854" t="str">
        <f t="shared" si="34"/>
        <v>.</v>
      </c>
      <c r="V25" s="860"/>
      <c r="W25" s="754"/>
      <c r="X25" s="752"/>
      <c r="Y25" s="755" t="str">
        <f t="shared" si="41"/>
        <v>.</v>
      </c>
      <c r="Z25" s="752"/>
      <c r="AA25" s="753"/>
      <c r="AB25" s="753"/>
      <c r="AC25" s="753"/>
      <c r="AD25" s="854" t="str">
        <f t="shared" si="35"/>
        <v>.</v>
      </c>
      <c r="AE25" s="860"/>
      <c r="AF25" s="754"/>
      <c r="AG25" s="752"/>
      <c r="AH25" s="755" t="str">
        <f t="shared" si="42"/>
        <v>.</v>
      </c>
      <c r="AI25" s="752"/>
      <c r="AJ25" s="753"/>
      <c r="AK25" s="753"/>
      <c r="AL25" s="753"/>
      <c r="AM25" s="854" t="str">
        <f t="shared" si="36"/>
        <v>.</v>
      </c>
      <c r="AN25" s="860"/>
      <c r="AO25" s="754"/>
      <c r="AP25" s="752"/>
      <c r="AQ25" s="755" t="str">
        <f t="shared" si="43"/>
        <v>.</v>
      </c>
      <c r="AR25" s="752"/>
      <c r="AS25" s="753"/>
      <c r="AT25" s="753"/>
      <c r="AU25" s="753"/>
      <c r="AV25" s="854" t="str">
        <f t="shared" si="37"/>
        <v>.</v>
      </c>
      <c r="AW25" s="860"/>
      <c r="AX25" s="754"/>
      <c r="AY25" s="752"/>
      <c r="AZ25" s="755" t="str">
        <f t="shared" si="44"/>
        <v>.</v>
      </c>
      <c r="BA25" s="752"/>
      <c r="BB25" s="753"/>
      <c r="BC25" s="753"/>
      <c r="BD25" s="753"/>
      <c r="BE25" s="854" t="str">
        <f t="shared" si="38"/>
        <v>.</v>
      </c>
      <c r="BF25" s="3"/>
    </row>
    <row r="26" spans="1:58" ht="12" x14ac:dyDescent="0.2">
      <c r="A26" s="841"/>
      <c r="B26" s="769" t="s">
        <v>579</v>
      </c>
      <c r="C26" s="820" t="str">
        <f>IF('WS3 - Notional General Income'!C25="","",'WS3 - Notional General Income'!C25)</f>
        <v/>
      </c>
      <c r="D26" s="860"/>
      <c r="E26" s="754"/>
      <c r="F26" s="752"/>
      <c r="G26" s="755" t="str">
        <f t="shared" si="39"/>
        <v>.</v>
      </c>
      <c r="H26" s="752"/>
      <c r="I26" s="753"/>
      <c r="J26" s="753"/>
      <c r="K26" s="753"/>
      <c r="L26" s="854" t="str">
        <f t="shared" si="33"/>
        <v>.</v>
      </c>
      <c r="M26" s="860"/>
      <c r="N26" s="754"/>
      <c r="O26" s="752"/>
      <c r="P26" s="755" t="str">
        <f t="shared" si="40"/>
        <v>.</v>
      </c>
      <c r="Q26" s="752"/>
      <c r="R26" s="753"/>
      <c r="S26" s="753"/>
      <c r="T26" s="753"/>
      <c r="U26" s="854" t="str">
        <f t="shared" si="34"/>
        <v>.</v>
      </c>
      <c r="V26" s="860"/>
      <c r="W26" s="754"/>
      <c r="X26" s="752"/>
      <c r="Y26" s="755" t="str">
        <f t="shared" si="41"/>
        <v>.</v>
      </c>
      <c r="Z26" s="752"/>
      <c r="AA26" s="753"/>
      <c r="AB26" s="753"/>
      <c r="AC26" s="753"/>
      <c r="AD26" s="854" t="str">
        <f t="shared" si="35"/>
        <v>.</v>
      </c>
      <c r="AE26" s="860"/>
      <c r="AF26" s="754"/>
      <c r="AG26" s="752"/>
      <c r="AH26" s="755" t="str">
        <f t="shared" si="42"/>
        <v>.</v>
      </c>
      <c r="AI26" s="752"/>
      <c r="AJ26" s="753"/>
      <c r="AK26" s="753"/>
      <c r="AL26" s="753"/>
      <c r="AM26" s="854" t="str">
        <f t="shared" si="36"/>
        <v>.</v>
      </c>
      <c r="AN26" s="860"/>
      <c r="AO26" s="754"/>
      <c r="AP26" s="752"/>
      <c r="AQ26" s="755" t="str">
        <f t="shared" si="43"/>
        <v>.</v>
      </c>
      <c r="AR26" s="752"/>
      <c r="AS26" s="753"/>
      <c r="AT26" s="753"/>
      <c r="AU26" s="753"/>
      <c r="AV26" s="854" t="str">
        <f t="shared" si="37"/>
        <v>.</v>
      </c>
      <c r="AW26" s="860"/>
      <c r="AX26" s="754"/>
      <c r="AY26" s="752"/>
      <c r="AZ26" s="755" t="str">
        <f t="shared" si="44"/>
        <v>.</v>
      </c>
      <c r="BA26" s="752"/>
      <c r="BB26" s="753"/>
      <c r="BC26" s="753"/>
      <c r="BD26" s="753"/>
      <c r="BE26" s="854" t="str">
        <f t="shared" si="38"/>
        <v>.</v>
      </c>
      <c r="BF26" s="3"/>
    </row>
    <row r="27" spans="1:58" ht="12" x14ac:dyDescent="0.2">
      <c r="A27" s="841"/>
      <c r="B27" s="769" t="s">
        <v>579</v>
      </c>
      <c r="C27" s="820" t="str">
        <f>IF('WS3 - Notional General Income'!C26="","",'WS3 - Notional General Income'!C26)</f>
        <v/>
      </c>
      <c r="D27" s="860"/>
      <c r="E27" s="756"/>
      <c r="F27" s="756"/>
      <c r="G27" s="755" t="str">
        <f t="shared" si="39"/>
        <v>.</v>
      </c>
      <c r="H27" s="752"/>
      <c r="I27" s="753"/>
      <c r="J27" s="753"/>
      <c r="K27" s="753"/>
      <c r="L27" s="854" t="str">
        <f t="shared" si="33"/>
        <v>.</v>
      </c>
      <c r="M27" s="860"/>
      <c r="N27" s="756"/>
      <c r="O27" s="756"/>
      <c r="P27" s="755" t="str">
        <f t="shared" si="40"/>
        <v>.</v>
      </c>
      <c r="Q27" s="752"/>
      <c r="R27" s="753"/>
      <c r="S27" s="753"/>
      <c r="T27" s="753"/>
      <c r="U27" s="854" t="str">
        <f t="shared" si="34"/>
        <v>.</v>
      </c>
      <c r="V27" s="860"/>
      <c r="W27" s="756"/>
      <c r="X27" s="756"/>
      <c r="Y27" s="755" t="str">
        <f t="shared" si="41"/>
        <v>.</v>
      </c>
      <c r="Z27" s="752"/>
      <c r="AA27" s="753"/>
      <c r="AB27" s="753"/>
      <c r="AC27" s="753"/>
      <c r="AD27" s="854" t="str">
        <f t="shared" si="35"/>
        <v>.</v>
      </c>
      <c r="AE27" s="860"/>
      <c r="AF27" s="756"/>
      <c r="AG27" s="756"/>
      <c r="AH27" s="755" t="str">
        <f t="shared" si="42"/>
        <v>.</v>
      </c>
      <c r="AI27" s="752"/>
      <c r="AJ27" s="753"/>
      <c r="AK27" s="753"/>
      <c r="AL27" s="753"/>
      <c r="AM27" s="854" t="str">
        <f t="shared" si="36"/>
        <v>.</v>
      </c>
      <c r="AN27" s="860"/>
      <c r="AO27" s="756"/>
      <c r="AP27" s="756"/>
      <c r="AQ27" s="755" t="str">
        <f t="shared" si="43"/>
        <v>.</v>
      </c>
      <c r="AR27" s="752"/>
      <c r="AS27" s="753"/>
      <c r="AT27" s="753"/>
      <c r="AU27" s="753"/>
      <c r="AV27" s="854" t="str">
        <f t="shared" si="37"/>
        <v>.</v>
      </c>
      <c r="AW27" s="860"/>
      <c r="AX27" s="756"/>
      <c r="AY27" s="756"/>
      <c r="AZ27" s="755" t="str">
        <f t="shared" si="44"/>
        <v>.</v>
      </c>
      <c r="BA27" s="752"/>
      <c r="BB27" s="753"/>
      <c r="BC27" s="753"/>
      <c r="BD27" s="753"/>
      <c r="BE27" s="854" t="str">
        <f t="shared" si="38"/>
        <v>.</v>
      </c>
      <c r="BF27" s="3"/>
    </row>
    <row r="28" spans="1:58" ht="12" x14ac:dyDescent="0.2">
      <c r="A28" s="841"/>
      <c r="B28" s="769" t="s">
        <v>579</v>
      </c>
      <c r="C28" s="820" t="str">
        <f>IF('WS3 - Notional General Income'!C27="","",'WS3 - Notional General Income'!C27)</f>
        <v/>
      </c>
      <c r="D28" s="860"/>
      <c r="E28" s="756"/>
      <c r="F28" s="756"/>
      <c r="G28" s="755" t="str">
        <f t="shared" si="39"/>
        <v>.</v>
      </c>
      <c r="H28" s="752"/>
      <c r="I28" s="753"/>
      <c r="J28" s="753"/>
      <c r="K28" s="753"/>
      <c r="L28" s="854" t="str">
        <f t="shared" si="33"/>
        <v>.</v>
      </c>
      <c r="M28" s="860"/>
      <c r="N28" s="756"/>
      <c r="O28" s="756"/>
      <c r="P28" s="755" t="str">
        <f t="shared" si="40"/>
        <v>.</v>
      </c>
      <c r="Q28" s="752"/>
      <c r="R28" s="753"/>
      <c r="S28" s="753"/>
      <c r="T28" s="753"/>
      <c r="U28" s="854" t="str">
        <f t="shared" si="34"/>
        <v>.</v>
      </c>
      <c r="V28" s="860"/>
      <c r="W28" s="756"/>
      <c r="X28" s="756"/>
      <c r="Y28" s="755" t="str">
        <f t="shared" si="41"/>
        <v>.</v>
      </c>
      <c r="Z28" s="752"/>
      <c r="AA28" s="753"/>
      <c r="AB28" s="753"/>
      <c r="AC28" s="753"/>
      <c r="AD28" s="854" t="str">
        <f t="shared" si="35"/>
        <v>.</v>
      </c>
      <c r="AE28" s="860"/>
      <c r="AF28" s="756"/>
      <c r="AG28" s="756"/>
      <c r="AH28" s="755" t="str">
        <f t="shared" si="42"/>
        <v>.</v>
      </c>
      <c r="AI28" s="752"/>
      <c r="AJ28" s="753"/>
      <c r="AK28" s="753"/>
      <c r="AL28" s="753"/>
      <c r="AM28" s="854" t="str">
        <f t="shared" si="36"/>
        <v>.</v>
      </c>
      <c r="AN28" s="860"/>
      <c r="AO28" s="756"/>
      <c r="AP28" s="756"/>
      <c r="AQ28" s="755" t="str">
        <f t="shared" si="43"/>
        <v>.</v>
      </c>
      <c r="AR28" s="752"/>
      <c r="AS28" s="753"/>
      <c r="AT28" s="753"/>
      <c r="AU28" s="753"/>
      <c r="AV28" s="854" t="str">
        <f t="shared" si="37"/>
        <v>.</v>
      </c>
      <c r="AW28" s="860"/>
      <c r="AX28" s="756"/>
      <c r="AY28" s="756"/>
      <c r="AZ28" s="755" t="str">
        <f t="shared" si="44"/>
        <v>.</v>
      </c>
      <c r="BA28" s="752"/>
      <c r="BB28" s="753"/>
      <c r="BC28" s="753"/>
      <c r="BD28" s="753"/>
      <c r="BE28" s="854" t="str">
        <f t="shared" si="38"/>
        <v>.</v>
      </c>
      <c r="BF28" s="3"/>
    </row>
    <row r="29" spans="1:58" ht="12" x14ac:dyDescent="0.2">
      <c r="A29" s="841"/>
      <c r="B29" s="769" t="s">
        <v>579</v>
      </c>
      <c r="C29" s="820" t="str">
        <f>IF('WS3 - Notional General Income'!C28="","",'WS3 - Notional General Income'!C28)</f>
        <v/>
      </c>
      <c r="D29" s="860"/>
      <c r="E29" s="754"/>
      <c r="F29" s="752"/>
      <c r="G29" s="755" t="str">
        <f t="shared" si="39"/>
        <v>.</v>
      </c>
      <c r="H29" s="752"/>
      <c r="I29" s="753"/>
      <c r="J29" s="753"/>
      <c r="K29" s="753"/>
      <c r="L29" s="854" t="str">
        <f t="shared" si="33"/>
        <v>.</v>
      </c>
      <c r="M29" s="860"/>
      <c r="N29" s="754"/>
      <c r="O29" s="752"/>
      <c r="P29" s="755" t="str">
        <f t="shared" si="40"/>
        <v>.</v>
      </c>
      <c r="Q29" s="752"/>
      <c r="R29" s="753"/>
      <c r="S29" s="753"/>
      <c r="T29" s="753"/>
      <c r="U29" s="854" t="str">
        <f t="shared" si="34"/>
        <v>.</v>
      </c>
      <c r="V29" s="860"/>
      <c r="W29" s="754"/>
      <c r="X29" s="752"/>
      <c r="Y29" s="755" t="str">
        <f t="shared" si="41"/>
        <v>.</v>
      </c>
      <c r="Z29" s="752"/>
      <c r="AA29" s="753"/>
      <c r="AB29" s="753"/>
      <c r="AC29" s="753"/>
      <c r="AD29" s="854" t="str">
        <f t="shared" si="35"/>
        <v>.</v>
      </c>
      <c r="AE29" s="860"/>
      <c r="AF29" s="754"/>
      <c r="AG29" s="752"/>
      <c r="AH29" s="755" t="str">
        <f t="shared" si="42"/>
        <v>.</v>
      </c>
      <c r="AI29" s="752"/>
      <c r="AJ29" s="753"/>
      <c r="AK29" s="753"/>
      <c r="AL29" s="753"/>
      <c r="AM29" s="854" t="str">
        <f t="shared" si="36"/>
        <v>.</v>
      </c>
      <c r="AN29" s="860"/>
      <c r="AO29" s="754"/>
      <c r="AP29" s="752"/>
      <c r="AQ29" s="755" t="str">
        <f t="shared" si="43"/>
        <v>.</v>
      </c>
      <c r="AR29" s="752"/>
      <c r="AS29" s="753"/>
      <c r="AT29" s="753"/>
      <c r="AU29" s="753"/>
      <c r="AV29" s="854" t="str">
        <f t="shared" si="37"/>
        <v>.</v>
      </c>
      <c r="AW29" s="860"/>
      <c r="AX29" s="754"/>
      <c r="AY29" s="752"/>
      <c r="AZ29" s="755" t="str">
        <f t="shared" si="44"/>
        <v>.</v>
      </c>
      <c r="BA29" s="752"/>
      <c r="BB29" s="753"/>
      <c r="BC29" s="753"/>
      <c r="BD29" s="753"/>
      <c r="BE29" s="854" t="str">
        <f t="shared" si="38"/>
        <v>.</v>
      </c>
      <c r="BF29" s="3"/>
    </row>
    <row r="30" spans="1:58" ht="12" x14ac:dyDescent="0.2">
      <c r="A30" s="841"/>
      <c r="B30" s="769" t="s">
        <v>579</v>
      </c>
      <c r="C30" s="820" t="str">
        <f>IF('WS3 - Notional General Income'!C29="","",'WS3 - Notional General Income'!C29)</f>
        <v/>
      </c>
      <c r="D30" s="860"/>
      <c r="E30" s="754"/>
      <c r="F30" s="752"/>
      <c r="G30" s="755" t="str">
        <f t="shared" si="39"/>
        <v>.</v>
      </c>
      <c r="H30" s="752"/>
      <c r="I30" s="753"/>
      <c r="J30" s="753"/>
      <c r="K30" s="753"/>
      <c r="L30" s="854" t="str">
        <f t="shared" si="33"/>
        <v>.</v>
      </c>
      <c r="M30" s="860"/>
      <c r="N30" s="754"/>
      <c r="O30" s="752"/>
      <c r="P30" s="755" t="str">
        <f t="shared" si="40"/>
        <v>.</v>
      </c>
      <c r="Q30" s="752"/>
      <c r="R30" s="753"/>
      <c r="S30" s="753"/>
      <c r="T30" s="753"/>
      <c r="U30" s="854" t="str">
        <f t="shared" si="34"/>
        <v>.</v>
      </c>
      <c r="V30" s="860"/>
      <c r="W30" s="754"/>
      <c r="X30" s="752"/>
      <c r="Y30" s="755" t="str">
        <f t="shared" si="41"/>
        <v>.</v>
      </c>
      <c r="Z30" s="752"/>
      <c r="AA30" s="753"/>
      <c r="AB30" s="753"/>
      <c r="AC30" s="753"/>
      <c r="AD30" s="854" t="str">
        <f t="shared" si="35"/>
        <v>.</v>
      </c>
      <c r="AE30" s="860"/>
      <c r="AF30" s="754"/>
      <c r="AG30" s="752"/>
      <c r="AH30" s="755" t="str">
        <f t="shared" si="42"/>
        <v>.</v>
      </c>
      <c r="AI30" s="752"/>
      <c r="AJ30" s="753"/>
      <c r="AK30" s="753"/>
      <c r="AL30" s="753"/>
      <c r="AM30" s="854" t="str">
        <f t="shared" si="36"/>
        <v>.</v>
      </c>
      <c r="AN30" s="860"/>
      <c r="AO30" s="754"/>
      <c r="AP30" s="752"/>
      <c r="AQ30" s="755" t="str">
        <f t="shared" si="43"/>
        <v>.</v>
      </c>
      <c r="AR30" s="752"/>
      <c r="AS30" s="753"/>
      <c r="AT30" s="753"/>
      <c r="AU30" s="753"/>
      <c r="AV30" s="854" t="str">
        <f t="shared" si="37"/>
        <v>.</v>
      </c>
      <c r="AW30" s="860"/>
      <c r="AX30" s="754"/>
      <c r="AY30" s="752"/>
      <c r="AZ30" s="755" t="str">
        <f t="shared" si="44"/>
        <v>.</v>
      </c>
      <c r="BA30" s="752"/>
      <c r="BB30" s="753"/>
      <c r="BC30" s="753"/>
      <c r="BD30" s="753"/>
      <c r="BE30" s="854" t="str">
        <f t="shared" si="38"/>
        <v>.</v>
      </c>
      <c r="BF30" s="3"/>
    </row>
    <row r="31" spans="1:58" ht="12" x14ac:dyDescent="0.2">
      <c r="A31" s="841"/>
      <c r="B31" s="769" t="s">
        <v>579</v>
      </c>
      <c r="C31" s="820" t="str">
        <f>IF('WS3 - Notional General Income'!C30="","",'WS3 - Notional General Income'!C30)</f>
        <v/>
      </c>
      <c r="D31" s="860"/>
      <c r="E31" s="754"/>
      <c r="F31" s="752"/>
      <c r="G31" s="755" t="str">
        <f t="shared" si="39"/>
        <v>.</v>
      </c>
      <c r="H31" s="752"/>
      <c r="I31" s="753"/>
      <c r="J31" s="753"/>
      <c r="K31" s="753"/>
      <c r="L31" s="854" t="str">
        <f t="shared" si="33"/>
        <v>.</v>
      </c>
      <c r="M31" s="860"/>
      <c r="N31" s="754"/>
      <c r="O31" s="752"/>
      <c r="P31" s="755" t="str">
        <f t="shared" si="40"/>
        <v>.</v>
      </c>
      <c r="Q31" s="752"/>
      <c r="R31" s="753"/>
      <c r="S31" s="753"/>
      <c r="T31" s="753"/>
      <c r="U31" s="854" t="str">
        <f t="shared" si="34"/>
        <v>.</v>
      </c>
      <c r="V31" s="860"/>
      <c r="W31" s="754"/>
      <c r="X31" s="752"/>
      <c r="Y31" s="755" t="str">
        <f t="shared" si="41"/>
        <v>.</v>
      </c>
      <c r="Z31" s="752"/>
      <c r="AA31" s="753"/>
      <c r="AB31" s="753"/>
      <c r="AC31" s="753"/>
      <c r="AD31" s="854" t="str">
        <f t="shared" si="35"/>
        <v>.</v>
      </c>
      <c r="AE31" s="860"/>
      <c r="AF31" s="754"/>
      <c r="AG31" s="752"/>
      <c r="AH31" s="755" t="str">
        <f t="shared" si="42"/>
        <v>.</v>
      </c>
      <c r="AI31" s="752"/>
      <c r="AJ31" s="753"/>
      <c r="AK31" s="753"/>
      <c r="AL31" s="753"/>
      <c r="AM31" s="854" t="str">
        <f t="shared" si="36"/>
        <v>.</v>
      </c>
      <c r="AN31" s="860"/>
      <c r="AO31" s="754"/>
      <c r="AP31" s="752"/>
      <c r="AQ31" s="755" t="str">
        <f t="shared" si="43"/>
        <v>.</v>
      </c>
      <c r="AR31" s="752"/>
      <c r="AS31" s="753"/>
      <c r="AT31" s="753"/>
      <c r="AU31" s="753"/>
      <c r="AV31" s="854" t="str">
        <f t="shared" si="37"/>
        <v>.</v>
      </c>
      <c r="AW31" s="860"/>
      <c r="AX31" s="754"/>
      <c r="AY31" s="752"/>
      <c r="AZ31" s="755" t="str">
        <f t="shared" si="44"/>
        <v>.</v>
      </c>
      <c r="BA31" s="752"/>
      <c r="BB31" s="753"/>
      <c r="BC31" s="753"/>
      <c r="BD31" s="753"/>
      <c r="BE31" s="854" t="str">
        <f t="shared" si="38"/>
        <v>.</v>
      </c>
      <c r="BF31" s="3"/>
    </row>
    <row r="32" spans="1:58" ht="12" x14ac:dyDescent="0.2">
      <c r="A32" s="841"/>
      <c r="B32" s="769" t="s">
        <v>579</v>
      </c>
      <c r="C32" s="820" t="str">
        <f>IF('WS3 - Notional General Income'!C31="","",'WS3 - Notional General Income'!C31)</f>
        <v/>
      </c>
      <c r="D32" s="860"/>
      <c r="E32" s="754"/>
      <c r="F32" s="752"/>
      <c r="G32" s="755" t="str">
        <f t="shared" si="39"/>
        <v>.</v>
      </c>
      <c r="H32" s="752"/>
      <c r="I32" s="753"/>
      <c r="J32" s="753"/>
      <c r="K32" s="753"/>
      <c r="L32" s="854" t="str">
        <f t="shared" si="33"/>
        <v>.</v>
      </c>
      <c r="M32" s="860"/>
      <c r="N32" s="754"/>
      <c r="O32" s="752"/>
      <c r="P32" s="755" t="str">
        <f t="shared" si="40"/>
        <v>.</v>
      </c>
      <c r="Q32" s="752"/>
      <c r="R32" s="753"/>
      <c r="S32" s="753"/>
      <c r="T32" s="753"/>
      <c r="U32" s="854" t="str">
        <f t="shared" si="34"/>
        <v>.</v>
      </c>
      <c r="V32" s="860"/>
      <c r="W32" s="754"/>
      <c r="X32" s="752"/>
      <c r="Y32" s="755" t="str">
        <f t="shared" si="41"/>
        <v>.</v>
      </c>
      <c r="Z32" s="752"/>
      <c r="AA32" s="753"/>
      <c r="AB32" s="753"/>
      <c r="AC32" s="753"/>
      <c r="AD32" s="854" t="str">
        <f t="shared" si="35"/>
        <v>.</v>
      </c>
      <c r="AE32" s="860"/>
      <c r="AF32" s="754"/>
      <c r="AG32" s="752"/>
      <c r="AH32" s="755" t="str">
        <f t="shared" si="42"/>
        <v>.</v>
      </c>
      <c r="AI32" s="752"/>
      <c r="AJ32" s="753"/>
      <c r="AK32" s="753"/>
      <c r="AL32" s="753"/>
      <c r="AM32" s="854" t="str">
        <f t="shared" si="36"/>
        <v>.</v>
      </c>
      <c r="AN32" s="860"/>
      <c r="AO32" s="754"/>
      <c r="AP32" s="752"/>
      <c r="AQ32" s="755" t="str">
        <f t="shared" si="43"/>
        <v>.</v>
      </c>
      <c r="AR32" s="752"/>
      <c r="AS32" s="753"/>
      <c r="AT32" s="753"/>
      <c r="AU32" s="753"/>
      <c r="AV32" s="854" t="str">
        <f t="shared" si="37"/>
        <v>.</v>
      </c>
      <c r="AW32" s="860"/>
      <c r="AX32" s="754"/>
      <c r="AY32" s="752"/>
      <c r="AZ32" s="755" t="str">
        <f t="shared" si="44"/>
        <v>.</v>
      </c>
      <c r="BA32" s="752"/>
      <c r="BB32" s="753"/>
      <c r="BC32" s="753"/>
      <c r="BD32" s="753"/>
      <c r="BE32" s="854" t="str">
        <f t="shared" si="38"/>
        <v>.</v>
      </c>
      <c r="BF32" s="3"/>
    </row>
    <row r="33" spans="1:58" ht="12" x14ac:dyDescent="0.2">
      <c r="A33" s="841"/>
      <c r="B33" s="769" t="s">
        <v>579</v>
      </c>
      <c r="C33" s="820" t="str">
        <f>IF('WS3 - Notional General Income'!C32="","",'WS3 - Notional General Income'!C32)</f>
        <v/>
      </c>
      <c r="D33" s="860"/>
      <c r="E33" s="754"/>
      <c r="F33" s="752"/>
      <c r="G33" s="755" t="str">
        <f t="shared" si="39"/>
        <v>.</v>
      </c>
      <c r="H33" s="752"/>
      <c r="I33" s="753"/>
      <c r="J33" s="753"/>
      <c r="K33" s="753"/>
      <c r="L33" s="854" t="str">
        <f t="shared" si="33"/>
        <v>.</v>
      </c>
      <c r="M33" s="860"/>
      <c r="N33" s="754"/>
      <c r="O33" s="752"/>
      <c r="P33" s="755" t="str">
        <f t="shared" si="40"/>
        <v>.</v>
      </c>
      <c r="Q33" s="752"/>
      <c r="R33" s="753"/>
      <c r="S33" s="753"/>
      <c r="T33" s="753"/>
      <c r="U33" s="854" t="str">
        <f t="shared" si="34"/>
        <v>.</v>
      </c>
      <c r="V33" s="860"/>
      <c r="W33" s="754"/>
      <c r="X33" s="752"/>
      <c r="Y33" s="755" t="str">
        <f t="shared" si="41"/>
        <v>.</v>
      </c>
      <c r="Z33" s="752"/>
      <c r="AA33" s="753"/>
      <c r="AB33" s="753"/>
      <c r="AC33" s="753"/>
      <c r="AD33" s="854" t="str">
        <f t="shared" si="35"/>
        <v>.</v>
      </c>
      <c r="AE33" s="860"/>
      <c r="AF33" s="754"/>
      <c r="AG33" s="752"/>
      <c r="AH33" s="755" t="str">
        <f t="shared" si="42"/>
        <v>.</v>
      </c>
      <c r="AI33" s="752"/>
      <c r="AJ33" s="753"/>
      <c r="AK33" s="753"/>
      <c r="AL33" s="753"/>
      <c r="AM33" s="854" t="str">
        <f t="shared" si="36"/>
        <v>.</v>
      </c>
      <c r="AN33" s="860"/>
      <c r="AO33" s="754"/>
      <c r="AP33" s="752"/>
      <c r="AQ33" s="755" t="str">
        <f t="shared" si="43"/>
        <v>.</v>
      </c>
      <c r="AR33" s="752"/>
      <c r="AS33" s="753"/>
      <c r="AT33" s="753"/>
      <c r="AU33" s="753"/>
      <c r="AV33" s="854" t="str">
        <f t="shared" si="37"/>
        <v>.</v>
      </c>
      <c r="AW33" s="860"/>
      <c r="AX33" s="754"/>
      <c r="AY33" s="752"/>
      <c r="AZ33" s="755" t="str">
        <f t="shared" si="44"/>
        <v>.</v>
      </c>
      <c r="BA33" s="752"/>
      <c r="BB33" s="753"/>
      <c r="BC33" s="753"/>
      <c r="BD33" s="753"/>
      <c r="BE33" s="854" t="str">
        <f t="shared" si="38"/>
        <v>.</v>
      </c>
      <c r="BF33" s="3"/>
    </row>
    <row r="34" spans="1:58" ht="12" x14ac:dyDescent="0.2">
      <c r="A34" s="841"/>
      <c r="B34" s="769" t="s">
        <v>579</v>
      </c>
      <c r="C34" s="820" t="str">
        <f>IF('WS3 - Notional General Income'!C33="","",'WS3 - Notional General Income'!C33)</f>
        <v/>
      </c>
      <c r="D34" s="860"/>
      <c r="E34" s="754"/>
      <c r="F34" s="752"/>
      <c r="G34" s="755" t="str">
        <f t="shared" si="39"/>
        <v>.</v>
      </c>
      <c r="H34" s="752"/>
      <c r="I34" s="753"/>
      <c r="J34" s="753"/>
      <c r="K34" s="753"/>
      <c r="L34" s="854" t="str">
        <f t="shared" si="33"/>
        <v>.</v>
      </c>
      <c r="M34" s="860"/>
      <c r="N34" s="754"/>
      <c r="O34" s="752"/>
      <c r="P34" s="755" t="str">
        <f t="shared" si="40"/>
        <v>.</v>
      </c>
      <c r="Q34" s="752"/>
      <c r="R34" s="753"/>
      <c r="S34" s="753"/>
      <c r="T34" s="753"/>
      <c r="U34" s="854" t="str">
        <f t="shared" si="34"/>
        <v>.</v>
      </c>
      <c r="V34" s="860"/>
      <c r="W34" s="754"/>
      <c r="X34" s="752"/>
      <c r="Y34" s="755" t="str">
        <f t="shared" si="41"/>
        <v>.</v>
      </c>
      <c r="Z34" s="752"/>
      <c r="AA34" s="753"/>
      <c r="AB34" s="753"/>
      <c r="AC34" s="753"/>
      <c r="AD34" s="854" t="str">
        <f t="shared" si="35"/>
        <v>.</v>
      </c>
      <c r="AE34" s="860"/>
      <c r="AF34" s="754"/>
      <c r="AG34" s="752"/>
      <c r="AH34" s="755" t="str">
        <f t="shared" si="42"/>
        <v>.</v>
      </c>
      <c r="AI34" s="752"/>
      <c r="AJ34" s="753"/>
      <c r="AK34" s="753"/>
      <c r="AL34" s="753"/>
      <c r="AM34" s="854" t="str">
        <f t="shared" si="36"/>
        <v>.</v>
      </c>
      <c r="AN34" s="860"/>
      <c r="AO34" s="754"/>
      <c r="AP34" s="752"/>
      <c r="AQ34" s="755" t="str">
        <f t="shared" si="43"/>
        <v>.</v>
      </c>
      <c r="AR34" s="752"/>
      <c r="AS34" s="753"/>
      <c r="AT34" s="753"/>
      <c r="AU34" s="753"/>
      <c r="AV34" s="854" t="str">
        <f t="shared" si="37"/>
        <v>.</v>
      </c>
      <c r="AW34" s="860"/>
      <c r="AX34" s="754"/>
      <c r="AY34" s="752"/>
      <c r="AZ34" s="755" t="str">
        <f t="shared" si="44"/>
        <v>.</v>
      </c>
      <c r="BA34" s="752"/>
      <c r="BB34" s="753"/>
      <c r="BC34" s="753"/>
      <c r="BD34" s="753"/>
      <c r="BE34" s="854" t="str">
        <f t="shared" si="38"/>
        <v>.</v>
      </c>
      <c r="BF34" s="3"/>
    </row>
    <row r="35" spans="1:58" ht="12" x14ac:dyDescent="0.2">
      <c r="A35" s="841"/>
      <c r="B35" s="769" t="s">
        <v>579</v>
      </c>
      <c r="C35" s="820" t="str">
        <f>IF('WS3 - Notional General Income'!C34="","",'WS3 - Notional General Income'!C34)</f>
        <v/>
      </c>
      <c r="D35" s="860"/>
      <c r="E35" s="754"/>
      <c r="F35" s="752"/>
      <c r="G35" s="755" t="str">
        <f t="shared" si="39"/>
        <v>.</v>
      </c>
      <c r="H35" s="752"/>
      <c r="I35" s="753"/>
      <c r="J35" s="753"/>
      <c r="K35" s="753"/>
      <c r="L35" s="854" t="str">
        <f t="shared" si="33"/>
        <v>.</v>
      </c>
      <c r="M35" s="860"/>
      <c r="N35" s="754"/>
      <c r="O35" s="752"/>
      <c r="P35" s="755" t="str">
        <f t="shared" si="40"/>
        <v>.</v>
      </c>
      <c r="Q35" s="752"/>
      <c r="R35" s="753"/>
      <c r="S35" s="753"/>
      <c r="T35" s="753"/>
      <c r="U35" s="854" t="str">
        <f t="shared" si="34"/>
        <v>.</v>
      </c>
      <c r="V35" s="860"/>
      <c r="W35" s="754"/>
      <c r="X35" s="752"/>
      <c r="Y35" s="755" t="str">
        <f t="shared" si="41"/>
        <v>.</v>
      </c>
      <c r="Z35" s="752"/>
      <c r="AA35" s="753"/>
      <c r="AB35" s="753"/>
      <c r="AC35" s="753"/>
      <c r="AD35" s="854" t="str">
        <f t="shared" si="35"/>
        <v>.</v>
      </c>
      <c r="AE35" s="860"/>
      <c r="AF35" s="754"/>
      <c r="AG35" s="752"/>
      <c r="AH35" s="755" t="str">
        <f t="shared" si="42"/>
        <v>.</v>
      </c>
      <c r="AI35" s="752"/>
      <c r="AJ35" s="753"/>
      <c r="AK35" s="753"/>
      <c r="AL35" s="753"/>
      <c r="AM35" s="854" t="str">
        <f t="shared" si="36"/>
        <v>.</v>
      </c>
      <c r="AN35" s="860"/>
      <c r="AO35" s="754"/>
      <c r="AP35" s="752"/>
      <c r="AQ35" s="755" t="str">
        <f t="shared" si="43"/>
        <v>.</v>
      </c>
      <c r="AR35" s="752"/>
      <c r="AS35" s="753"/>
      <c r="AT35" s="753"/>
      <c r="AU35" s="753"/>
      <c r="AV35" s="854" t="str">
        <f t="shared" si="37"/>
        <v>.</v>
      </c>
      <c r="AW35" s="860"/>
      <c r="AX35" s="754"/>
      <c r="AY35" s="752"/>
      <c r="AZ35" s="755" t="str">
        <f t="shared" si="44"/>
        <v>.</v>
      </c>
      <c r="BA35" s="752"/>
      <c r="BB35" s="753"/>
      <c r="BC35" s="753"/>
      <c r="BD35" s="753"/>
      <c r="BE35" s="854" t="str">
        <f t="shared" si="38"/>
        <v>.</v>
      </c>
      <c r="BF35" s="3"/>
    </row>
    <row r="36" spans="1:58" ht="12" x14ac:dyDescent="0.2">
      <c r="A36" s="841"/>
      <c r="B36" s="769" t="s">
        <v>579</v>
      </c>
      <c r="C36" s="820" t="str">
        <f>IF('WS3 - Notional General Income'!C35="","",'WS3 - Notional General Income'!C35)</f>
        <v/>
      </c>
      <c r="D36" s="860"/>
      <c r="E36" s="754"/>
      <c r="F36" s="752"/>
      <c r="G36" s="755" t="str">
        <f t="shared" si="39"/>
        <v>.</v>
      </c>
      <c r="H36" s="752"/>
      <c r="I36" s="753"/>
      <c r="J36" s="753"/>
      <c r="K36" s="753"/>
      <c r="L36" s="854" t="str">
        <f t="shared" si="33"/>
        <v>.</v>
      </c>
      <c r="M36" s="860"/>
      <c r="N36" s="754"/>
      <c r="O36" s="752"/>
      <c r="P36" s="755" t="str">
        <f t="shared" si="40"/>
        <v>.</v>
      </c>
      <c r="Q36" s="752"/>
      <c r="R36" s="753"/>
      <c r="S36" s="753"/>
      <c r="T36" s="753"/>
      <c r="U36" s="854" t="str">
        <f t="shared" si="34"/>
        <v>.</v>
      </c>
      <c r="V36" s="860"/>
      <c r="W36" s="754"/>
      <c r="X36" s="752"/>
      <c r="Y36" s="755" t="str">
        <f t="shared" si="41"/>
        <v>.</v>
      </c>
      <c r="Z36" s="752"/>
      <c r="AA36" s="753"/>
      <c r="AB36" s="753"/>
      <c r="AC36" s="753"/>
      <c r="AD36" s="854" t="str">
        <f t="shared" si="35"/>
        <v>.</v>
      </c>
      <c r="AE36" s="860"/>
      <c r="AF36" s="754"/>
      <c r="AG36" s="752"/>
      <c r="AH36" s="755" t="str">
        <f t="shared" si="42"/>
        <v>.</v>
      </c>
      <c r="AI36" s="752"/>
      <c r="AJ36" s="753"/>
      <c r="AK36" s="753"/>
      <c r="AL36" s="753"/>
      <c r="AM36" s="854" t="str">
        <f t="shared" si="36"/>
        <v>.</v>
      </c>
      <c r="AN36" s="860"/>
      <c r="AO36" s="754"/>
      <c r="AP36" s="752"/>
      <c r="AQ36" s="755" t="str">
        <f t="shared" si="43"/>
        <v>.</v>
      </c>
      <c r="AR36" s="752"/>
      <c r="AS36" s="753"/>
      <c r="AT36" s="753"/>
      <c r="AU36" s="753"/>
      <c r="AV36" s="854" t="str">
        <f t="shared" si="37"/>
        <v>.</v>
      </c>
      <c r="AW36" s="860"/>
      <c r="AX36" s="754"/>
      <c r="AY36" s="752"/>
      <c r="AZ36" s="755" t="str">
        <f t="shared" si="44"/>
        <v>.</v>
      </c>
      <c r="BA36" s="752"/>
      <c r="BB36" s="753"/>
      <c r="BC36" s="753"/>
      <c r="BD36" s="753"/>
      <c r="BE36" s="854" t="str">
        <f t="shared" si="38"/>
        <v>.</v>
      </c>
      <c r="BF36" s="3"/>
    </row>
    <row r="37" spans="1:58" ht="12" x14ac:dyDescent="0.2">
      <c r="A37" s="841"/>
      <c r="B37" s="769" t="s">
        <v>579</v>
      </c>
      <c r="C37" s="820" t="str">
        <f>IF('WS3 - Notional General Income'!C36="","",'WS3 - Notional General Income'!C36)</f>
        <v/>
      </c>
      <c r="D37" s="860"/>
      <c r="E37" s="754"/>
      <c r="F37" s="752"/>
      <c r="G37" s="755" t="str">
        <f t="shared" si="39"/>
        <v>.</v>
      </c>
      <c r="H37" s="752"/>
      <c r="I37" s="753"/>
      <c r="J37" s="753"/>
      <c r="K37" s="753"/>
      <c r="L37" s="854" t="str">
        <f t="shared" si="33"/>
        <v>.</v>
      </c>
      <c r="M37" s="860"/>
      <c r="N37" s="754"/>
      <c r="O37" s="752"/>
      <c r="P37" s="755" t="str">
        <f t="shared" si="40"/>
        <v>.</v>
      </c>
      <c r="Q37" s="752"/>
      <c r="R37" s="753"/>
      <c r="S37" s="753"/>
      <c r="T37" s="753"/>
      <c r="U37" s="854" t="str">
        <f t="shared" si="34"/>
        <v>.</v>
      </c>
      <c r="V37" s="860"/>
      <c r="W37" s="754"/>
      <c r="X37" s="752"/>
      <c r="Y37" s="755" t="str">
        <f t="shared" si="41"/>
        <v>.</v>
      </c>
      <c r="Z37" s="752"/>
      <c r="AA37" s="753"/>
      <c r="AB37" s="753"/>
      <c r="AC37" s="753"/>
      <c r="AD37" s="854" t="str">
        <f t="shared" si="35"/>
        <v>.</v>
      </c>
      <c r="AE37" s="860"/>
      <c r="AF37" s="754"/>
      <c r="AG37" s="752"/>
      <c r="AH37" s="755" t="str">
        <f t="shared" si="42"/>
        <v>.</v>
      </c>
      <c r="AI37" s="752"/>
      <c r="AJ37" s="753"/>
      <c r="AK37" s="753"/>
      <c r="AL37" s="753"/>
      <c r="AM37" s="854" t="str">
        <f t="shared" si="36"/>
        <v>.</v>
      </c>
      <c r="AN37" s="860"/>
      <c r="AO37" s="754"/>
      <c r="AP37" s="752"/>
      <c r="AQ37" s="755" t="str">
        <f t="shared" si="43"/>
        <v>.</v>
      </c>
      <c r="AR37" s="752"/>
      <c r="AS37" s="753"/>
      <c r="AT37" s="753"/>
      <c r="AU37" s="753"/>
      <c r="AV37" s="854" t="str">
        <f t="shared" si="37"/>
        <v>.</v>
      </c>
      <c r="AW37" s="860"/>
      <c r="AX37" s="754"/>
      <c r="AY37" s="752"/>
      <c r="AZ37" s="755" t="str">
        <f t="shared" si="44"/>
        <v>.</v>
      </c>
      <c r="BA37" s="752"/>
      <c r="BB37" s="753"/>
      <c r="BC37" s="753"/>
      <c r="BD37" s="753"/>
      <c r="BE37" s="854" t="str">
        <f t="shared" si="38"/>
        <v>.</v>
      </c>
      <c r="BF37" s="3"/>
    </row>
    <row r="38" spans="1:58" ht="12" x14ac:dyDescent="0.2">
      <c r="A38" s="841"/>
      <c r="B38" s="769" t="s">
        <v>579</v>
      </c>
      <c r="C38" s="820" t="str">
        <f>IF('WS3 - Notional General Income'!C37="","",'WS3 - Notional General Income'!C37)</f>
        <v/>
      </c>
      <c r="D38" s="860"/>
      <c r="E38" s="754"/>
      <c r="F38" s="752"/>
      <c r="G38" s="755" t="str">
        <f t="shared" si="39"/>
        <v>.</v>
      </c>
      <c r="H38" s="752"/>
      <c r="I38" s="753"/>
      <c r="J38" s="753"/>
      <c r="K38" s="753"/>
      <c r="L38" s="854" t="str">
        <f t="shared" si="33"/>
        <v>.</v>
      </c>
      <c r="M38" s="860"/>
      <c r="N38" s="754"/>
      <c r="O38" s="752"/>
      <c r="P38" s="755" t="str">
        <f t="shared" si="40"/>
        <v>.</v>
      </c>
      <c r="Q38" s="752"/>
      <c r="R38" s="753"/>
      <c r="S38" s="753"/>
      <c r="T38" s="753"/>
      <c r="U38" s="854" t="str">
        <f t="shared" si="34"/>
        <v>.</v>
      </c>
      <c r="V38" s="860"/>
      <c r="W38" s="754"/>
      <c r="X38" s="752"/>
      <c r="Y38" s="755" t="str">
        <f t="shared" si="41"/>
        <v>.</v>
      </c>
      <c r="Z38" s="752"/>
      <c r="AA38" s="753"/>
      <c r="AB38" s="753"/>
      <c r="AC38" s="753"/>
      <c r="AD38" s="854" t="str">
        <f t="shared" si="35"/>
        <v>.</v>
      </c>
      <c r="AE38" s="860"/>
      <c r="AF38" s="754"/>
      <c r="AG38" s="752"/>
      <c r="AH38" s="755" t="str">
        <f t="shared" si="42"/>
        <v>.</v>
      </c>
      <c r="AI38" s="752"/>
      <c r="AJ38" s="753"/>
      <c r="AK38" s="753"/>
      <c r="AL38" s="753"/>
      <c r="AM38" s="854" t="str">
        <f t="shared" si="36"/>
        <v>.</v>
      </c>
      <c r="AN38" s="860"/>
      <c r="AO38" s="754"/>
      <c r="AP38" s="752"/>
      <c r="AQ38" s="755" t="str">
        <f t="shared" si="43"/>
        <v>.</v>
      </c>
      <c r="AR38" s="752"/>
      <c r="AS38" s="753"/>
      <c r="AT38" s="753"/>
      <c r="AU38" s="753"/>
      <c r="AV38" s="854" t="str">
        <f t="shared" si="37"/>
        <v>.</v>
      </c>
      <c r="AW38" s="860"/>
      <c r="AX38" s="754"/>
      <c r="AY38" s="752"/>
      <c r="AZ38" s="755" t="str">
        <f t="shared" si="44"/>
        <v>.</v>
      </c>
      <c r="BA38" s="752"/>
      <c r="BB38" s="753"/>
      <c r="BC38" s="753"/>
      <c r="BD38" s="753"/>
      <c r="BE38" s="854" t="str">
        <f t="shared" si="38"/>
        <v>.</v>
      </c>
      <c r="BF38" s="3"/>
    </row>
    <row r="39" spans="1:58" ht="12" x14ac:dyDescent="0.2">
      <c r="A39" s="841"/>
      <c r="B39" s="769" t="s">
        <v>579</v>
      </c>
      <c r="C39" s="820" t="str">
        <f>IF('WS3 - Notional General Income'!C38="","",'WS3 - Notional General Income'!C38)</f>
        <v/>
      </c>
      <c r="D39" s="860"/>
      <c r="E39" s="754"/>
      <c r="F39" s="752"/>
      <c r="G39" s="755" t="str">
        <f t="shared" si="39"/>
        <v>.</v>
      </c>
      <c r="H39" s="752"/>
      <c r="I39" s="753"/>
      <c r="J39" s="753"/>
      <c r="K39" s="753"/>
      <c r="L39" s="854" t="str">
        <f t="shared" si="33"/>
        <v>.</v>
      </c>
      <c r="M39" s="860"/>
      <c r="N39" s="754"/>
      <c r="O39" s="752"/>
      <c r="P39" s="755" t="str">
        <f t="shared" si="40"/>
        <v>.</v>
      </c>
      <c r="Q39" s="752"/>
      <c r="R39" s="753"/>
      <c r="S39" s="753"/>
      <c r="T39" s="753"/>
      <c r="U39" s="854" t="str">
        <f t="shared" si="34"/>
        <v>.</v>
      </c>
      <c r="V39" s="860"/>
      <c r="W39" s="754"/>
      <c r="X39" s="752"/>
      <c r="Y39" s="755" t="str">
        <f t="shared" si="41"/>
        <v>.</v>
      </c>
      <c r="Z39" s="752"/>
      <c r="AA39" s="753"/>
      <c r="AB39" s="753"/>
      <c r="AC39" s="753"/>
      <c r="AD39" s="854" t="str">
        <f t="shared" si="35"/>
        <v>.</v>
      </c>
      <c r="AE39" s="860"/>
      <c r="AF39" s="754"/>
      <c r="AG39" s="752"/>
      <c r="AH39" s="755" t="str">
        <f t="shared" si="42"/>
        <v>.</v>
      </c>
      <c r="AI39" s="752"/>
      <c r="AJ39" s="753"/>
      <c r="AK39" s="753"/>
      <c r="AL39" s="753"/>
      <c r="AM39" s="854" t="str">
        <f t="shared" si="36"/>
        <v>.</v>
      </c>
      <c r="AN39" s="860"/>
      <c r="AO39" s="754"/>
      <c r="AP39" s="752"/>
      <c r="AQ39" s="755" t="str">
        <f t="shared" si="43"/>
        <v>.</v>
      </c>
      <c r="AR39" s="752"/>
      <c r="AS39" s="753"/>
      <c r="AT39" s="753"/>
      <c r="AU39" s="753"/>
      <c r="AV39" s="854" t="str">
        <f t="shared" si="37"/>
        <v>.</v>
      </c>
      <c r="AW39" s="860"/>
      <c r="AX39" s="754"/>
      <c r="AY39" s="752"/>
      <c r="AZ39" s="755" t="str">
        <f t="shared" si="44"/>
        <v>.</v>
      </c>
      <c r="BA39" s="752"/>
      <c r="BB39" s="753"/>
      <c r="BC39" s="753"/>
      <c r="BD39" s="753"/>
      <c r="BE39" s="854" t="str">
        <f t="shared" si="38"/>
        <v>.</v>
      </c>
      <c r="BF39" s="3"/>
    </row>
    <row r="40" spans="1:58" ht="12" x14ac:dyDescent="0.2">
      <c r="A40" s="841"/>
      <c r="B40" s="769" t="s">
        <v>579</v>
      </c>
      <c r="C40" s="820" t="str">
        <f>IF('WS3 - Notional General Income'!C39="","",'WS3 - Notional General Income'!C39)</f>
        <v/>
      </c>
      <c r="D40" s="860"/>
      <c r="E40" s="754"/>
      <c r="F40" s="752"/>
      <c r="G40" s="755" t="str">
        <f t="shared" si="39"/>
        <v>.</v>
      </c>
      <c r="H40" s="752"/>
      <c r="I40" s="753"/>
      <c r="J40" s="753"/>
      <c r="K40" s="753"/>
      <c r="L40" s="854" t="str">
        <f t="shared" si="33"/>
        <v>.</v>
      </c>
      <c r="M40" s="860"/>
      <c r="N40" s="754"/>
      <c r="O40" s="752"/>
      <c r="P40" s="755" t="str">
        <f t="shared" si="40"/>
        <v>.</v>
      </c>
      <c r="Q40" s="752"/>
      <c r="R40" s="753"/>
      <c r="S40" s="753"/>
      <c r="T40" s="753"/>
      <c r="U40" s="854" t="str">
        <f t="shared" si="34"/>
        <v>.</v>
      </c>
      <c r="V40" s="860"/>
      <c r="W40" s="754"/>
      <c r="X40" s="752"/>
      <c r="Y40" s="755" t="str">
        <f t="shared" si="41"/>
        <v>.</v>
      </c>
      <c r="Z40" s="752"/>
      <c r="AA40" s="753"/>
      <c r="AB40" s="753"/>
      <c r="AC40" s="753"/>
      <c r="AD40" s="854" t="str">
        <f t="shared" si="35"/>
        <v>.</v>
      </c>
      <c r="AE40" s="860"/>
      <c r="AF40" s="754"/>
      <c r="AG40" s="752"/>
      <c r="AH40" s="755" t="str">
        <f t="shared" si="42"/>
        <v>.</v>
      </c>
      <c r="AI40" s="752"/>
      <c r="AJ40" s="753"/>
      <c r="AK40" s="753"/>
      <c r="AL40" s="753"/>
      <c r="AM40" s="854" t="str">
        <f t="shared" si="36"/>
        <v>.</v>
      </c>
      <c r="AN40" s="860"/>
      <c r="AO40" s="754"/>
      <c r="AP40" s="752"/>
      <c r="AQ40" s="755" t="str">
        <f t="shared" si="43"/>
        <v>.</v>
      </c>
      <c r="AR40" s="752"/>
      <c r="AS40" s="753"/>
      <c r="AT40" s="753"/>
      <c r="AU40" s="753"/>
      <c r="AV40" s="854" t="str">
        <f t="shared" si="37"/>
        <v>.</v>
      </c>
      <c r="AW40" s="860"/>
      <c r="AX40" s="754"/>
      <c r="AY40" s="752"/>
      <c r="AZ40" s="755" t="str">
        <f t="shared" si="44"/>
        <v>.</v>
      </c>
      <c r="BA40" s="752"/>
      <c r="BB40" s="753"/>
      <c r="BC40" s="753"/>
      <c r="BD40" s="753"/>
      <c r="BE40" s="854" t="str">
        <f t="shared" si="38"/>
        <v>.</v>
      </c>
      <c r="BF40" s="3"/>
    </row>
    <row r="41" spans="1:58" ht="12" x14ac:dyDescent="0.2">
      <c r="A41" s="841"/>
      <c r="B41" s="769" t="s">
        <v>579</v>
      </c>
      <c r="C41" s="820" t="str">
        <f>IF('WS3 - Notional General Income'!C40="","",'WS3 - Notional General Income'!C40)</f>
        <v/>
      </c>
      <c r="D41" s="860"/>
      <c r="E41" s="754"/>
      <c r="F41" s="752"/>
      <c r="G41" s="755" t="str">
        <f t="shared" si="39"/>
        <v>.</v>
      </c>
      <c r="H41" s="752"/>
      <c r="I41" s="753"/>
      <c r="J41" s="753"/>
      <c r="K41" s="753"/>
      <c r="L41" s="854" t="str">
        <f t="shared" si="33"/>
        <v>.</v>
      </c>
      <c r="M41" s="860"/>
      <c r="N41" s="754"/>
      <c r="O41" s="752"/>
      <c r="P41" s="755" t="str">
        <f t="shared" si="40"/>
        <v>.</v>
      </c>
      <c r="Q41" s="752"/>
      <c r="R41" s="753"/>
      <c r="S41" s="753"/>
      <c r="T41" s="753"/>
      <c r="U41" s="854" t="str">
        <f t="shared" si="34"/>
        <v>.</v>
      </c>
      <c r="V41" s="860"/>
      <c r="W41" s="754"/>
      <c r="X41" s="752"/>
      <c r="Y41" s="755" t="str">
        <f t="shared" si="41"/>
        <v>.</v>
      </c>
      <c r="Z41" s="752"/>
      <c r="AA41" s="753"/>
      <c r="AB41" s="753"/>
      <c r="AC41" s="753"/>
      <c r="AD41" s="854" t="str">
        <f t="shared" si="35"/>
        <v>.</v>
      </c>
      <c r="AE41" s="860"/>
      <c r="AF41" s="754"/>
      <c r="AG41" s="752"/>
      <c r="AH41" s="755" t="str">
        <f t="shared" si="42"/>
        <v>.</v>
      </c>
      <c r="AI41" s="752"/>
      <c r="AJ41" s="753"/>
      <c r="AK41" s="753"/>
      <c r="AL41" s="753"/>
      <c r="AM41" s="854" t="str">
        <f t="shared" si="36"/>
        <v>.</v>
      </c>
      <c r="AN41" s="860"/>
      <c r="AO41" s="754"/>
      <c r="AP41" s="752"/>
      <c r="AQ41" s="755" t="str">
        <f t="shared" si="43"/>
        <v>.</v>
      </c>
      <c r="AR41" s="752"/>
      <c r="AS41" s="753"/>
      <c r="AT41" s="753"/>
      <c r="AU41" s="753"/>
      <c r="AV41" s="854" t="str">
        <f t="shared" si="37"/>
        <v>.</v>
      </c>
      <c r="AW41" s="860"/>
      <c r="AX41" s="754"/>
      <c r="AY41" s="752"/>
      <c r="AZ41" s="755" t="str">
        <f t="shared" si="44"/>
        <v>.</v>
      </c>
      <c r="BA41" s="752"/>
      <c r="BB41" s="753"/>
      <c r="BC41" s="753"/>
      <c r="BD41" s="753"/>
      <c r="BE41" s="854" t="str">
        <f t="shared" si="38"/>
        <v>.</v>
      </c>
      <c r="BF41" s="3"/>
    </row>
    <row r="42" spans="1:58" s="6" customFormat="1" ht="12" x14ac:dyDescent="0.2">
      <c r="A42" s="841"/>
      <c r="B42" s="757"/>
      <c r="C42" s="883" t="s">
        <v>580</v>
      </c>
      <c r="D42" s="863">
        <f>SUM(D22:D41)</f>
        <v>29428</v>
      </c>
      <c r="E42" s="738"/>
      <c r="F42" s="739"/>
      <c r="G42" s="740"/>
      <c r="H42" s="739"/>
      <c r="I42" s="737">
        <f>SUM(I22:I41)</f>
        <v>16449</v>
      </c>
      <c r="J42" s="737">
        <f>SUM(J22:J41)</f>
        <v>41955718018</v>
      </c>
      <c r="K42" s="737">
        <f>SUM(K22:K41)</f>
        <v>7978632695</v>
      </c>
      <c r="L42" s="856">
        <f>SUM(L22:L41)</f>
        <v>37920326.867737859</v>
      </c>
      <c r="M42" s="863">
        <f>SUM(M22:M41)</f>
        <v>29428</v>
      </c>
      <c r="N42" s="738"/>
      <c r="O42" s="739"/>
      <c r="P42" s="740"/>
      <c r="Q42" s="739"/>
      <c r="R42" s="737">
        <f>SUM(R22:R41)</f>
        <v>16449</v>
      </c>
      <c r="S42" s="737">
        <f>SUM(S22:S41)</f>
        <v>41955718018</v>
      </c>
      <c r="T42" s="737">
        <f t="shared" ref="T42:U42" si="45">SUM(T22:T41)</f>
        <v>7978632695</v>
      </c>
      <c r="U42" s="856">
        <f t="shared" si="45"/>
        <v>39057936.673770003</v>
      </c>
      <c r="V42" s="863">
        <f>SUM(V22:V41)</f>
        <v>29428</v>
      </c>
      <c r="W42" s="738"/>
      <c r="X42" s="739"/>
      <c r="Y42" s="740"/>
      <c r="Z42" s="739"/>
      <c r="AA42" s="737">
        <f>SUM(AA22:AA41)</f>
        <v>16449</v>
      </c>
      <c r="AB42" s="737">
        <f>SUM(AB22:AB41)</f>
        <v>41955718018</v>
      </c>
      <c r="AC42" s="737">
        <f t="shared" ref="AC42:AD42" si="46">SUM(AC22:AC41)</f>
        <v>7978632695</v>
      </c>
      <c r="AD42" s="856">
        <f t="shared" si="46"/>
        <v>40229674.773983099</v>
      </c>
      <c r="AE42" s="863">
        <f>SUM(AE22:AE41)</f>
        <v>29428</v>
      </c>
      <c r="AF42" s="738"/>
      <c r="AG42" s="739"/>
      <c r="AH42" s="740"/>
      <c r="AI42" s="739"/>
      <c r="AJ42" s="737">
        <f>SUM(AJ22:AJ41)</f>
        <v>16449</v>
      </c>
      <c r="AK42" s="737">
        <f>SUM(AK22:AK41)</f>
        <v>41955718018</v>
      </c>
      <c r="AL42" s="737">
        <f t="shared" ref="AL42:AM42" si="47">SUM(AL22:AL41)</f>
        <v>7978632695</v>
      </c>
      <c r="AM42" s="856">
        <f t="shared" si="47"/>
        <v>41436565.017202593</v>
      </c>
      <c r="AN42" s="863">
        <f>SUM(AN22:AN41)</f>
        <v>29428</v>
      </c>
      <c r="AO42" s="738"/>
      <c r="AP42" s="739"/>
      <c r="AQ42" s="740"/>
      <c r="AR42" s="739"/>
      <c r="AS42" s="737">
        <f>SUM(AS22:AS41)</f>
        <v>16449</v>
      </c>
      <c r="AT42" s="737">
        <f>SUM(AT22:AT41)</f>
        <v>41955718018</v>
      </c>
      <c r="AU42" s="737">
        <f t="shared" ref="AU42:AV42" si="48">SUM(AU22:AU41)</f>
        <v>7978632695</v>
      </c>
      <c r="AV42" s="856">
        <f t="shared" si="48"/>
        <v>42679661.967718676</v>
      </c>
      <c r="AW42" s="863">
        <f>SUM(AW22:AW41)</f>
        <v>29428</v>
      </c>
      <c r="AX42" s="738"/>
      <c r="AY42" s="739"/>
      <c r="AZ42" s="740"/>
      <c r="BA42" s="739"/>
      <c r="BB42" s="737">
        <f>SUM(BB22:BB41)</f>
        <v>16449</v>
      </c>
      <c r="BC42" s="737">
        <f>SUM(BC22:BC41)</f>
        <v>41955718018</v>
      </c>
      <c r="BD42" s="737">
        <f t="shared" ref="BD42:BE42" si="49">SUM(BD22:BD41)</f>
        <v>7978632695</v>
      </c>
      <c r="BE42" s="856">
        <f t="shared" si="49"/>
        <v>43960051.826750241</v>
      </c>
      <c r="BF42" s="2"/>
    </row>
    <row r="43" spans="1:58" ht="12" x14ac:dyDescent="0.2">
      <c r="A43" s="841"/>
      <c r="B43" s="769" t="s">
        <v>581</v>
      </c>
      <c r="C43" s="820" t="str">
        <f>IF('WS3 - Notional General Income'!C42="","",'WS3 - Notional General Income'!C42)</f>
        <v>Business</v>
      </c>
      <c r="D43" s="860">
        <f>'WS4 - Yr 1 YIELD'!D39</f>
        <v>1951</v>
      </c>
      <c r="E43" s="754">
        <f>'WS4 - Yr 1 YIELD'!E39*1.03</f>
        <v>0.41805742999999995</v>
      </c>
      <c r="F43" s="752"/>
      <c r="G43" s="755" t="str">
        <f t="shared" si="39"/>
        <v>.</v>
      </c>
      <c r="H43" s="752">
        <f>'WS4 - Yr 1 YIELD'!H39*1.03</f>
        <v>1484.7707499999999</v>
      </c>
      <c r="I43" s="753">
        <f>'WS4 - Yr 1 YIELD'!I39</f>
        <v>522</v>
      </c>
      <c r="J43" s="753">
        <f>'WS4 - Yr 1 YIELD'!J39</f>
        <v>3487093822</v>
      </c>
      <c r="K43" s="753">
        <f>'WS4 - Yr 1 YIELD'!K39</f>
        <v>87403345</v>
      </c>
      <c r="L43" s="854">
        <f t="shared" ref="L43:L67" si="50">IF(D43="",".",IF(F43&lt;&gt;"",F43*D43+J43*(E43/100),(J43-K43)*(E43/100)+H43*I43))</f>
        <v>14987708.96760094</v>
      </c>
      <c r="M43" s="860">
        <f>D43</f>
        <v>1951</v>
      </c>
      <c r="N43" s="754">
        <f>E43*1.03</f>
        <v>0.43059915289999995</v>
      </c>
      <c r="O43" s="752"/>
      <c r="P43" s="755" t="str">
        <f t="shared" ref="P43:P67" si="51">IF(O43="",".",M43*O43/U43)</f>
        <v>.</v>
      </c>
      <c r="Q43" s="752">
        <f>H43*1.03</f>
        <v>1529.3138724999999</v>
      </c>
      <c r="R43" s="753">
        <f t="shared" ref="R43:T44" si="52">I43</f>
        <v>522</v>
      </c>
      <c r="S43" s="753">
        <f t="shared" si="52"/>
        <v>3487093822</v>
      </c>
      <c r="T43" s="753">
        <f t="shared" si="52"/>
        <v>87403345</v>
      </c>
      <c r="U43" s="854">
        <f t="shared" si="34"/>
        <v>15437340.236628968</v>
      </c>
      <c r="V43" s="860">
        <f>M43</f>
        <v>1951</v>
      </c>
      <c r="W43" s="754">
        <f>N43*1.03</f>
        <v>0.44351712748699995</v>
      </c>
      <c r="X43" s="752"/>
      <c r="Y43" s="755" t="str">
        <f t="shared" ref="Y43:Y67" si="53">IF(X43="",".",V43*X43/AD43)</f>
        <v>.</v>
      </c>
      <c r="Z43" s="752">
        <f>Q43*1.03</f>
        <v>1575.1932886749998</v>
      </c>
      <c r="AA43" s="753">
        <f t="shared" ref="AA43:AC44" si="54">R43</f>
        <v>522</v>
      </c>
      <c r="AB43" s="753">
        <f t="shared" si="54"/>
        <v>3487093822</v>
      </c>
      <c r="AC43" s="753">
        <f t="shared" si="54"/>
        <v>87403345</v>
      </c>
      <c r="AD43" s="854">
        <f t="shared" ref="AD43:AD67" si="55">IF(V43="",".",IF(X43&lt;&gt;"",X43*V43+AB43*(W43/100),(AB43-AC43)*(W43/100)+Z43*AA43))</f>
        <v>15900460.443727838</v>
      </c>
      <c r="AE43" s="860">
        <f>V43</f>
        <v>1951</v>
      </c>
      <c r="AF43" s="754">
        <f>W43*1.03</f>
        <v>0.45682264131160999</v>
      </c>
      <c r="AG43" s="752"/>
      <c r="AH43" s="755" t="str">
        <f t="shared" ref="AH43:AH67" si="56">IF(AG43="",".",AE43*AG43/AM43)</f>
        <v>.</v>
      </c>
      <c r="AI43" s="752">
        <f>Z43*1.03</f>
        <v>1622.4490873352499</v>
      </c>
      <c r="AJ43" s="753">
        <f t="shared" ref="AJ43:AL44" si="57">AA43</f>
        <v>522</v>
      </c>
      <c r="AK43" s="753">
        <f t="shared" si="57"/>
        <v>3487093822</v>
      </c>
      <c r="AL43" s="753">
        <f t="shared" si="57"/>
        <v>87403345</v>
      </c>
      <c r="AM43" s="854">
        <f t="shared" ref="AM43:AM67" si="58">IF(AE43="",".",IF(AG43&lt;&gt;"",AG43*AE43+AK43*(AF43/100),(AK43-AL43)*(AF43/100)+AI43*AJ43))</f>
        <v>16377474.257039674</v>
      </c>
      <c r="AN43" s="860">
        <v>1951</v>
      </c>
      <c r="AO43" s="754">
        <f>AF43*1.03</f>
        <v>0.47052732055095831</v>
      </c>
      <c r="AP43" s="752"/>
      <c r="AQ43" s="755" t="str">
        <f t="shared" ref="AQ43:AQ67" si="59">IF(AP43="",".",AN43*AP43/AV43)</f>
        <v>.</v>
      </c>
      <c r="AR43" s="752">
        <f>AI43*1.03</f>
        <v>1671.1225599553075</v>
      </c>
      <c r="AS43" s="753">
        <v>522</v>
      </c>
      <c r="AT43" s="753">
        <v>3487093822</v>
      </c>
      <c r="AU43" s="753">
        <v>87403345</v>
      </c>
      <c r="AV43" s="854">
        <f t="shared" ref="AV43:AV67" si="60">IF(AN43="",".",IF(AP43&lt;&gt;"",AP43*AN43+AT43*(AO43/100),(AT43-AU43)*(AO43/100)+AR43*AS43))</f>
        <v>16868798.484750863</v>
      </c>
      <c r="AW43" s="860">
        <v>1951</v>
      </c>
      <c r="AX43" s="754">
        <f>AO43*1.03</f>
        <v>0.48464314016748705</v>
      </c>
      <c r="AY43" s="752"/>
      <c r="AZ43" s="755" t="str">
        <f t="shared" ref="AZ43:AZ67" si="61">IF(AY43="",".",AW43*AY43/BE43)</f>
        <v>.</v>
      </c>
      <c r="BA43" s="752">
        <f>AR43*1.03</f>
        <v>1721.2562367539667</v>
      </c>
      <c r="BB43" s="753">
        <v>522</v>
      </c>
      <c r="BC43" s="753">
        <v>3487093822</v>
      </c>
      <c r="BD43" s="753">
        <v>87403345</v>
      </c>
      <c r="BE43" s="854">
        <f t="shared" ref="BE43:BE67" si="62">IF(AW43="",".",IF(AY43&lt;&gt;"",AY43*AW43+BC43*(AX43/100),(BC43-BD43)*(AX43/100)+BA43*BB43))</f>
        <v>17374862.439293388</v>
      </c>
      <c r="BF43" s="3"/>
    </row>
    <row r="44" spans="1:58" ht="12" x14ac:dyDescent="0.2">
      <c r="A44" s="841"/>
      <c r="B44" s="769" t="s">
        <v>581</v>
      </c>
      <c r="C44" s="820" t="str">
        <f>IF('WS3 - Notional General Income'!C43="","",'WS3 - Notional General Income'!C43)</f>
        <v>Chatswood Town Centre</v>
      </c>
      <c r="D44" s="860">
        <f>'WS4 - Yr 1 YIELD'!D40</f>
        <v>954</v>
      </c>
      <c r="E44" s="754">
        <f>'WS4 - Yr 1 YIELD'!E40*1.03</f>
        <v>0.76554234999999993</v>
      </c>
      <c r="F44" s="752"/>
      <c r="G44" s="755" t="str">
        <f t="shared" si="39"/>
        <v>.</v>
      </c>
      <c r="H44" s="752">
        <f>'WS4 - Yr 1 YIELD'!H40*1.03</f>
        <v>1585.4532499999998</v>
      </c>
      <c r="I44" s="753">
        <f>'WS4 - Yr 1 YIELD'!I40</f>
        <v>537</v>
      </c>
      <c r="J44" s="753">
        <f>'WS4 - Yr 1 YIELD'!J40</f>
        <v>1106659971</v>
      </c>
      <c r="K44" s="753">
        <f>'WS4 - Yr 1 YIELD'!K40</f>
        <v>66106560</v>
      </c>
      <c r="L44" s="854">
        <f t="shared" si="50"/>
        <v>8817265.4308245573</v>
      </c>
      <c r="M44" s="860">
        <f>D44</f>
        <v>954</v>
      </c>
      <c r="N44" s="754">
        <f>E44*1.03</f>
        <v>0.78850862049999992</v>
      </c>
      <c r="O44" s="752"/>
      <c r="P44" s="755" t="str">
        <f t="shared" si="51"/>
        <v>.</v>
      </c>
      <c r="Q44" s="752">
        <f>H44*1.03</f>
        <v>1633.0168474999998</v>
      </c>
      <c r="R44" s="753">
        <f t="shared" si="52"/>
        <v>537</v>
      </c>
      <c r="S44" s="753">
        <f t="shared" si="52"/>
        <v>1106659971</v>
      </c>
      <c r="T44" s="753">
        <f t="shared" si="52"/>
        <v>66106560</v>
      </c>
      <c r="U44" s="854">
        <f t="shared" si="34"/>
        <v>9081783.3937492948</v>
      </c>
      <c r="V44" s="860">
        <f>M44</f>
        <v>954</v>
      </c>
      <c r="W44" s="754">
        <f>N44*1.03</f>
        <v>0.81216387911499999</v>
      </c>
      <c r="X44" s="752"/>
      <c r="Y44" s="755" t="str">
        <f t="shared" si="53"/>
        <v>.</v>
      </c>
      <c r="Z44" s="752">
        <f>Q44*1.03</f>
        <v>1682.0073529249999</v>
      </c>
      <c r="AA44" s="753">
        <f t="shared" si="54"/>
        <v>537</v>
      </c>
      <c r="AB44" s="1635">
        <f t="shared" si="54"/>
        <v>1106659971</v>
      </c>
      <c r="AC44" s="1635">
        <f t="shared" si="54"/>
        <v>66106560</v>
      </c>
      <c r="AD44" s="854">
        <f t="shared" si="55"/>
        <v>9354236.8955617752</v>
      </c>
      <c r="AE44" s="860">
        <f>V44</f>
        <v>954</v>
      </c>
      <c r="AF44" s="754">
        <f>W44*1.03</f>
        <v>0.83652879548845005</v>
      </c>
      <c r="AG44" s="752"/>
      <c r="AH44" s="755" t="str">
        <f t="shared" si="56"/>
        <v>.</v>
      </c>
      <c r="AI44" s="752">
        <f>Z44*1.03</f>
        <v>1732.4675735127498</v>
      </c>
      <c r="AJ44" s="753">
        <f t="shared" si="57"/>
        <v>537</v>
      </c>
      <c r="AK44" s="753">
        <f t="shared" si="57"/>
        <v>1106659971</v>
      </c>
      <c r="AL44" s="753">
        <f t="shared" si="57"/>
        <v>66106560</v>
      </c>
      <c r="AM44" s="854">
        <f t="shared" si="58"/>
        <v>9634864.0024286285</v>
      </c>
      <c r="AN44" s="860">
        <v>954</v>
      </c>
      <c r="AO44" s="754">
        <f>AF44*1.03</f>
        <v>0.86162465935310362</v>
      </c>
      <c r="AP44" s="752"/>
      <c r="AQ44" s="755" t="str">
        <f t="shared" si="59"/>
        <v>.</v>
      </c>
      <c r="AR44" s="752">
        <f>AI44*1.03</f>
        <v>1784.4416007181323</v>
      </c>
      <c r="AS44" s="753">
        <v>537</v>
      </c>
      <c r="AT44" s="1635">
        <f>AK44</f>
        <v>1106659971</v>
      </c>
      <c r="AU44" s="1635">
        <f>AL44</f>
        <v>66106560</v>
      </c>
      <c r="AV44" s="854">
        <f t="shared" si="60"/>
        <v>9923909.9225014858</v>
      </c>
      <c r="AW44" s="860">
        <v>954</v>
      </c>
      <c r="AX44" s="754">
        <f>AO44*1.03</f>
        <v>0.88747339913369672</v>
      </c>
      <c r="AY44" s="752"/>
      <c r="AZ44" s="755" t="str">
        <f t="shared" si="61"/>
        <v>.</v>
      </c>
      <c r="BA44" s="752">
        <f>AR44*1.03</f>
        <v>1837.9748487396764</v>
      </c>
      <c r="BB44" s="753">
        <v>537</v>
      </c>
      <c r="BC44" s="1635">
        <f>AT44</f>
        <v>1106659971</v>
      </c>
      <c r="BD44" s="1635">
        <f>AU44</f>
        <v>66106560</v>
      </c>
      <c r="BE44" s="854">
        <f t="shared" si="62"/>
        <v>10221627.220176533</v>
      </c>
      <c r="BF44" s="3"/>
    </row>
    <row r="45" spans="1:58" ht="12" x14ac:dyDescent="0.2">
      <c r="A45" s="841"/>
      <c r="B45" s="769" t="s">
        <v>581</v>
      </c>
      <c r="C45" s="820" t="str">
        <f>IF('WS3 - Notional General Income'!C44="","",'WS3 - Notional General Income'!C44)</f>
        <v>Chatswood Major Retail - Chase</v>
      </c>
      <c r="D45" s="860">
        <f>'WS4 - Yr 1 YIELD'!D41</f>
        <v>1</v>
      </c>
      <c r="E45" s="754">
        <f>'WS4 - Yr 1 YIELD'!E41*1.03</f>
        <v>2.336461785</v>
      </c>
      <c r="F45" s="752"/>
      <c r="G45" s="755" t="str">
        <f t="shared" si="39"/>
        <v>.</v>
      </c>
      <c r="H45" s="752">
        <f>'WS4 - Yr 1 YIELD'!H41*1.03</f>
        <v>1328.7128749999999</v>
      </c>
      <c r="I45" s="753">
        <f>'WS4 - Yr 1 YIELD'!I41</f>
        <v>0</v>
      </c>
      <c r="J45" s="753">
        <f>'WS4 - Yr 1 YIELD'!J41</f>
        <v>47700000</v>
      </c>
      <c r="K45" s="753"/>
      <c r="L45" s="854">
        <f t="shared" si="50"/>
        <v>1114492.2714450001</v>
      </c>
      <c r="M45" s="860">
        <f>D45</f>
        <v>1</v>
      </c>
      <c r="N45" s="754">
        <f>E45*1.03</f>
        <v>2.40655563855</v>
      </c>
      <c r="O45" s="752"/>
      <c r="P45" s="755" t="str">
        <f t="shared" si="51"/>
        <v>.</v>
      </c>
      <c r="Q45" s="752">
        <f>H45*1.03</f>
        <v>1368.5742612500001</v>
      </c>
      <c r="R45" s="753">
        <v>0</v>
      </c>
      <c r="S45" s="753">
        <f>J45</f>
        <v>47700000</v>
      </c>
      <c r="T45" s="753"/>
      <c r="U45" s="854">
        <f t="shared" si="34"/>
        <v>1147927.0395883499</v>
      </c>
      <c r="V45" s="860">
        <f>M45</f>
        <v>1</v>
      </c>
      <c r="W45" s="754">
        <f>N45*1.03</f>
        <v>2.4787523077064999</v>
      </c>
      <c r="X45" s="752"/>
      <c r="Y45" s="755" t="str">
        <f t="shared" si="53"/>
        <v>.</v>
      </c>
      <c r="Z45" s="752">
        <f>Q45*1.03</f>
        <v>1409.6314890875001</v>
      </c>
      <c r="AA45" s="753">
        <v>0</v>
      </c>
      <c r="AB45" s="753">
        <f>S45</f>
        <v>47700000</v>
      </c>
      <c r="AC45" s="753"/>
      <c r="AD45" s="854">
        <f t="shared" si="55"/>
        <v>1182364.8507760004</v>
      </c>
      <c r="AE45" s="860">
        <f>V45</f>
        <v>1</v>
      </c>
      <c r="AF45" s="754">
        <f>W45*1.03</f>
        <v>2.5531148769376948</v>
      </c>
      <c r="AG45" s="752"/>
      <c r="AH45" s="755" t="str">
        <f t="shared" si="56"/>
        <v>.</v>
      </c>
      <c r="AI45" s="752">
        <f>Z45*1.03</f>
        <v>1451.9204337601252</v>
      </c>
      <c r="AJ45" s="753">
        <v>0</v>
      </c>
      <c r="AK45" s="753">
        <f>AB45</f>
        <v>47700000</v>
      </c>
      <c r="AL45" s="753"/>
      <c r="AM45" s="854">
        <f t="shared" si="58"/>
        <v>1217835.7962992804</v>
      </c>
      <c r="AN45" s="860">
        <v>1</v>
      </c>
      <c r="AO45" s="754">
        <f>AF45*1.03</f>
        <v>2.6297083232458256</v>
      </c>
      <c r="AP45" s="752"/>
      <c r="AQ45" s="755" t="str">
        <f t="shared" si="59"/>
        <v>.</v>
      </c>
      <c r="AR45" s="752">
        <f>AI45*1.03</f>
        <v>1495.478046772929</v>
      </c>
      <c r="AS45" s="753">
        <v>0</v>
      </c>
      <c r="AT45" s="753">
        <v>47700000</v>
      </c>
      <c r="AU45" s="753"/>
      <c r="AV45" s="854">
        <f t="shared" si="60"/>
        <v>1254370.8701882588</v>
      </c>
      <c r="AW45" s="860">
        <v>1</v>
      </c>
      <c r="AX45" s="754">
        <f>AO45*1.03</f>
        <v>2.7085995729432004</v>
      </c>
      <c r="AY45" s="752"/>
      <c r="AZ45" s="755" t="str">
        <f t="shared" si="61"/>
        <v>.</v>
      </c>
      <c r="BA45" s="752">
        <f>AR45*1.03</f>
        <v>1540.3423881761169</v>
      </c>
      <c r="BB45" s="753">
        <v>0</v>
      </c>
      <c r="BC45" s="753">
        <v>47700000</v>
      </c>
      <c r="BD45" s="753"/>
      <c r="BE45" s="854">
        <f t="shared" si="62"/>
        <v>1292001.9962939066</v>
      </c>
      <c r="BF45" s="3"/>
    </row>
    <row r="46" spans="1:58" ht="12" x14ac:dyDescent="0.2">
      <c r="A46" s="841"/>
      <c r="B46" s="769" t="s">
        <v>581</v>
      </c>
      <c r="C46" s="820" t="str">
        <f>IF('WS3 - Notional General Income'!C45="","",'WS3 - Notional General Income'!C45)</f>
        <v>Chatswood Major Retail - Westfield</v>
      </c>
      <c r="D46" s="860">
        <f>'WS4 - Yr 1 YIELD'!D42</f>
        <v>10</v>
      </c>
      <c r="E46" s="754">
        <f>'WS4 - Yr 1 YIELD'!E42*1.03</f>
        <v>2.1650291000000004</v>
      </c>
      <c r="F46" s="752"/>
      <c r="G46" s="755" t="str">
        <f t="shared" si="39"/>
        <v>.</v>
      </c>
      <c r="H46" s="752">
        <f>'WS4 - Yr 1 YIELD'!H42*1.03</f>
        <v>1328.7128749999999</v>
      </c>
      <c r="I46" s="753">
        <f>'WS4 - Yr 1 YIELD'!I42</f>
        <v>0</v>
      </c>
      <c r="J46" s="753">
        <f>'WS4 - Yr 1 YIELD'!J42</f>
        <v>65752000</v>
      </c>
      <c r="K46" s="753"/>
      <c r="L46" s="854">
        <f t="shared" si="50"/>
        <v>1423549.9338320002</v>
      </c>
      <c r="M46" s="860">
        <f>D46</f>
        <v>10</v>
      </c>
      <c r="N46" s="754">
        <f>E46*1.03</f>
        <v>2.2299799730000003</v>
      </c>
      <c r="O46" s="752"/>
      <c r="P46" s="755" t="str">
        <f t="shared" si="51"/>
        <v>.</v>
      </c>
      <c r="Q46" s="752">
        <f>H46*1.03</f>
        <v>1368.5742612500001</v>
      </c>
      <c r="R46" s="753">
        <v>0</v>
      </c>
      <c r="S46" s="753">
        <f>J46</f>
        <v>65752000</v>
      </c>
      <c r="T46" s="753"/>
      <c r="U46" s="854">
        <f t="shared" si="34"/>
        <v>1466256.4318469602</v>
      </c>
      <c r="V46" s="860">
        <f>M46</f>
        <v>10</v>
      </c>
      <c r="W46" s="754">
        <f>N46*1.03</f>
        <v>2.2968793721900003</v>
      </c>
      <c r="X46" s="752"/>
      <c r="Y46" s="755" t="str">
        <f t="shared" si="53"/>
        <v>.</v>
      </c>
      <c r="Z46" s="752">
        <f>Q46*1.03</f>
        <v>1409.6314890875001</v>
      </c>
      <c r="AA46" s="753">
        <v>0</v>
      </c>
      <c r="AB46" s="753">
        <f>S46</f>
        <v>65752000</v>
      </c>
      <c r="AC46" s="753"/>
      <c r="AD46" s="854">
        <f t="shared" si="55"/>
        <v>1510244.1248023689</v>
      </c>
      <c r="AE46" s="860">
        <f>V46</f>
        <v>10</v>
      </c>
      <c r="AF46" s="754">
        <f>W46*1.03</f>
        <v>2.3657857533557003</v>
      </c>
      <c r="AG46" s="752"/>
      <c r="AH46" s="755" t="str">
        <f t="shared" si="56"/>
        <v>.</v>
      </c>
      <c r="AI46" s="752">
        <f>Z46*1.03</f>
        <v>1451.9204337601252</v>
      </c>
      <c r="AJ46" s="753">
        <v>0</v>
      </c>
      <c r="AK46" s="753">
        <f>AB46</f>
        <v>65752000</v>
      </c>
      <c r="AL46" s="753"/>
      <c r="AM46" s="854">
        <f t="shared" si="58"/>
        <v>1555551.4485464399</v>
      </c>
      <c r="AN46" s="860">
        <v>10</v>
      </c>
      <c r="AO46" s="754">
        <f>AF46*1.03</f>
        <v>2.4367593259563716</v>
      </c>
      <c r="AP46" s="752"/>
      <c r="AQ46" s="755" t="str">
        <f t="shared" si="59"/>
        <v>.</v>
      </c>
      <c r="AR46" s="752">
        <f>AI46*1.03</f>
        <v>1495.478046772929</v>
      </c>
      <c r="AS46" s="753">
        <v>0</v>
      </c>
      <c r="AT46" s="753">
        <v>65752000</v>
      </c>
      <c r="AU46" s="753"/>
      <c r="AV46" s="854">
        <f t="shared" si="60"/>
        <v>1602217.9920028334</v>
      </c>
      <c r="AW46" s="860">
        <v>10</v>
      </c>
      <c r="AX46" s="754">
        <f>AO46*1.03</f>
        <v>2.509862105735063</v>
      </c>
      <c r="AY46" s="752"/>
      <c r="AZ46" s="755" t="str">
        <f t="shared" si="61"/>
        <v>.</v>
      </c>
      <c r="BA46" s="752">
        <f>AR46*1.03</f>
        <v>1540.3423881761169</v>
      </c>
      <c r="BB46" s="753">
        <v>0</v>
      </c>
      <c r="BC46" s="753">
        <v>65752000</v>
      </c>
      <c r="BD46" s="753"/>
      <c r="BE46" s="854">
        <f t="shared" si="62"/>
        <v>1650284.5317629185</v>
      </c>
      <c r="BF46" s="3"/>
    </row>
    <row r="47" spans="1:58" ht="12" x14ac:dyDescent="0.2">
      <c r="A47" s="841"/>
      <c r="B47" s="769" t="s">
        <v>581</v>
      </c>
      <c r="C47" s="820" t="str">
        <f>IF('WS3 - Notional General Income'!C46="","",'WS3 - Notional General Income'!C46)</f>
        <v>Strata Storage</v>
      </c>
      <c r="D47" s="860">
        <f>'WS4 - Yr 1 YIELD'!D43</f>
        <v>113</v>
      </c>
      <c r="E47" s="754">
        <f>'WS4 - Yr 1 YIELD'!E43*1.03</f>
        <v>0.70477749999999995</v>
      </c>
      <c r="F47" s="752"/>
      <c r="G47" s="755" t="str">
        <f t="shared" si="39"/>
        <v>.</v>
      </c>
      <c r="H47" s="752">
        <f>'WS4 - Yr 1 YIELD'!H43*1.03</f>
        <v>1007.831825</v>
      </c>
      <c r="I47" s="753">
        <f>'WS4 - Yr 1 YIELD'!I43</f>
        <v>102</v>
      </c>
      <c r="J47" s="753">
        <f>'WS4 - Yr 1 YIELD'!J43</f>
        <v>7670000</v>
      </c>
      <c r="K47" s="753">
        <f>'WS4 - Yr 1 YIELD'!K43</f>
        <v>5711082</v>
      </c>
      <c r="L47" s="854">
        <f t="shared" si="50"/>
        <v>116604.85945745</v>
      </c>
      <c r="M47" s="860">
        <f>D47</f>
        <v>113</v>
      </c>
      <c r="N47" s="754">
        <f>E47*1.03</f>
        <v>0.72592082499999999</v>
      </c>
      <c r="O47" s="752"/>
      <c r="P47" s="755" t="str">
        <f t="shared" si="51"/>
        <v>.</v>
      </c>
      <c r="Q47" s="752">
        <f>H47*1.03</f>
        <v>1038.06677975</v>
      </c>
      <c r="R47" s="753">
        <f>I47</f>
        <v>102</v>
      </c>
      <c r="S47" s="753">
        <f>J47</f>
        <v>7670000</v>
      </c>
      <c r="T47" s="753">
        <f>K47</f>
        <v>5711082</v>
      </c>
      <c r="U47" s="854">
        <f t="shared" si="34"/>
        <v>120103.00524117349</v>
      </c>
      <c r="V47" s="860">
        <f>M47</f>
        <v>113</v>
      </c>
      <c r="W47" s="754">
        <f>N47*1.03</f>
        <v>0.74769844974999999</v>
      </c>
      <c r="X47" s="752"/>
      <c r="Y47" s="755" t="str">
        <f t="shared" si="53"/>
        <v>.</v>
      </c>
      <c r="Z47" s="752">
        <f>Q47*1.03</f>
        <v>1069.2087831425001</v>
      </c>
      <c r="AA47" s="753">
        <f>R47</f>
        <v>102</v>
      </c>
      <c r="AB47" s="753">
        <f>S47</f>
        <v>7670000</v>
      </c>
      <c r="AC47" s="753">
        <f>T47</f>
        <v>5711082</v>
      </c>
      <c r="AD47" s="854">
        <f t="shared" si="55"/>
        <v>123706.09539840871</v>
      </c>
      <c r="AE47" s="860">
        <f>V47</f>
        <v>113</v>
      </c>
      <c r="AF47" s="754">
        <f>W47*1.03</f>
        <v>0.77012940324250001</v>
      </c>
      <c r="AG47" s="752"/>
      <c r="AH47" s="755" t="str">
        <f t="shared" si="56"/>
        <v>.</v>
      </c>
      <c r="AI47" s="752">
        <f>Z47*1.03</f>
        <v>1101.2850466367752</v>
      </c>
      <c r="AJ47" s="753">
        <f>AA47</f>
        <v>102</v>
      </c>
      <c r="AK47" s="753">
        <f>AB47</f>
        <v>7670000</v>
      </c>
      <c r="AL47" s="753">
        <f>AC47</f>
        <v>5711082</v>
      </c>
      <c r="AM47" s="854">
        <f t="shared" si="58"/>
        <v>127417.278260361</v>
      </c>
      <c r="AN47" s="860">
        <v>113</v>
      </c>
      <c r="AO47" s="754">
        <f>AF47*1.03</f>
        <v>0.793233285339775</v>
      </c>
      <c r="AP47" s="752"/>
      <c r="AQ47" s="755" t="str">
        <f t="shared" si="59"/>
        <v>.</v>
      </c>
      <c r="AR47" s="752">
        <f>AI47*1.03</f>
        <v>1134.3235980358784</v>
      </c>
      <c r="AS47" s="753">
        <v>102</v>
      </c>
      <c r="AT47" s="753">
        <v>7670000</v>
      </c>
      <c r="AU47" s="753">
        <v>5711082</v>
      </c>
      <c r="AV47" s="854">
        <f t="shared" si="60"/>
        <v>131239.7966081718</v>
      </c>
      <c r="AW47" s="860">
        <v>113</v>
      </c>
      <c r="AX47" s="754">
        <f>AO47*1.03</f>
        <v>0.81703028389996823</v>
      </c>
      <c r="AY47" s="752"/>
      <c r="AZ47" s="755" t="str">
        <f t="shared" si="61"/>
        <v>.</v>
      </c>
      <c r="BA47" s="752">
        <f>AR47*1.03</f>
        <v>1168.3533059769547</v>
      </c>
      <c r="BB47" s="753">
        <v>102</v>
      </c>
      <c r="BC47" s="753">
        <v>7670000</v>
      </c>
      <c r="BD47" s="753">
        <v>5711082</v>
      </c>
      <c r="BE47" s="854">
        <f t="shared" si="62"/>
        <v>135176.99050641697</v>
      </c>
      <c r="BF47" s="3"/>
    </row>
    <row r="48" spans="1:58" ht="12" x14ac:dyDescent="0.2">
      <c r="A48" s="841"/>
      <c r="B48" s="769" t="s">
        <v>581</v>
      </c>
      <c r="C48" s="820" t="str">
        <f>IF('WS3 - Notional General Income'!C47="","",'WS3 - Notional General Income'!C47)</f>
        <v/>
      </c>
      <c r="D48" s="860"/>
      <c r="E48" s="754"/>
      <c r="F48" s="752"/>
      <c r="G48" s="755" t="str">
        <f t="shared" si="39"/>
        <v>.</v>
      </c>
      <c r="H48" s="752"/>
      <c r="I48" s="753"/>
      <c r="J48" s="753"/>
      <c r="K48" s="753"/>
      <c r="L48" s="854" t="str">
        <f t="shared" si="50"/>
        <v>.</v>
      </c>
      <c r="M48" s="860"/>
      <c r="N48" s="754"/>
      <c r="O48" s="752"/>
      <c r="P48" s="755" t="str">
        <f t="shared" si="51"/>
        <v>.</v>
      </c>
      <c r="Q48" s="752"/>
      <c r="R48" s="753"/>
      <c r="S48" s="753"/>
      <c r="T48" s="753"/>
      <c r="U48" s="854" t="str">
        <f t="shared" si="34"/>
        <v>.</v>
      </c>
      <c r="V48" s="860"/>
      <c r="W48" s="754"/>
      <c r="X48" s="752"/>
      <c r="Y48" s="755" t="str">
        <f t="shared" si="53"/>
        <v>.</v>
      </c>
      <c r="Z48" s="752"/>
      <c r="AA48" s="753"/>
      <c r="AB48" s="753"/>
      <c r="AC48" s="753"/>
      <c r="AD48" s="854" t="str">
        <f t="shared" si="55"/>
        <v>.</v>
      </c>
      <c r="AE48" s="860"/>
      <c r="AF48" s="754"/>
      <c r="AG48" s="752"/>
      <c r="AH48" s="755" t="str">
        <f t="shared" si="56"/>
        <v>.</v>
      </c>
      <c r="AI48" s="752"/>
      <c r="AJ48" s="753"/>
      <c r="AK48" s="753"/>
      <c r="AL48" s="753"/>
      <c r="AM48" s="854" t="str">
        <f t="shared" si="58"/>
        <v>.</v>
      </c>
      <c r="AN48" s="860"/>
      <c r="AO48" s="754"/>
      <c r="AP48" s="752"/>
      <c r="AQ48" s="755" t="str">
        <f t="shared" si="59"/>
        <v>.</v>
      </c>
      <c r="AR48" s="752"/>
      <c r="AS48" s="753"/>
      <c r="AT48" s="753"/>
      <c r="AU48" s="753"/>
      <c r="AV48" s="854" t="str">
        <f t="shared" si="60"/>
        <v>.</v>
      </c>
      <c r="AW48" s="860"/>
      <c r="AX48" s="754"/>
      <c r="AY48" s="752"/>
      <c r="AZ48" s="755" t="str">
        <f t="shared" si="61"/>
        <v>.</v>
      </c>
      <c r="BA48" s="752"/>
      <c r="BB48" s="753"/>
      <c r="BC48" s="753"/>
      <c r="BD48" s="753"/>
      <c r="BE48" s="854" t="str">
        <f t="shared" si="62"/>
        <v>.</v>
      </c>
      <c r="BF48" s="3"/>
    </row>
    <row r="49" spans="1:58" ht="12" x14ac:dyDescent="0.2">
      <c r="A49" s="841"/>
      <c r="B49" s="769" t="s">
        <v>581</v>
      </c>
      <c r="C49" s="820" t="str">
        <f>IF('WS3 - Notional General Income'!C48="","",'WS3 - Notional General Income'!C48)</f>
        <v/>
      </c>
      <c r="D49" s="860"/>
      <c r="E49" s="754"/>
      <c r="F49" s="752"/>
      <c r="G49" s="755" t="str">
        <f t="shared" si="39"/>
        <v>.</v>
      </c>
      <c r="H49" s="752"/>
      <c r="I49" s="753"/>
      <c r="J49" s="753"/>
      <c r="K49" s="753"/>
      <c r="L49" s="854" t="str">
        <f t="shared" si="50"/>
        <v>.</v>
      </c>
      <c r="M49" s="860"/>
      <c r="N49" s="754"/>
      <c r="O49" s="752"/>
      <c r="P49" s="755" t="str">
        <f t="shared" si="51"/>
        <v>.</v>
      </c>
      <c r="Q49" s="752"/>
      <c r="R49" s="753"/>
      <c r="S49" s="753"/>
      <c r="T49" s="753"/>
      <c r="U49" s="854" t="str">
        <f t="shared" si="34"/>
        <v>.</v>
      </c>
      <c r="V49" s="860"/>
      <c r="W49" s="754"/>
      <c r="X49" s="752"/>
      <c r="Y49" s="755" t="str">
        <f t="shared" si="53"/>
        <v>.</v>
      </c>
      <c r="Z49" s="752"/>
      <c r="AA49" s="753"/>
      <c r="AB49" s="753"/>
      <c r="AC49" s="753"/>
      <c r="AD49" s="854" t="str">
        <f t="shared" si="55"/>
        <v>.</v>
      </c>
      <c r="AE49" s="860"/>
      <c r="AF49" s="754"/>
      <c r="AG49" s="752"/>
      <c r="AH49" s="755" t="str">
        <f t="shared" si="56"/>
        <v>.</v>
      </c>
      <c r="AI49" s="752"/>
      <c r="AJ49" s="753"/>
      <c r="AK49" s="753"/>
      <c r="AL49" s="753"/>
      <c r="AM49" s="854" t="str">
        <f t="shared" si="58"/>
        <v>.</v>
      </c>
      <c r="AN49" s="860"/>
      <c r="AO49" s="754"/>
      <c r="AP49" s="752"/>
      <c r="AQ49" s="755" t="str">
        <f t="shared" si="59"/>
        <v>.</v>
      </c>
      <c r="AR49" s="752"/>
      <c r="AS49" s="753"/>
      <c r="AT49" s="753"/>
      <c r="AU49" s="753"/>
      <c r="AV49" s="854" t="str">
        <f t="shared" si="60"/>
        <v>.</v>
      </c>
      <c r="AW49" s="860"/>
      <c r="AX49" s="754"/>
      <c r="AY49" s="752"/>
      <c r="AZ49" s="755" t="str">
        <f t="shared" si="61"/>
        <v>.</v>
      </c>
      <c r="BA49" s="752"/>
      <c r="BB49" s="753"/>
      <c r="BC49" s="753"/>
      <c r="BD49" s="753"/>
      <c r="BE49" s="854" t="str">
        <f t="shared" si="62"/>
        <v>.</v>
      </c>
      <c r="BF49" s="3"/>
    </row>
    <row r="50" spans="1:58" ht="12" x14ac:dyDescent="0.2">
      <c r="A50" s="841"/>
      <c r="B50" s="769" t="s">
        <v>581</v>
      </c>
      <c r="C50" s="820" t="str">
        <f>IF('WS3 - Notional General Income'!C49="","",'WS3 - Notional General Income'!C49)</f>
        <v/>
      </c>
      <c r="D50" s="860"/>
      <c r="E50" s="754"/>
      <c r="F50" s="752"/>
      <c r="G50" s="755" t="str">
        <f t="shared" si="39"/>
        <v>.</v>
      </c>
      <c r="H50" s="752"/>
      <c r="I50" s="753"/>
      <c r="J50" s="753"/>
      <c r="K50" s="753"/>
      <c r="L50" s="854" t="str">
        <f t="shared" si="50"/>
        <v>.</v>
      </c>
      <c r="M50" s="860"/>
      <c r="N50" s="754"/>
      <c r="O50" s="752"/>
      <c r="P50" s="755" t="str">
        <f t="shared" si="51"/>
        <v>.</v>
      </c>
      <c r="Q50" s="752"/>
      <c r="R50" s="753"/>
      <c r="S50" s="753"/>
      <c r="T50" s="753"/>
      <c r="U50" s="854" t="str">
        <f t="shared" si="34"/>
        <v>.</v>
      </c>
      <c r="V50" s="860"/>
      <c r="W50" s="754"/>
      <c r="X50" s="752"/>
      <c r="Y50" s="755" t="str">
        <f t="shared" si="53"/>
        <v>.</v>
      </c>
      <c r="Z50" s="752"/>
      <c r="AA50" s="753"/>
      <c r="AB50" s="753"/>
      <c r="AC50" s="753"/>
      <c r="AD50" s="854" t="str">
        <f t="shared" si="55"/>
        <v>.</v>
      </c>
      <c r="AE50" s="860"/>
      <c r="AF50" s="754"/>
      <c r="AG50" s="752"/>
      <c r="AH50" s="755" t="str">
        <f t="shared" si="56"/>
        <v>.</v>
      </c>
      <c r="AI50" s="752"/>
      <c r="AJ50" s="753"/>
      <c r="AK50" s="753"/>
      <c r="AL50" s="753"/>
      <c r="AM50" s="854" t="str">
        <f t="shared" si="58"/>
        <v>.</v>
      </c>
      <c r="AN50" s="860"/>
      <c r="AO50" s="754"/>
      <c r="AP50" s="752"/>
      <c r="AQ50" s="755" t="str">
        <f t="shared" si="59"/>
        <v>.</v>
      </c>
      <c r="AR50" s="752"/>
      <c r="AS50" s="753"/>
      <c r="AT50" s="753"/>
      <c r="AU50" s="753"/>
      <c r="AV50" s="854" t="str">
        <f t="shared" si="60"/>
        <v>.</v>
      </c>
      <c r="AW50" s="860"/>
      <c r="AX50" s="754"/>
      <c r="AY50" s="752"/>
      <c r="AZ50" s="755" t="str">
        <f t="shared" si="61"/>
        <v>.</v>
      </c>
      <c r="BA50" s="752"/>
      <c r="BB50" s="753"/>
      <c r="BC50" s="753"/>
      <c r="BD50" s="753"/>
      <c r="BE50" s="854" t="str">
        <f t="shared" si="62"/>
        <v>.</v>
      </c>
      <c r="BF50" s="3"/>
    </row>
    <row r="51" spans="1:58" ht="12" x14ac:dyDescent="0.2">
      <c r="A51" s="841"/>
      <c r="B51" s="769" t="s">
        <v>581</v>
      </c>
      <c r="C51" s="820" t="str">
        <f>IF('WS3 - Notional General Income'!C50="","",'WS3 - Notional General Income'!C50)</f>
        <v/>
      </c>
      <c r="D51" s="860"/>
      <c r="E51" s="754"/>
      <c r="F51" s="752"/>
      <c r="G51" s="755" t="str">
        <f t="shared" si="39"/>
        <v>.</v>
      </c>
      <c r="H51" s="752"/>
      <c r="I51" s="753"/>
      <c r="J51" s="753"/>
      <c r="K51" s="753"/>
      <c r="L51" s="854" t="str">
        <f t="shared" si="50"/>
        <v>.</v>
      </c>
      <c r="M51" s="860"/>
      <c r="N51" s="754"/>
      <c r="O51" s="752"/>
      <c r="P51" s="755" t="str">
        <f t="shared" si="51"/>
        <v>.</v>
      </c>
      <c r="Q51" s="752"/>
      <c r="R51" s="753"/>
      <c r="S51" s="753"/>
      <c r="T51" s="753"/>
      <c r="U51" s="854" t="str">
        <f t="shared" si="34"/>
        <v>.</v>
      </c>
      <c r="V51" s="860"/>
      <c r="W51" s="754"/>
      <c r="X51" s="752"/>
      <c r="Y51" s="755" t="str">
        <f t="shared" si="53"/>
        <v>.</v>
      </c>
      <c r="Z51" s="752"/>
      <c r="AA51" s="753"/>
      <c r="AB51" s="753"/>
      <c r="AC51" s="753"/>
      <c r="AD51" s="854" t="str">
        <f t="shared" si="55"/>
        <v>.</v>
      </c>
      <c r="AE51" s="860"/>
      <c r="AF51" s="754"/>
      <c r="AG51" s="752"/>
      <c r="AH51" s="755" t="str">
        <f t="shared" si="56"/>
        <v>.</v>
      </c>
      <c r="AI51" s="752"/>
      <c r="AJ51" s="753"/>
      <c r="AK51" s="753"/>
      <c r="AL51" s="753"/>
      <c r="AM51" s="854" t="str">
        <f t="shared" si="58"/>
        <v>.</v>
      </c>
      <c r="AN51" s="860"/>
      <c r="AO51" s="754"/>
      <c r="AP51" s="752"/>
      <c r="AQ51" s="755" t="str">
        <f t="shared" si="59"/>
        <v>.</v>
      </c>
      <c r="AR51" s="752"/>
      <c r="AS51" s="753"/>
      <c r="AT51" s="753"/>
      <c r="AU51" s="753"/>
      <c r="AV51" s="854" t="str">
        <f t="shared" si="60"/>
        <v>.</v>
      </c>
      <c r="AW51" s="860"/>
      <c r="AX51" s="754"/>
      <c r="AY51" s="752"/>
      <c r="AZ51" s="755" t="str">
        <f t="shared" si="61"/>
        <v>.</v>
      </c>
      <c r="BA51" s="752"/>
      <c r="BB51" s="753"/>
      <c r="BC51" s="753"/>
      <c r="BD51" s="753"/>
      <c r="BE51" s="854" t="str">
        <f t="shared" si="62"/>
        <v>.</v>
      </c>
      <c r="BF51" s="3"/>
    </row>
    <row r="52" spans="1:58" ht="12" x14ac:dyDescent="0.2">
      <c r="A52" s="841"/>
      <c r="B52" s="769" t="s">
        <v>581</v>
      </c>
      <c r="C52" s="820" t="str">
        <f>IF('WS3 - Notional General Income'!C51="","",'WS3 - Notional General Income'!C51)</f>
        <v/>
      </c>
      <c r="D52" s="860"/>
      <c r="E52" s="754"/>
      <c r="F52" s="752"/>
      <c r="G52" s="755" t="str">
        <f t="shared" si="39"/>
        <v>.</v>
      </c>
      <c r="H52" s="752"/>
      <c r="I52" s="753"/>
      <c r="J52" s="753"/>
      <c r="K52" s="753"/>
      <c r="L52" s="854" t="str">
        <f t="shared" si="50"/>
        <v>.</v>
      </c>
      <c r="M52" s="860"/>
      <c r="N52" s="754"/>
      <c r="O52" s="752"/>
      <c r="P52" s="755" t="str">
        <f t="shared" si="51"/>
        <v>.</v>
      </c>
      <c r="Q52" s="752"/>
      <c r="R52" s="753"/>
      <c r="S52" s="753"/>
      <c r="T52" s="753"/>
      <c r="U52" s="854" t="str">
        <f t="shared" si="34"/>
        <v>.</v>
      </c>
      <c r="V52" s="860"/>
      <c r="W52" s="754"/>
      <c r="X52" s="752"/>
      <c r="Y52" s="755" t="str">
        <f t="shared" si="53"/>
        <v>.</v>
      </c>
      <c r="Z52" s="752"/>
      <c r="AA52" s="753"/>
      <c r="AB52" s="753"/>
      <c r="AC52" s="753"/>
      <c r="AD52" s="854" t="str">
        <f t="shared" si="55"/>
        <v>.</v>
      </c>
      <c r="AE52" s="860"/>
      <c r="AF52" s="754"/>
      <c r="AG52" s="752"/>
      <c r="AH52" s="755" t="str">
        <f t="shared" si="56"/>
        <v>.</v>
      </c>
      <c r="AI52" s="752"/>
      <c r="AJ52" s="753"/>
      <c r="AK52" s="753"/>
      <c r="AL52" s="753"/>
      <c r="AM52" s="854" t="str">
        <f t="shared" si="58"/>
        <v>.</v>
      </c>
      <c r="AN52" s="860"/>
      <c r="AO52" s="754"/>
      <c r="AP52" s="752"/>
      <c r="AQ52" s="755" t="str">
        <f t="shared" si="59"/>
        <v>.</v>
      </c>
      <c r="AR52" s="752"/>
      <c r="AS52" s="753"/>
      <c r="AT52" s="753"/>
      <c r="AU52" s="753"/>
      <c r="AV52" s="854" t="str">
        <f t="shared" si="60"/>
        <v>.</v>
      </c>
      <c r="AW52" s="860"/>
      <c r="AX52" s="754"/>
      <c r="AY52" s="752"/>
      <c r="AZ52" s="755" t="str">
        <f t="shared" si="61"/>
        <v>.</v>
      </c>
      <c r="BA52" s="752"/>
      <c r="BB52" s="753"/>
      <c r="BC52" s="753"/>
      <c r="BD52" s="753"/>
      <c r="BE52" s="854" t="str">
        <f t="shared" si="62"/>
        <v>.</v>
      </c>
      <c r="BF52" s="3"/>
    </row>
    <row r="53" spans="1:58" ht="12" x14ac:dyDescent="0.2">
      <c r="A53" s="841"/>
      <c r="B53" s="769" t="s">
        <v>581</v>
      </c>
      <c r="C53" s="820" t="str">
        <f>IF('WS3 - Notional General Income'!C52="","",'WS3 - Notional General Income'!C52)</f>
        <v/>
      </c>
      <c r="D53" s="860"/>
      <c r="E53" s="754"/>
      <c r="F53" s="752"/>
      <c r="G53" s="755" t="str">
        <f t="shared" si="39"/>
        <v>.</v>
      </c>
      <c r="H53" s="752"/>
      <c r="I53" s="753"/>
      <c r="J53" s="753"/>
      <c r="K53" s="753"/>
      <c r="L53" s="854" t="str">
        <f t="shared" si="50"/>
        <v>.</v>
      </c>
      <c r="M53" s="860"/>
      <c r="N53" s="754"/>
      <c r="O53" s="752"/>
      <c r="P53" s="755" t="str">
        <f t="shared" si="51"/>
        <v>.</v>
      </c>
      <c r="Q53" s="752"/>
      <c r="R53" s="753"/>
      <c r="S53" s="753"/>
      <c r="T53" s="753"/>
      <c r="U53" s="854" t="str">
        <f t="shared" si="34"/>
        <v>.</v>
      </c>
      <c r="V53" s="860"/>
      <c r="W53" s="754"/>
      <c r="X53" s="752"/>
      <c r="Y53" s="755" t="str">
        <f t="shared" si="53"/>
        <v>.</v>
      </c>
      <c r="Z53" s="752"/>
      <c r="AA53" s="753"/>
      <c r="AB53" s="753"/>
      <c r="AC53" s="753"/>
      <c r="AD53" s="854" t="str">
        <f t="shared" si="55"/>
        <v>.</v>
      </c>
      <c r="AE53" s="860"/>
      <c r="AF53" s="754"/>
      <c r="AG53" s="752"/>
      <c r="AH53" s="755" t="str">
        <f t="shared" si="56"/>
        <v>.</v>
      </c>
      <c r="AI53" s="752"/>
      <c r="AJ53" s="753"/>
      <c r="AK53" s="753"/>
      <c r="AL53" s="753"/>
      <c r="AM53" s="854" t="str">
        <f t="shared" si="58"/>
        <v>.</v>
      </c>
      <c r="AN53" s="860"/>
      <c r="AO53" s="754"/>
      <c r="AP53" s="752"/>
      <c r="AQ53" s="755" t="str">
        <f t="shared" si="59"/>
        <v>.</v>
      </c>
      <c r="AR53" s="752"/>
      <c r="AS53" s="753"/>
      <c r="AT53" s="753"/>
      <c r="AU53" s="753"/>
      <c r="AV53" s="854" t="str">
        <f t="shared" si="60"/>
        <v>.</v>
      </c>
      <c r="AW53" s="860"/>
      <c r="AX53" s="754"/>
      <c r="AY53" s="752"/>
      <c r="AZ53" s="755" t="str">
        <f t="shared" si="61"/>
        <v>.</v>
      </c>
      <c r="BA53" s="752"/>
      <c r="BB53" s="753"/>
      <c r="BC53" s="753"/>
      <c r="BD53" s="753"/>
      <c r="BE53" s="854" t="str">
        <f t="shared" si="62"/>
        <v>.</v>
      </c>
      <c r="BF53" s="3"/>
    </row>
    <row r="54" spans="1:58" ht="12" x14ac:dyDescent="0.2">
      <c r="A54" s="841"/>
      <c r="B54" s="769" t="s">
        <v>581</v>
      </c>
      <c r="C54" s="820" t="str">
        <f>IF('WS3 - Notional General Income'!C53="","",'WS3 - Notional General Income'!C53)</f>
        <v/>
      </c>
      <c r="D54" s="860"/>
      <c r="E54" s="754"/>
      <c r="F54" s="752"/>
      <c r="G54" s="755" t="str">
        <f t="shared" si="39"/>
        <v>.</v>
      </c>
      <c r="H54" s="752"/>
      <c r="I54" s="753"/>
      <c r="J54" s="753"/>
      <c r="K54" s="753"/>
      <c r="L54" s="854" t="str">
        <f t="shared" si="50"/>
        <v>.</v>
      </c>
      <c r="M54" s="860"/>
      <c r="N54" s="754"/>
      <c r="O54" s="752"/>
      <c r="P54" s="755" t="str">
        <f t="shared" si="51"/>
        <v>.</v>
      </c>
      <c r="Q54" s="752"/>
      <c r="R54" s="753"/>
      <c r="S54" s="753"/>
      <c r="T54" s="753"/>
      <c r="U54" s="854" t="str">
        <f t="shared" si="34"/>
        <v>.</v>
      </c>
      <c r="V54" s="860"/>
      <c r="W54" s="754"/>
      <c r="X54" s="752"/>
      <c r="Y54" s="755" t="str">
        <f t="shared" si="53"/>
        <v>.</v>
      </c>
      <c r="Z54" s="752"/>
      <c r="AA54" s="753"/>
      <c r="AB54" s="753"/>
      <c r="AC54" s="753"/>
      <c r="AD54" s="854" t="str">
        <f t="shared" si="55"/>
        <v>.</v>
      </c>
      <c r="AE54" s="860"/>
      <c r="AF54" s="754"/>
      <c r="AG54" s="752"/>
      <c r="AH54" s="755" t="str">
        <f t="shared" si="56"/>
        <v>.</v>
      </c>
      <c r="AI54" s="752"/>
      <c r="AJ54" s="753"/>
      <c r="AK54" s="753"/>
      <c r="AL54" s="753"/>
      <c r="AM54" s="854" t="str">
        <f t="shared" si="58"/>
        <v>.</v>
      </c>
      <c r="AN54" s="860"/>
      <c r="AO54" s="754"/>
      <c r="AP54" s="752"/>
      <c r="AQ54" s="755" t="str">
        <f t="shared" si="59"/>
        <v>.</v>
      </c>
      <c r="AR54" s="752"/>
      <c r="AS54" s="753"/>
      <c r="AT54" s="753"/>
      <c r="AU54" s="753"/>
      <c r="AV54" s="854" t="str">
        <f t="shared" si="60"/>
        <v>.</v>
      </c>
      <c r="AW54" s="860"/>
      <c r="AX54" s="754"/>
      <c r="AY54" s="752"/>
      <c r="AZ54" s="755" t="str">
        <f t="shared" si="61"/>
        <v>.</v>
      </c>
      <c r="BA54" s="752"/>
      <c r="BB54" s="753"/>
      <c r="BC54" s="753"/>
      <c r="BD54" s="753"/>
      <c r="BE54" s="854" t="str">
        <f t="shared" si="62"/>
        <v>.</v>
      </c>
      <c r="BF54" s="3"/>
    </row>
    <row r="55" spans="1:58" ht="12" x14ac:dyDescent="0.2">
      <c r="A55" s="841"/>
      <c r="B55" s="769" t="s">
        <v>581</v>
      </c>
      <c r="C55" s="820" t="str">
        <f>IF('WS3 - Notional General Income'!C54="","",'WS3 - Notional General Income'!C54)</f>
        <v/>
      </c>
      <c r="D55" s="860"/>
      <c r="E55" s="754"/>
      <c r="F55" s="752"/>
      <c r="G55" s="755" t="str">
        <f t="shared" si="39"/>
        <v>.</v>
      </c>
      <c r="H55" s="752"/>
      <c r="I55" s="753"/>
      <c r="J55" s="753"/>
      <c r="K55" s="753"/>
      <c r="L55" s="854" t="str">
        <f t="shared" si="50"/>
        <v>.</v>
      </c>
      <c r="M55" s="860"/>
      <c r="N55" s="754"/>
      <c r="O55" s="752"/>
      <c r="P55" s="755" t="str">
        <f t="shared" si="51"/>
        <v>.</v>
      </c>
      <c r="Q55" s="752"/>
      <c r="R55" s="753"/>
      <c r="S55" s="753"/>
      <c r="T55" s="753"/>
      <c r="U55" s="854" t="str">
        <f t="shared" si="34"/>
        <v>.</v>
      </c>
      <c r="V55" s="860"/>
      <c r="W55" s="754"/>
      <c r="X55" s="752"/>
      <c r="Y55" s="755" t="str">
        <f t="shared" si="53"/>
        <v>.</v>
      </c>
      <c r="Z55" s="752"/>
      <c r="AA55" s="753"/>
      <c r="AB55" s="753"/>
      <c r="AC55" s="753"/>
      <c r="AD55" s="854" t="str">
        <f t="shared" si="55"/>
        <v>.</v>
      </c>
      <c r="AE55" s="860"/>
      <c r="AF55" s="754"/>
      <c r="AG55" s="752"/>
      <c r="AH55" s="755" t="str">
        <f t="shared" si="56"/>
        <v>.</v>
      </c>
      <c r="AI55" s="752"/>
      <c r="AJ55" s="753"/>
      <c r="AK55" s="753"/>
      <c r="AL55" s="753"/>
      <c r="AM55" s="854" t="str">
        <f t="shared" si="58"/>
        <v>.</v>
      </c>
      <c r="AN55" s="860"/>
      <c r="AO55" s="754"/>
      <c r="AP55" s="752"/>
      <c r="AQ55" s="755" t="str">
        <f t="shared" si="59"/>
        <v>.</v>
      </c>
      <c r="AR55" s="752"/>
      <c r="AS55" s="753"/>
      <c r="AT55" s="753"/>
      <c r="AU55" s="753"/>
      <c r="AV55" s="854" t="str">
        <f t="shared" si="60"/>
        <v>.</v>
      </c>
      <c r="AW55" s="860"/>
      <c r="AX55" s="754"/>
      <c r="AY55" s="752"/>
      <c r="AZ55" s="755" t="str">
        <f t="shared" si="61"/>
        <v>.</v>
      </c>
      <c r="BA55" s="752"/>
      <c r="BB55" s="753"/>
      <c r="BC55" s="753"/>
      <c r="BD55" s="753"/>
      <c r="BE55" s="854" t="str">
        <f t="shared" si="62"/>
        <v>.</v>
      </c>
      <c r="BF55" s="3"/>
    </row>
    <row r="56" spans="1:58" ht="12" x14ac:dyDescent="0.2">
      <c r="A56" s="841"/>
      <c r="B56" s="769" t="s">
        <v>581</v>
      </c>
      <c r="C56" s="820" t="str">
        <f>IF('WS3 - Notional General Income'!C55="","",'WS3 - Notional General Income'!C55)</f>
        <v/>
      </c>
      <c r="D56" s="860"/>
      <c r="E56" s="754"/>
      <c r="F56" s="752"/>
      <c r="G56" s="755" t="str">
        <f t="shared" si="39"/>
        <v>.</v>
      </c>
      <c r="H56" s="752"/>
      <c r="I56" s="753"/>
      <c r="J56" s="753"/>
      <c r="K56" s="753"/>
      <c r="L56" s="854" t="str">
        <f t="shared" si="50"/>
        <v>.</v>
      </c>
      <c r="M56" s="860"/>
      <c r="N56" s="754"/>
      <c r="O56" s="752"/>
      <c r="P56" s="755" t="str">
        <f t="shared" si="51"/>
        <v>.</v>
      </c>
      <c r="Q56" s="752"/>
      <c r="R56" s="753"/>
      <c r="S56" s="753"/>
      <c r="T56" s="753"/>
      <c r="U56" s="854" t="str">
        <f t="shared" si="34"/>
        <v>.</v>
      </c>
      <c r="V56" s="860"/>
      <c r="W56" s="754"/>
      <c r="X56" s="752"/>
      <c r="Y56" s="755" t="str">
        <f t="shared" si="53"/>
        <v>.</v>
      </c>
      <c r="Z56" s="752"/>
      <c r="AA56" s="753"/>
      <c r="AB56" s="753"/>
      <c r="AC56" s="753"/>
      <c r="AD56" s="854" t="str">
        <f t="shared" si="55"/>
        <v>.</v>
      </c>
      <c r="AE56" s="860"/>
      <c r="AF56" s="754"/>
      <c r="AG56" s="752"/>
      <c r="AH56" s="755" t="str">
        <f t="shared" si="56"/>
        <v>.</v>
      </c>
      <c r="AI56" s="752"/>
      <c r="AJ56" s="753"/>
      <c r="AK56" s="753"/>
      <c r="AL56" s="753"/>
      <c r="AM56" s="854" t="str">
        <f t="shared" si="58"/>
        <v>.</v>
      </c>
      <c r="AN56" s="860"/>
      <c r="AO56" s="754"/>
      <c r="AP56" s="752"/>
      <c r="AQ56" s="755" t="str">
        <f t="shared" si="59"/>
        <v>.</v>
      </c>
      <c r="AR56" s="752"/>
      <c r="AS56" s="753"/>
      <c r="AT56" s="753"/>
      <c r="AU56" s="753"/>
      <c r="AV56" s="854" t="str">
        <f t="shared" si="60"/>
        <v>.</v>
      </c>
      <c r="AW56" s="860"/>
      <c r="AX56" s="754"/>
      <c r="AY56" s="752"/>
      <c r="AZ56" s="755" t="str">
        <f t="shared" si="61"/>
        <v>.</v>
      </c>
      <c r="BA56" s="752"/>
      <c r="BB56" s="753"/>
      <c r="BC56" s="753"/>
      <c r="BD56" s="753"/>
      <c r="BE56" s="854" t="str">
        <f t="shared" si="62"/>
        <v>.</v>
      </c>
      <c r="BF56" s="3"/>
    </row>
    <row r="57" spans="1:58" ht="12" x14ac:dyDescent="0.2">
      <c r="A57" s="841"/>
      <c r="B57" s="769" t="s">
        <v>581</v>
      </c>
      <c r="C57" s="820" t="str">
        <f>IF('WS3 - Notional General Income'!C56="","",'WS3 - Notional General Income'!C56)</f>
        <v/>
      </c>
      <c r="D57" s="860"/>
      <c r="E57" s="754"/>
      <c r="F57" s="752"/>
      <c r="G57" s="755" t="str">
        <f t="shared" si="39"/>
        <v>.</v>
      </c>
      <c r="H57" s="752"/>
      <c r="I57" s="753"/>
      <c r="J57" s="753"/>
      <c r="K57" s="753"/>
      <c r="L57" s="854" t="str">
        <f t="shared" si="50"/>
        <v>.</v>
      </c>
      <c r="M57" s="860"/>
      <c r="N57" s="754"/>
      <c r="O57" s="752"/>
      <c r="P57" s="755" t="str">
        <f t="shared" si="51"/>
        <v>.</v>
      </c>
      <c r="Q57" s="752"/>
      <c r="R57" s="753"/>
      <c r="S57" s="753"/>
      <c r="T57" s="753"/>
      <c r="U57" s="854" t="str">
        <f t="shared" si="34"/>
        <v>.</v>
      </c>
      <c r="V57" s="860"/>
      <c r="W57" s="754"/>
      <c r="X57" s="752"/>
      <c r="Y57" s="755" t="str">
        <f t="shared" si="53"/>
        <v>.</v>
      </c>
      <c r="Z57" s="752"/>
      <c r="AA57" s="753"/>
      <c r="AB57" s="753"/>
      <c r="AC57" s="753"/>
      <c r="AD57" s="854" t="str">
        <f t="shared" si="55"/>
        <v>.</v>
      </c>
      <c r="AE57" s="860"/>
      <c r="AF57" s="754"/>
      <c r="AG57" s="752"/>
      <c r="AH57" s="755" t="str">
        <f t="shared" si="56"/>
        <v>.</v>
      </c>
      <c r="AI57" s="752"/>
      <c r="AJ57" s="753"/>
      <c r="AK57" s="753"/>
      <c r="AL57" s="753"/>
      <c r="AM57" s="854" t="str">
        <f t="shared" si="58"/>
        <v>.</v>
      </c>
      <c r="AN57" s="860"/>
      <c r="AO57" s="754"/>
      <c r="AP57" s="752"/>
      <c r="AQ57" s="755" t="str">
        <f t="shared" si="59"/>
        <v>.</v>
      </c>
      <c r="AR57" s="752"/>
      <c r="AS57" s="753"/>
      <c r="AT57" s="753"/>
      <c r="AU57" s="753"/>
      <c r="AV57" s="854" t="str">
        <f t="shared" si="60"/>
        <v>.</v>
      </c>
      <c r="AW57" s="860"/>
      <c r="AX57" s="754"/>
      <c r="AY57" s="752"/>
      <c r="AZ57" s="755" t="str">
        <f t="shared" si="61"/>
        <v>.</v>
      </c>
      <c r="BA57" s="752"/>
      <c r="BB57" s="753"/>
      <c r="BC57" s="753"/>
      <c r="BD57" s="753"/>
      <c r="BE57" s="854" t="str">
        <f t="shared" si="62"/>
        <v>.</v>
      </c>
      <c r="BF57" s="3"/>
    </row>
    <row r="58" spans="1:58" ht="12" x14ac:dyDescent="0.2">
      <c r="A58" s="841"/>
      <c r="B58" s="769" t="s">
        <v>581</v>
      </c>
      <c r="C58" s="820" t="str">
        <f>IF('WS3 - Notional General Income'!C57="","",'WS3 - Notional General Income'!C57)</f>
        <v/>
      </c>
      <c r="D58" s="860"/>
      <c r="E58" s="754"/>
      <c r="F58" s="752"/>
      <c r="G58" s="755" t="str">
        <f t="shared" si="39"/>
        <v>.</v>
      </c>
      <c r="H58" s="752"/>
      <c r="I58" s="753"/>
      <c r="J58" s="753"/>
      <c r="K58" s="753"/>
      <c r="L58" s="854" t="str">
        <f t="shared" si="50"/>
        <v>.</v>
      </c>
      <c r="M58" s="860"/>
      <c r="N58" s="754"/>
      <c r="O58" s="752"/>
      <c r="P58" s="755" t="str">
        <f t="shared" si="51"/>
        <v>.</v>
      </c>
      <c r="Q58" s="752"/>
      <c r="R58" s="753"/>
      <c r="S58" s="753"/>
      <c r="T58" s="753"/>
      <c r="U58" s="854" t="str">
        <f t="shared" si="34"/>
        <v>.</v>
      </c>
      <c r="V58" s="860"/>
      <c r="W58" s="754"/>
      <c r="X58" s="752"/>
      <c r="Y58" s="755" t="str">
        <f t="shared" si="53"/>
        <v>.</v>
      </c>
      <c r="Z58" s="752"/>
      <c r="AA58" s="753"/>
      <c r="AB58" s="753"/>
      <c r="AC58" s="753"/>
      <c r="AD58" s="854" t="str">
        <f t="shared" si="55"/>
        <v>.</v>
      </c>
      <c r="AE58" s="860"/>
      <c r="AF58" s="754"/>
      <c r="AG58" s="752"/>
      <c r="AH58" s="755" t="str">
        <f t="shared" si="56"/>
        <v>.</v>
      </c>
      <c r="AI58" s="752"/>
      <c r="AJ58" s="753"/>
      <c r="AK58" s="753"/>
      <c r="AL58" s="753"/>
      <c r="AM58" s="854" t="str">
        <f t="shared" si="58"/>
        <v>.</v>
      </c>
      <c r="AN58" s="860"/>
      <c r="AO58" s="754"/>
      <c r="AP58" s="752"/>
      <c r="AQ58" s="755" t="str">
        <f t="shared" si="59"/>
        <v>.</v>
      </c>
      <c r="AR58" s="752"/>
      <c r="AS58" s="753"/>
      <c r="AT58" s="753"/>
      <c r="AU58" s="753"/>
      <c r="AV58" s="854" t="str">
        <f t="shared" si="60"/>
        <v>.</v>
      </c>
      <c r="AW58" s="860"/>
      <c r="AX58" s="754"/>
      <c r="AY58" s="752"/>
      <c r="AZ58" s="755" t="str">
        <f t="shared" si="61"/>
        <v>.</v>
      </c>
      <c r="BA58" s="752"/>
      <c r="BB58" s="753"/>
      <c r="BC58" s="753"/>
      <c r="BD58" s="753"/>
      <c r="BE58" s="854" t="str">
        <f t="shared" si="62"/>
        <v>.</v>
      </c>
      <c r="BF58" s="3"/>
    </row>
    <row r="59" spans="1:58" ht="12" x14ac:dyDescent="0.2">
      <c r="A59" s="841"/>
      <c r="B59" s="769" t="s">
        <v>581</v>
      </c>
      <c r="C59" s="820" t="str">
        <f>IF('WS3 - Notional General Income'!C58="","",'WS3 - Notional General Income'!C58)</f>
        <v/>
      </c>
      <c r="D59" s="860"/>
      <c r="E59" s="754"/>
      <c r="F59" s="752"/>
      <c r="G59" s="755" t="str">
        <f t="shared" si="39"/>
        <v>.</v>
      </c>
      <c r="H59" s="752"/>
      <c r="I59" s="753"/>
      <c r="J59" s="753"/>
      <c r="K59" s="753"/>
      <c r="L59" s="854" t="str">
        <f t="shared" si="50"/>
        <v>.</v>
      </c>
      <c r="M59" s="860"/>
      <c r="N59" s="754"/>
      <c r="O59" s="752"/>
      <c r="P59" s="755" t="str">
        <f t="shared" si="51"/>
        <v>.</v>
      </c>
      <c r="Q59" s="752"/>
      <c r="R59" s="753"/>
      <c r="S59" s="753"/>
      <c r="T59" s="753"/>
      <c r="U59" s="854" t="str">
        <f t="shared" si="34"/>
        <v>.</v>
      </c>
      <c r="V59" s="860"/>
      <c r="W59" s="754"/>
      <c r="X59" s="752"/>
      <c r="Y59" s="755" t="str">
        <f t="shared" si="53"/>
        <v>.</v>
      </c>
      <c r="Z59" s="752"/>
      <c r="AA59" s="753"/>
      <c r="AB59" s="753"/>
      <c r="AC59" s="753"/>
      <c r="AD59" s="854" t="str">
        <f t="shared" si="55"/>
        <v>.</v>
      </c>
      <c r="AE59" s="860"/>
      <c r="AF59" s="754"/>
      <c r="AG59" s="752"/>
      <c r="AH59" s="755" t="str">
        <f t="shared" si="56"/>
        <v>.</v>
      </c>
      <c r="AI59" s="752"/>
      <c r="AJ59" s="753"/>
      <c r="AK59" s="753"/>
      <c r="AL59" s="753"/>
      <c r="AM59" s="854" t="str">
        <f t="shared" si="58"/>
        <v>.</v>
      </c>
      <c r="AN59" s="860"/>
      <c r="AO59" s="754"/>
      <c r="AP59" s="752"/>
      <c r="AQ59" s="755" t="str">
        <f t="shared" si="59"/>
        <v>.</v>
      </c>
      <c r="AR59" s="752"/>
      <c r="AS59" s="753"/>
      <c r="AT59" s="753"/>
      <c r="AU59" s="753"/>
      <c r="AV59" s="854" t="str">
        <f t="shared" si="60"/>
        <v>.</v>
      </c>
      <c r="AW59" s="860"/>
      <c r="AX59" s="754"/>
      <c r="AY59" s="752"/>
      <c r="AZ59" s="755" t="str">
        <f t="shared" si="61"/>
        <v>.</v>
      </c>
      <c r="BA59" s="752"/>
      <c r="BB59" s="753"/>
      <c r="BC59" s="753"/>
      <c r="BD59" s="753"/>
      <c r="BE59" s="854" t="str">
        <f t="shared" si="62"/>
        <v>.</v>
      </c>
      <c r="BF59" s="3"/>
    </row>
    <row r="60" spans="1:58" ht="12" x14ac:dyDescent="0.2">
      <c r="A60" s="841"/>
      <c r="B60" s="769" t="s">
        <v>581</v>
      </c>
      <c r="C60" s="820" t="str">
        <f>IF('WS3 - Notional General Income'!C59="","",'WS3 - Notional General Income'!C59)</f>
        <v/>
      </c>
      <c r="D60" s="860"/>
      <c r="E60" s="754"/>
      <c r="F60" s="752"/>
      <c r="G60" s="755" t="str">
        <f t="shared" si="39"/>
        <v>.</v>
      </c>
      <c r="H60" s="752"/>
      <c r="I60" s="753"/>
      <c r="J60" s="753"/>
      <c r="K60" s="753"/>
      <c r="L60" s="854" t="str">
        <f t="shared" si="50"/>
        <v>.</v>
      </c>
      <c r="M60" s="860"/>
      <c r="N60" s="754"/>
      <c r="O60" s="752"/>
      <c r="P60" s="755" t="str">
        <f t="shared" si="51"/>
        <v>.</v>
      </c>
      <c r="Q60" s="752"/>
      <c r="R60" s="753"/>
      <c r="S60" s="753"/>
      <c r="T60" s="753"/>
      <c r="U60" s="854" t="str">
        <f t="shared" si="34"/>
        <v>.</v>
      </c>
      <c r="V60" s="860"/>
      <c r="W60" s="754"/>
      <c r="X60" s="752"/>
      <c r="Y60" s="755" t="str">
        <f t="shared" si="53"/>
        <v>.</v>
      </c>
      <c r="Z60" s="752"/>
      <c r="AA60" s="753"/>
      <c r="AB60" s="753"/>
      <c r="AC60" s="753"/>
      <c r="AD60" s="854" t="str">
        <f t="shared" si="55"/>
        <v>.</v>
      </c>
      <c r="AE60" s="860"/>
      <c r="AF60" s="754"/>
      <c r="AG60" s="752"/>
      <c r="AH60" s="755" t="str">
        <f t="shared" si="56"/>
        <v>.</v>
      </c>
      <c r="AI60" s="752"/>
      <c r="AJ60" s="753"/>
      <c r="AK60" s="753"/>
      <c r="AL60" s="753"/>
      <c r="AM60" s="854" t="str">
        <f t="shared" si="58"/>
        <v>.</v>
      </c>
      <c r="AN60" s="860"/>
      <c r="AO60" s="754"/>
      <c r="AP60" s="752"/>
      <c r="AQ60" s="755" t="str">
        <f t="shared" si="59"/>
        <v>.</v>
      </c>
      <c r="AR60" s="752"/>
      <c r="AS60" s="753"/>
      <c r="AT60" s="753"/>
      <c r="AU60" s="753"/>
      <c r="AV60" s="854" t="str">
        <f t="shared" si="60"/>
        <v>.</v>
      </c>
      <c r="AW60" s="860"/>
      <c r="AX60" s="754"/>
      <c r="AY60" s="752"/>
      <c r="AZ60" s="755" t="str">
        <f t="shared" si="61"/>
        <v>.</v>
      </c>
      <c r="BA60" s="752"/>
      <c r="BB60" s="753"/>
      <c r="BC60" s="753"/>
      <c r="BD60" s="753"/>
      <c r="BE60" s="854" t="str">
        <f t="shared" si="62"/>
        <v>.</v>
      </c>
      <c r="BF60" s="3"/>
    </row>
    <row r="61" spans="1:58" ht="12" x14ac:dyDescent="0.2">
      <c r="A61" s="841"/>
      <c r="B61" s="769" t="s">
        <v>581</v>
      </c>
      <c r="C61" s="820" t="str">
        <f>IF('WS3 - Notional General Income'!C60="","",'WS3 - Notional General Income'!C60)</f>
        <v/>
      </c>
      <c r="D61" s="860"/>
      <c r="E61" s="754"/>
      <c r="F61" s="752"/>
      <c r="G61" s="755" t="str">
        <f t="shared" si="39"/>
        <v>.</v>
      </c>
      <c r="H61" s="752"/>
      <c r="I61" s="753"/>
      <c r="J61" s="753"/>
      <c r="K61" s="753"/>
      <c r="L61" s="854" t="str">
        <f t="shared" si="50"/>
        <v>.</v>
      </c>
      <c r="M61" s="860"/>
      <c r="N61" s="754"/>
      <c r="O61" s="752"/>
      <c r="P61" s="755" t="str">
        <f t="shared" si="51"/>
        <v>.</v>
      </c>
      <c r="Q61" s="752"/>
      <c r="R61" s="753"/>
      <c r="S61" s="753"/>
      <c r="T61" s="753"/>
      <c r="U61" s="854" t="str">
        <f t="shared" si="34"/>
        <v>.</v>
      </c>
      <c r="V61" s="860"/>
      <c r="W61" s="754"/>
      <c r="X61" s="752"/>
      <c r="Y61" s="755" t="str">
        <f t="shared" si="53"/>
        <v>.</v>
      </c>
      <c r="Z61" s="752"/>
      <c r="AA61" s="753"/>
      <c r="AB61" s="753"/>
      <c r="AC61" s="753"/>
      <c r="AD61" s="854" t="str">
        <f t="shared" si="55"/>
        <v>.</v>
      </c>
      <c r="AE61" s="860"/>
      <c r="AF61" s="754"/>
      <c r="AG61" s="752"/>
      <c r="AH61" s="755" t="str">
        <f t="shared" si="56"/>
        <v>.</v>
      </c>
      <c r="AI61" s="752"/>
      <c r="AJ61" s="753"/>
      <c r="AK61" s="753"/>
      <c r="AL61" s="753"/>
      <c r="AM61" s="854" t="str">
        <f t="shared" si="58"/>
        <v>.</v>
      </c>
      <c r="AN61" s="860"/>
      <c r="AO61" s="754"/>
      <c r="AP61" s="752"/>
      <c r="AQ61" s="755" t="str">
        <f t="shared" si="59"/>
        <v>.</v>
      </c>
      <c r="AR61" s="752"/>
      <c r="AS61" s="753"/>
      <c r="AT61" s="753"/>
      <c r="AU61" s="753"/>
      <c r="AV61" s="854" t="str">
        <f t="shared" si="60"/>
        <v>.</v>
      </c>
      <c r="AW61" s="860"/>
      <c r="AX61" s="754"/>
      <c r="AY61" s="752"/>
      <c r="AZ61" s="755" t="str">
        <f t="shared" si="61"/>
        <v>.</v>
      </c>
      <c r="BA61" s="752"/>
      <c r="BB61" s="753"/>
      <c r="BC61" s="753"/>
      <c r="BD61" s="753"/>
      <c r="BE61" s="854" t="str">
        <f t="shared" si="62"/>
        <v>.</v>
      </c>
      <c r="BF61" s="3"/>
    </row>
    <row r="62" spans="1:58" ht="12" x14ac:dyDescent="0.2">
      <c r="A62" s="841"/>
      <c r="B62" s="769" t="s">
        <v>581</v>
      </c>
      <c r="C62" s="820" t="str">
        <f>IF('WS3 - Notional General Income'!C61="","",'WS3 - Notional General Income'!C61)</f>
        <v/>
      </c>
      <c r="D62" s="860"/>
      <c r="E62" s="754"/>
      <c r="F62" s="752"/>
      <c r="G62" s="755" t="str">
        <f t="shared" si="39"/>
        <v>.</v>
      </c>
      <c r="H62" s="752"/>
      <c r="I62" s="753"/>
      <c r="J62" s="753"/>
      <c r="K62" s="753"/>
      <c r="L62" s="854" t="str">
        <f t="shared" si="50"/>
        <v>.</v>
      </c>
      <c r="M62" s="860"/>
      <c r="N62" s="754"/>
      <c r="O62" s="752"/>
      <c r="P62" s="755" t="str">
        <f t="shared" si="51"/>
        <v>.</v>
      </c>
      <c r="Q62" s="752"/>
      <c r="R62" s="753"/>
      <c r="S62" s="753"/>
      <c r="T62" s="753"/>
      <c r="U62" s="854" t="str">
        <f t="shared" si="34"/>
        <v>.</v>
      </c>
      <c r="V62" s="860"/>
      <c r="W62" s="754"/>
      <c r="X62" s="752"/>
      <c r="Y62" s="755" t="str">
        <f t="shared" si="53"/>
        <v>.</v>
      </c>
      <c r="Z62" s="752"/>
      <c r="AA62" s="753"/>
      <c r="AB62" s="753"/>
      <c r="AC62" s="753"/>
      <c r="AD62" s="854" t="str">
        <f t="shared" si="55"/>
        <v>.</v>
      </c>
      <c r="AE62" s="860"/>
      <c r="AF62" s="754"/>
      <c r="AG62" s="752"/>
      <c r="AH62" s="755" t="str">
        <f t="shared" si="56"/>
        <v>.</v>
      </c>
      <c r="AI62" s="752"/>
      <c r="AJ62" s="753"/>
      <c r="AK62" s="753"/>
      <c r="AL62" s="753"/>
      <c r="AM62" s="854" t="str">
        <f t="shared" si="58"/>
        <v>.</v>
      </c>
      <c r="AN62" s="860"/>
      <c r="AO62" s="754"/>
      <c r="AP62" s="752"/>
      <c r="AQ62" s="755" t="str">
        <f t="shared" si="59"/>
        <v>.</v>
      </c>
      <c r="AR62" s="752"/>
      <c r="AS62" s="753"/>
      <c r="AT62" s="753"/>
      <c r="AU62" s="753"/>
      <c r="AV62" s="854" t="str">
        <f t="shared" si="60"/>
        <v>.</v>
      </c>
      <c r="AW62" s="860"/>
      <c r="AX62" s="754"/>
      <c r="AY62" s="752"/>
      <c r="AZ62" s="755" t="str">
        <f t="shared" si="61"/>
        <v>.</v>
      </c>
      <c r="BA62" s="752"/>
      <c r="BB62" s="753"/>
      <c r="BC62" s="753"/>
      <c r="BD62" s="753"/>
      <c r="BE62" s="854" t="str">
        <f t="shared" si="62"/>
        <v>.</v>
      </c>
      <c r="BF62" s="3"/>
    </row>
    <row r="63" spans="1:58" ht="12" x14ac:dyDescent="0.2">
      <c r="A63" s="841"/>
      <c r="B63" s="769" t="s">
        <v>581</v>
      </c>
      <c r="C63" s="820" t="str">
        <f>IF('WS3 - Notional General Income'!C62="","",'WS3 - Notional General Income'!C62)</f>
        <v/>
      </c>
      <c r="D63" s="860"/>
      <c r="E63" s="754"/>
      <c r="F63" s="752"/>
      <c r="G63" s="755" t="str">
        <f t="shared" si="39"/>
        <v>.</v>
      </c>
      <c r="H63" s="752"/>
      <c r="I63" s="753"/>
      <c r="J63" s="753"/>
      <c r="K63" s="753"/>
      <c r="L63" s="854" t="str">
        <f t="shared" si="50"/>
        <v>.</v>
      </c>
      <c r="M63" s="860"/>
      <c r="N63" s="754"/>
      <c r="O63" s="752"/>
      <c r="P63" s="755" t="str">
        <f t="shared" si="51"/>
        <v>.</v>
      </c>
      <c r="Q63" s="752"/>
      <c r="R63" s="753"/>
      <c r="S63" s="753"/>
      <c r="T63" s="753"/>
      <c r="U63" s="854" t="str">
        <f t="shared" si="34"/>
        <v>.</v>
      </c>
      <c r="V63" s="860"/>
      <c r="W63" s="754"/>
      <c r="X63" s="752"/>
      <c r="Y63" s="755" t="str">
        <f t="shared" si="53"/>
        <v>.</v>
      </c>
      <c r="Z63" s="752"/>
      <c r="AA63" s="753"/>
      <c r="AB63" s="753"/>
      <c r="AC63" s="753"/>
      <c r="AD63" s="854" t="str">
        <f t="shared" si="55"/>
        <v>.</v>
      </c>
      <c r="AE63" s="860"/>
      <c r="AF63" s="754"/>
      <c r="AG63" s="752"/>
      <c r="AH63" s="755" t="str">
        <f t="shared" si="56"/>
        <v>.</v>
      </c>
      <c r="AI63" s="752"/>
      <c r="AJ63" s="753"/>
      <c r="AK63" s="753"/>
      <c r="AL63" s="753"/>
      <c r="AM63" s="854" t="str">
        <f t="shared" si="58"/>
        <v>.</v>
      </c>
      <c r="AN63" s="860"/>
      <c r="AO63" s="754"/>
      <c r="AP63" s="752"/>
      <c r="AQ63" s="755" t="str">
        <f t="shared" si="59"/>
        <v>.</v>
      </c>
      <c r="AR63" s="752"/>
      <c r="AS63" s="753"/>
      <c r="AT63" s="753"/>
      <c r="AU63" s="753"/>
      <c r="AV63" s="854" t="str">
        <f t="shared" si="60"/>
        <v>.</v>
      </c>
      <c r="AW63" s="860"/>
      <c r="AX63" s="754"/>
      <c r="AY63" s="752"/>
      <c r="AZ63" s="755" t="str">
        <f t="shared" si="61"/>
        <v>.</v>
      </c>
      <c r="BA63" s="752"/>
      <c r="BB63" s="753"/>
      <c r="BC63" s="753"/>
      <c r="BD63" s="753"/>
      <c r="BE63" s="854" t="str">
        <f t="shared" si="62"/>
        <v>.</v>
      </c>
      <c r="BF63" s="3"/>
    </row>
    <row r="64" spans="1:58" ht="12" x14ac:dyDescent="0.2">
      <c r="A64" s="841"/>
      <c r="B64" s="769" t="s">
        <v>581</v>
      </c>
      <c r="C64" s="820" t="str">
        <f>IF('WS3 - Notional General Income'!C63="","",'WS3 - Notional General Income'!C63)</f>
        <v/>
      </c>
      <c r="D64" s="860"/>
      <c r="E64" s="754"/>
      <c r="F64" s="752"/>
      <c r="G64" s="755" t="str">
        <f t="shared" si="39"/>
        <v>.</v>
      </c>
      <c r="H64" s="752"/>
      <c r="I64" s="753"/>
      <c r="J64" s="753"/>
      <c r="K64" s="753"/>
      <c r="L64" s="854" t="str">
        <f t="shared" si="50"/>
        <v>.</v>
      </c>
      <c r="M64" s="860"/>
      <c r="N64" s="754"/>
      <c r="O64" s="752"/>
      <c r="P64" s="755" t="str">
        <f t="shared" si="51"/>
        <v>.</v>
      </c>
      <c r="Q64" s="752"/>
      <c r="R64" s="753"/>
      <c r="S64" s="753"/>
      <c r="T64" s="753"/>
      <c r="U64" s="854" t="str">
        <f t="shared" si="34"/>
        <v>.</v>
      </c>
      <c r="V64" s="860"/>
      <c r="W64" s="754"/>
      <c r="X64" s="752"/>
      <c r="Y64" s="755" t="str">
        <f t="shared" si="53"/>
        <v>.</v>
      </c>
      <c r="Z64" s="752"/>
      <c r="AA64" s="753"/>
      <c r="AB64" s="753"/>
      <c r="AC64" s="753"/>
      <c r="AD64" s="854" t="str">
        <f t="shared" si="55"/>
        <v>.</v>
      </c>
      <c r="AE64" s="860"/>
      <c r="AF64" s="754"/>
      <c r="AG64" s="752"/>
      <c r="AH64" s="755" t="str">
        <f t="shared" si="56"/>
        <v>.</v>
      </c>
      <c r="AI64" s="752"/>
      <c r="AJ64" s="753"/>
      <c r="AK64" s="753"/>
      <c r="AL64" s="753"/>
      <c r="AM64" s="854" t="str">
        <f t="shared" si="58"/>
        <v>.</v>
      </c>
      <c r="AN64" s="860"/>
      <c r="AO64" s="754"/>
      <c r="AP64" s="752"/>
      <c r="AQ64" s="755" t="str">
        <f t="shared" si="59"/>
        <v>.</v>
      </c>
      <c r="AR64" s="752"/>
      <c r="AS64" s="753"/>
      <c r="AT64" s="753"/>
      <c r="AU64" s="753"/>
      <c r="AV64" s="854" t="str">
        <f t="shared" si="60"/>
        <v>.</v>
      </c>
      <c r="AW64" s="860"/>
      <c r="AX64" s="754"/>
      <c r="AY64" s="752"/>
      <c r="AZ64" s="755" t="str">
        <f t="shared" si="61"/>
        <v>.</v>
      </c>
      <c r="BA64" s="752"/>
      <c r="BB64" s="753"/>
      <c r="BC64" s="753"/>
      <c r="BD64" s="753"/>
      <c r="BE64" s="854" t="str">
        <f t="shared" si="62"/>
        <v>.</v>
      </c>
      <c r="BF64" s="3"/>
    </row>
    <row r="65" spans="1:58" ht="12" x14ac:dyDescent="0.2">
      <c r="A65" s="841"/>
      <c r="B65" s="769" t="s">
        <v>581</v>
      </c>
      <c r="C65" s="820" t="str">
        <f>IF('WS3 - Notional General Income'!C64="","",'WS3 - Notional General Income'!C64)</f>
        <v/>
      </c>
      <c r="D65" s="860"/>
      <c r="E65" s="754"/>
      <c r="F65" s="752"/>
      <c r="G65" s="755" t="str">
        <f t="shared" si="39"/>
        <v>.</v>
      </c>
      <c r="H65" s="752"/>
      <c r="I65" s="753"/>
      <c r="J65" s="753"/>
      <c r="K65" s="753"/>
      <c r="L65" s="854" t="str">
        <f t="shared" si="50"/>
        <v>.</v>
      </c>
      <c r="M65" s="860"/>
      <c r="N65" s="754"/>
      <c r="O65" s="752"/>
      <c r="P65" s="755" t="str">
        <f t="shared" si="51"/>
        <v>.</v>
      </c>
      <c r="Q65" s="752"/>
      <c r="R65" s="753"/>
      <c r="S65" s="753"/>
      <c r="T65" s="753"/>
      <c r="U65" s="854" t="str">
        <f t="shared" si="34"/>
        <v>.</v>
      </c>
      <c r="V65" s="860"/>
      <c r="W65" s="754"/>
      <c r="X65" s="752"/>
      <c r="Y65" s="755" t="str">
        <f t="shared" si="53"/>
        <v>.</v>
      </c>
      <c r="Z65" s="752"/>
      <c r="AA65" s="753"/>
      <c r="AB65" s="753"/>
      <c r="AC65" s="753"/>
      <c r="AD65" s="854" t="str">
        <f t="shared" si="55"/>
        <v>.</v>
      </c>
      <c r="AE65" s="860"/>
      <c r="AF65" s="754"/>
      <c r="AG65" s="752"/>
      <c r="AH65" s="755" t="str">
        <f t="shared" si="56"/>
        <v>.</v>
      </c>
      <c r="AI65" s="752"/>
      <c r="AJ65" s="753"/>
      <c r="AK65" s="753"/>
      <c r="AL65" s="753"/>
      <c r="AM65" s="854" t="str">
        <f t="shared" si="58"/>
        <v>.</v>
      </c>
      <c r="AN65" s="860"/>
      <c r="AO65" s="754"/>
      <c r="AP65" s="752"/>
      <c r="AQ65" s="755" t="str">
        <f t="shared" si="59"/>
        <v>.</v>
      </c>
      <c r="AR65" s="752"/>
      <c r="AS65" s="753"/>
      <c r="AT65" s="753"/>
      <c r="AU65" s="753"/>
      <c r="AV65" s="854" t="str">
        <f t="shared" si="60"/>
        <v>.</v>
      </c>
      <c r="AW65" s="860"/>
      <c r="AX65" s="754"/>
      <c r="AY65" s="752"/>
      <c r="AZ65" s="755" t="str">
        <f t="shared" si="61"/>
        <v>.</v>
      </c>
      <c r="BA65" s="752"/>
      <c r="BB65" s="753"/>
      <c r="BC65" s="753"/>
      <c r="BD65" s="753"/>
      <c r="BE65" s="854" t="str">
        <f t="shared" si="62"/>
        <v>.</v>
      </c>
      <c r="BF65" s="3"/>
    </row>
    <row r="66" spans="1:58" ht="12" x14ac:dyDescent="0.2">
      <c r="A66" s="841"/>
      <c r="B66" s="769" t="s">
        <v>581</v>
      </c>
      <c r="C66" s="820" t="str">
        <f>IF('WS3 - Notional General Income'!C65="","",'WS3 - Notional General Income'!C65)</f>
        <v/>
      </c>
      <c r="D66" s="860"/>
      <c r="E66" s="754"/>
      <c r="F66" s="752"/>
      <c r="G66" s="755" t="str">
        <f t="shared" si="39"/>
        <v>.</v>
      </c>
      <c r="H66" s="752"/>
      <c r="I66" s="753"/>
      <c r="J66" s="753"/>
      <c r="K66" s="753"/>
      <c r="L66" s="854" t="str">
        <f t="shared" si="50"/>
        <v>.</v>
      </c>
      <c r="M66" s="860"/>
      <c r="N66" s="754"/>
      <c r="O66" s="752"/>
      <c r="P66" s="755" t="str">
        <f t="shared" si="51"/>
        <v>.</v>
      </c>
      <c r="Q66" s="752"/>
      <c r="R66" s="753"/>
      <c r="S66" s="753"/>
      <c r="T66" s="753"/>
      <c r="U66" s="854" t="str">
        <f t="shared" si="34"/>
        <v>.</v>
      </c>
      <c r="V66" s="860"/>
      <c r="W66" s="754"/>
      <c r="X66" s="752"/>
      <c r="Y66" s="755" t="str">
        <f t="shared" si="53"/>
        <v>.</v>
      </c>
      <c r="Z66" s="752"/>
      <c r="AA66" s="753"/>
      <c r="AB66" s="753"/>
      <c r="AC66" s="753"/>
      <c r="AD66" s="854" t="str">
        <f t="shared" si="55"/>
        <v>.</v>
      </c>
      <c r="AE66" s="860"/>
      <c r="AF66" s="754"/>
      <c r="AG66" s="752"/>
      <c r="AH66" s="755" t="str">
        <f t="shared" si="56"/>
        <v>.</v>
      </c>
      <c r="AI66" s="752"/>
      <c r="AJ66" s="753"/>
      <c r="AK66" s="753"/>
      <c r="AL66" s="753"/>
      <c r="AM66" s="854" t="str">
        <f t="shared" si="58"/>
        <v>.</v>
      </c>
      <c r="AN66" s="860"/>
      <c r="AO66" s="754"/>
      <c r="AP66" s="752"/>
      <c r="AQ66" s="755" t="str">
        <f t="shared" si="59"/>
        <v>.</v>
      </c>
      <c r="AR66" s="752"/>
      <c r="AS66" s="753"/>
      <c r="AT66" s="753"/>
      <c r="AU66" s="753"/>
      <c r="AV66" s="854" t="str">
        <f t="shared" si="60"/>
        <v>.</v>
      </c>
      <c r="AW66" s="860"/>
      <c r="AX66" s="754"/>
      <c r="AY66" s="752"/>
      <c r="AZ66" s="755" t="str">
        <f t="shared" si="61"/>
        <v>.</v>
      </c>
      <c r="BA66" s="752"/>
      <c r="BB66" s="753"/>
      <c r="BC66" s="753"/>
      <c r="BD66" s="753"/>
      <c r="BE66" s="854" t="str">
        <f t="shared" si="62"/>
        <v>.</v>
      </c>
      <c r="BF66" s="3"/>
    </row>
    <row r="67" spans="1:58" ht="12" x14ac:dyDescent="0.2">
      <c r="A67" s="841"/>
      <c r="B67" s="769" t="s">
        <v>581</v>
      </c>
      <c r="C67" s="820" t="str">
        <f>IF('WS3 - Notional General Income'!C66="","",'WS3 - Notional General Income'!C66)</f>
        <v/>
      </c>
      <c r="D67" s="860"/>
      <c r="E67" s="754"/>
      <c r="F67" s="752"/>
      <c r="G67" s="755" t="str">
        <f t="shared" si="39"/>
        <v>.</v>
      </c>
      <c r="H67" s="752"/>
      <c r="I67" s="753"/>
      <c r="J67" s="753"/>
      <c r="K67" s="753"/>
      <c r="L67" s="854" t="str">
        <f t="shared" si="50"/>
        <v>.</v>
      </c>
      <c r="M67" s="860"/>
      <c r="N67" s="754"/>
      <c r="O67" s="752"/>
      <c r="P67" s="755" t="str">
        <f t="shared" si="51"/>
        <v>.</v>
      </c>
      <c r="Q67" s="752"/>
      <c r="R67" s="753"/>
      <c r="S67" s="753"/>
      <c r="T67" s="753"/>
      <c r="U67" s="854" t="str">
        <f t="shared" si="34"/>
        <v>.</v>
      </c>
      <c r="V67" s="860"/>
      <c r="W67" s="754"/>
      <c r="X67" s="752"/>
      <c r="Y67" s="755" t="str">
        <f t="shared" si="53"/>
        <v>.</v>
      </c>
      <c r="Z67" s="752"/>
      <c r="AA67" s="753"/>
      <c r="AB67" s="753"/>
      <c r="AC67" s="753"/>
      <c r="AD67" s="854" t="str">
        <f t="shared" si="55"/>
        <v>.</v>
      </c>
      <c r="AE67" s="860"/>
      <c r="AF67" s="754"/>
      <c r="AG67" s="752"/>
      <c r="AH67" s="755" t="str">
        <f t="shared" si="56"/>
        <v>.</v>
      </c>
      <c r="AI67" s="752"/>
      <c r="AJ67" s="753"/>
      <c r="AK67" s="753"/>
      <c r="AL67" s="753"/>
      <c r="AM67" s="854" t="str">
        <f t="shared" si="58"/>
        <v>.</v>
      </c>
      <c r="AN67" s="860"/>
      <c r="AO67" s="754"/>
      <c r="AP67" s="752"/>
      <c r="AQ67" s="755" t="str">
        <f t="shared" si="59"/>
        <v>.</v>
      </c>
      <c r="AR67" s="752"/>
      <c r="AS67" s="753"/>
      <c r="AT67" s="753"/>
      <c r="AU67" s="753"/>
      <c r="AV67" s="854" t="str">
        <f t="shared" si="60"/>
        <v>.</v>
      </c>
      <c r="AW67" s="860"/>
      <c r="AX67" s="754"/>
      <c r="AY67" s="752"/>
      <c r="AZ67" s="755" t="str">
        <f t="shared" si="61"/>
        <v>.</v>
      </c>
      <c r="BA67" s="752"/>
      <c r="BB67" s="753"/>
      <c r="BC67" s="753"/>
      <c r="BD67" s="753"/>
      <c r="BE67" s="854" t="str">
        <f t="shared" si="62"/>
        <v>.</v>
      </c>
      <c r="BF67" s="3"/>
    </row>
    <row r="68" spans="1:58" s="6" customFormat="1" ht="12" x14ac:dyDescent="0.2">
      <c r="A68" s="841"/>
      <c r="B68" s="769"/>
      <c r="C68" s="883" t="s">
        <v>582</v>
      </c>
      <c r="D68" s="863">
        <f>SUM(D43:D67)</f>
        <v>3029</v>
      </c>
      <c r="E68" s="738"/>
      <c r="F68" s="739"/>
      <c r="G68" s="740"/>
      <c r="H68" s="739"/>
      <c r="I68" s="737">
        <f>SUM(I43:I67)</f>
        <v>1161</v>
      </c>
      <c r="J68" s="737">
        <f>SUM(J43:J67)</f>
        <v>4714875793</v>
      </c>
      <c r="K68" s="737">
        <f>SUM(K43:K67)</f>
        <v>159220987</v>
      </c>
      <c r="L68" s="856">
        <f>SUM(L43:L67)</f>
        <v>26459621.463159949</v>
      </c>
      <c r="M68" s="863">
        <f>SUM(M43:M67)</f>
        <v>3029</v>
      </c>
      <c r="N68" s="738"/>
      <c r="O68" s="739"/>
      <c r="P68" s="740"/>
      <c r="Q68" s="872">
        <f t="shared" ref="Q68:U68" si="63">SUM(Q43:Q67)</f>
        <v>6937.5460222499996</v>
      </c>
      <c r="R68" s="737">
        <f t="shared" si="63"/>
        <v>1161</v>
      </c>
      <c r="S68" s="737">
        <f t="shared" si="63"/>
        <v>4714875793</v>
      </c>
      <c r="T68" s="737">
        <f t="shared" si="63"/>
        <v>159220987</v>
      </c>
      <c r="U68" s="856">
        <f t="shared" si="63"/>
        <v>27253410.107054748</v>
      </c>
      <c r="V68" s="863">
        <f>SUM(V43:V67)</f>
        <v>3029</v>
      </c>
      <c r="W68" s="738"/>
      <c r="X68" s="739"/>
      <c r="Y68" s="740"/>
      <c r="Z68" s="872">
        <f t="shared" ref="Z68:AD68" si="64">SUM(Z43:Z67)</f>
        <v>7145.6724029175002</v>
      </c>
      <c r="AA68" s="737">
        <f t="shared" si="64"/>
        <v>1161</v>
      </c>
      <c r="AB68" s="737">
        <f t="shared" si="64"/>
        <v>4714875793</v>
      </c>
      <c r="AC68" s="737">
        <f t="shared" si="64"/>
        <v>159220987</v>
      </c>
      <c r="AD68" s="856">
        <f t="shared" si="64"/>
        <v>28071012.410266392</v>
      </c>
      <c r="AE68" s="863">
        <f>SUM(AE43:AE67)</f>
        <v>3029</v>
      </c>
      <c r="AF68" s="738"/>
      <c r="AG68" s="739"/>
      <c r="AH68" s="740"/>
      <c r="AI68" s="872">
        <f t="shared" ref="AI68:AM68" si="65">SUM(AI43:AI67)</f>
        <v>7360.0425750050254</v>
      </c>
      <c r="AJ68" s="737">
        <f t="shared" si="65"/>
        <v>1161</v>
      </c>
      <c r="AK68" s="737">
        <f t="shared" si="65"/>
        <v>4714875793</v>
      </c>
      <c r="AL68" s="737">
        <f t="shared" si="65"/>
        <v>159220987</v>
      </c>
      <c r="AM68" s="856">
        <f t="shared" si="65"/>
        <v>28913142.782574382</v>
      </c>
      <c r="AN68" s="863">
        <f>SUM(AN43:AN67)</f>
        <v>3029</v>
      </c>
      <c r="AO68" s="738"/>
      <c r="AP68" s="739"/>
      <c r="AQ68" s="740"/>
      <c r="AR68" s="872">
        <f t="shared" ref="AR68:AV68" si="66">SUM(AR43:AR67)</f>
        <v>7580.843852255176</v>
      </c>
      <c r="AS68" s="737">
        <f t="shared" si="66"/>
        <v>1161</v>
      </c>
      <c r="AT68" s="737">
        <f t="shared" si="66"/>
        <v>4714875793</v>
      </c>
      <c r="AU68" s="737">
        <f t="shared" si="66"/>
        <v>159220987</v>
      </c>
      <c r="AV68" s="856">
        <f t="shared" si="66"/>
        <v>29780537.066051614</v>
      </c>
      <c r="AW68" s="863">
        <f>SUM(AW43:AW67)</f>
        <v>3029</v>
      </c>
      <c r="AX68" s="738"/>
      <c r="AY68" s="739"/>
      <c r="AZ68" s="740"/>
      <c r="BA68" s="872">
        <f t="shared" ref="BA68:BE68" si="67">SUM(BA43:BA67)</f>
        <v>7808.2691678228312</v>
      </c>
      <c r="BB68" s="737">
        <f t="shared" si="67"/>
        <v>1161</v>
      </c>
      <c r="BC68" s="737">
        <f t="shared" si="67"/>
        <v>4714875793</v>
      </c>
      <c r="BD68" s="737">
        <f t="shared" si="67"/>
        <v>159220987</v>
      </c>
      <c r="BE68" s="856">
        <f t="shared" si="67"/>
        <v>30673953.178033166</v>
      </c>
      <c r="BF68" s="2"/>
    </row>
    <row r="69" spans="1:58" ht="12" x14ac:dyDescent="0.2">
      <c r="A69" s="841"/>
      <c r="B69" s="769" t="s">
        <v>583</v>
      </c>
      <c r="C69" s="820" t="str">
        <f>IF('WS3 - Notional General Income'!C68="","",'WS3 - Notional General Income'!C68)</f>
        <v>Farmland</v>
      </c>
      <c r="D69" s="860"/>
      <c r="E69" s="754"/>
      <c r="F69" s="752"/>
      <c r="G69" s="755" t="str">
        <f t="shared" ref="G69:G78" si="68">IF(F69="",".",D69*F69/L69)</f>
        <v>.</v>
      </c>
      <c r="H69" s="752"/>
      <c r="I69" s="753"/>
      <c r="J69" s="753"/>
      <c r="K69" s="753"/>
      <c r="L69" s="854" t="str">
        <f t="shared" ref="L69:L78" si="69">IF(D69="",".",IF(F69&lt;&gt;"",F69*D69+J69*(E69/100),(J69-K69)*(E69/100)+H69*I69))</f>
        <v>.</v>
      </c>
      <c r="M69" s="860"/>
      <c r="N69" s="754"/>
      <c r="O69" s="752"/>
      <c r="P69" s="755" t="str">
        <f t="shared" ref="P69" si="70">IF(O69="",".",M69*O69/U69)</f>
        <v>.</v>
      </c>
      <c r="Q69" s="752"/>
      <c r="R69" s="753"/>
      <c r="S69" s="753"/>
      <c r="T69" s="753"/>
      <c r="U69" s="854" t="str">
        <f t="shared" ref="U69" si="71">IF(M69="",".",IF(O69&lt;&gt;"",O69*M69+S69*(N69/100),(S69-T69)*(N69/100)+Q69*R69))</f>
        <v>.</v>
      </c>
      <c r="V69" s="860"/>
      <c r="W69" s="754"/>
      <c r="X69" s="752"/>
      <c r="Y69" s="755" t="str">
        <f t="shared" ref="Y69:Y78" si="72">IF(X69="",".",V69*X69/AD69)</f>
        <v>.</v>
      </c>
      <c r="Z69" s="752"/>
      <c r="AA69" s="753"/>
      <c r="AB69" s="753"/>
      <c r="AC69" s="753"/>
      <c r="AD69" s="854" t="str">
        <f t="shared" ref="AD69:AD78" si="73">IF(V69="",".",IF(X69&lt;&gt;"",X69*V69+AB69*(W69/100),(AB69-AC69)*(W69/100)+Z69*AA69))</f>
        <v>.</v>
      </c>
      <c r="AE69" s="860"/>
      <c r="AF69" s="754"/>
      <c r="AG69" s="752"/>
      <c r="AH69" s="755" t="str">
        <f t="shared" ref="AH69:AH78" si="74">IF(AG69="",".",AE69*AG69/AM69)</f>
        <v>.</v>
      </c>
      <c r="AI69" s="752"/>
      <c r="AJ69" s="753"/>
      <c r="AK69" s="753"/>
      <c r="AL69" s="753"/>
      <c r="AM69" s="854" t="str">
        <f t="shared" ref="AM69:AM78" si="75">IF(AE69="",".",IF(AG69&lt;&gt;"",AG69*AE69+AK69*(AF69/100),(AK69-AL69)*(AF69/100)+AI69*AJ69))</f>
        <v>.</v>
      </c>
      <c r="AN69" s="860"/>
      <c r="AO69" s="754"/>
      <c r="AP69" s="752"/>
      <c r="AQ69" s="755" t="str">
        <f t="shared" ref="AQ69:AQ78" si="76">IF(AP69="",".",AN69*AP69/AV69)</f>
        <v>.</v>
      </c>
      <c r="AR69" s="752"/>
      <c r="AS69" s="753"/>
      <c r="AT69" s="753"/>
      <c r="AU69" s="753"/>
      <c r="AV69" s="854" t="str">
        <f t="shared" ref="AV69:AV78" si="77">IF(AN69="",".",IF(AP69&lt;&gt;"",AP69*AN69+AT69*(AO69/100),(AT69-AU69)*(AO69/100)+AR69*AS69))</f>
        <v>.</v>
      </c>
      <c r="AW69" s="860"/>
      <c r="AX69" s="754"/>
      <c r="AY69" s="752"/>
      <c r="AZ69" s="755" t="str">
        <f t="shared" ref="AZ69:AZ78" si="78">IF(AY69="",".",AW69*AY69/BE69)</f>
        <v>.</v>
      </c>
      <c r="BA69" s="752"/>
      <c r="BB69" s="753"/>
      <c r="BC69" s="753"/>
      <c r="BD69" s="753"/>
      <c r="BE69" s="854" t="str">
        <f t="shared" ref="BE69:BE78" si="79">IF(AW69="",".",IF(AY69&lt;&gt;"",AY69*AW69+BC69*(AX69/100),(BC69-BD69)*(AX69/100)+BA69*BB69))</f>
        <v>.</v>
      </c>
      <c r="BF69" s="3"/>
    </row>
    <row r="70" spans="1:58" ht="12" x14ac:dyDescent="0.2">
      <c r="A70" s="841"/>
      <c r="B70" s="769" t="s">
        <v>583</v>
      </c>
      <c r="C70" s="820" t="str">
        <f>IF('WS3 - Notional General Income'!C69="","",'WS3 - Notional General Income'!C69)</f>
        <v/>
      </c>
      <c r="D70" s="860"/>
      <c r="E70" s="754"/>
      <c r="F70" s="752"/>
      <c r="G70" s="755" t="str">
        <f t="shared" si="68"/>
        <v>.</v>
      </c>
      <c r="H70" s="752"/>
      <c r="I70" s="753"/>
      <c r="J70" s="753"/>
      <c r="K70" s="753"/>
      <c r="L70" s="854" t="str">
        <f t="shared" si="69"/>
        <v>.</v>
      </c>
      <c r="M70" s="860"/>
      <c r="N70" s="754"/>
      <c r="O70" s="752"/>
      <c r="P70" s="755" t="str">
        <f t="shared" ref="P70:P78" si="80">IF(O70="",".",M70*O70/U70)</f>
        <v>.</v>
      </c>
      <c r="Q70" s="752"/>
      <c r="R70" s="753"/>
      <c r="S70" s="753"/>
      <c r="T70" s="753"/>
      <c r="U70" s="854" t="str">
        <f t="shared" ref="U70" si="81">IF(M70="",".",IF(O70&lt;&gt;"",O70*M70+S70*(N70/100),(S70-T70)*(N70/100)+Q70*R70))</f>
        <v>.</v>
      </c>
      <c r="V70" s="860"/>
      <c r="W70" s="754"/>
      <c r="X70" s="752"/>
      <c r="Y70" s="755" t="str">
        <f t="shared" si="72"/>
        <v>.</v>
      </c>
      <c r="Z70" s="752"/>
      <c r="AA70" s="753"/>
      <c r="AB70" s="753"/>
      <c r="AC70" s="753"/>
      <c r="AD70" s="854" t="str">
        <f t="shared" si="73"/>
        <v>.</v>
      </c>
      <c r="AE70" s="860"/>
      <c r="AF70" s="754"/>
      <c r="AG70" s="752"/>
      <c r="AH70" s="755" t="str">
        <f t="shared" si="74"/>
        <v>.</v>
      </c>
      <c r="AI70" s="752"/>
      <c r="AJ70" s="753"/>
      <c r="AK70" s="753"/>
      <c r="AL70" s="753"/>
      <c r="AM70" s="854" t="str">
        <f t="shared" si="75"/>
        <v>.</v>
      </c>
      <c r="AN70" s="860"/>
      <c r="AO70" s="754"/>
      <c r="AP70" s="752"/>
      <c r="AQ70" s="755" t="str">
        <f t="shared" si="76"/>
        <v>.</v>
      </c>
      <c r="AR70" s="752"/>
      <c r="AS70" s="753"/>
      <c r="AT70" s="753"/>
      <c r="AU70" s="753"/>
      <c r="AV70" s="854" t="str">
        <f t="shared" si="77"/>
        <v>.</v>
      </c>
      <c r="AW70" s="860"/>
      <c r="AX70" s="754"/>
      <c r="AY70" s="752"/>
      <c r="AZ70" s="755" t="str">
        <f t="shared" si="78"/>
        <v>.</v>
      </c>
      <c r="BA70" s="752"/>
      <c r="BB70" s="753"/>
      <c r="BC70" s="753"/>
      <c r="BD70" s="753"/>
      <c r="BE70" s="854" t="str">
        <f t="shared" si="79"/>
        <v>.</v>
      </c>
      <c r="BF70" s="3"/>
    </row>
    <row r="71" spans="1:58" ht="12" x14ac:dyDescent="0.2">
      <c r="A71" s="841"/>
      <c r="B71" s="769" t="s">
        <v>583</v>
      </c>
      <c r="C71" s="820" t="str">
        <f>IF('WS3 - Notional General Income'!C70="","",'WS3 - Notional General Income'!C70)</f>
        <v/>
      </c>
      <c r="D71" s="860"/>
      <c r="E71" s="754"/>
      <c r="F71" s="752"/>
      <c r="G71" s="755" t="str">
        <f t="shared" si="68"/>
        <v>.</v>
      </c>
      <c r="H71" s="752"/>
      <c r="I71" s="753"/>
      <c r="J71" s="753"/>
      <c r="K71" s="753"/>
      <c r="L71" s="854" t="str">
        <f t="shared" si="69"/>
        <v>.</v>
      </c>
      <c r="M71" s="860"/>
      <c r="N71" s="754"/>
      <c r="O71" s="752"/>
      <c r="P71" s="755" t="str">
        <f t="shared" si="80"/>
        <v>.</v>
      </c>
      <c r="Q71" s="752"/>
      <c r="R71" s="753"/>
      <c r="S71" s="753"/>
      <c r="T71" s="753"/>
      <c r="U71" s="854" t="str">
        <f t="shared" ref="U71" si="82">IF(M71="",".",IF(O71&lt;&gt;"",O71*M71+S71*(N71/100),(S71-T71)*(N71/100)+Q71*R71))</f>
        <v>.</v>
      </c>
      <c r="V71" s="860"/>
      <c r="W71" s="754"/>
      <c r="X71" s="752"/>
      <c r="Y71" s="755" t="str">
        <f t="shared" si="72"/>
        <v>.</v>
      </c>
      <c r="Z71" s="752"/>
      <c r="AA71" s="753"/>
      <c r="AB71" s="753"/>
      <c r="AC71" s="753"/>
      <c r="AD71" s="854" t="str">
        <f t="shared" si="73"/>
        <v>.</v>
      </c>
      <c r="AE71" s="860"/>
      <c r="AF71" s="754"/>
      <c r="AG71" s="752"/>
      <c r="AH71" s="755" t="str">
        <f t="shared" si="74"/>
        <v>.</v>
      </c>
      <c r="AI71" s="752"/>
      <c r="AJ71" s="753"/>
      <c r="AK71" s="753"/>
      <c r="AL71" s="753"/>
      <c r="AM71" s="854" t="str">
        <f t="shared" si="75"/>
        <v>.</v>
      </c>
      <c r="AN71" s="860"/>
      <c r="AO71" s="754"/>
      <c r="AP71" s="752"/>
      <c r="AQ71" s="755" t="str">
        <f t="shared" si="76"/>
        <v>.</v>
      </c>
      <c r="AR71" s="752"/>
      <c r="AS71" s="753"/>
      <c r="AT71" s="753"/>
      <c r="AU71" s="753"/>
      <c r="AV71" s="854" t="str">
        <f t="shared" si="77"/>
        <v>.</v>
      </c>
      <c r="AW71" s="860"/>
      <c r="AX71" s="754"/>
      <c r="AY71" s="752"/>
      <c r="AZ71" s="755" t="str">
        <f t="shared" si="78"/>
        <v>.</v>
      </c>
      <c r="BA71" s="752"/>
      <c r="BB71" s="753"/>
      <c r="BC71" s="753"/>
      <c r="BD71" s="753"/>
      <c r="BE71" s="854" t="str">
        <f t="shared" si="79"/>
        <v>.</v>
      </c>
      <c r="BF71" s="3"/>
    </row>
    <row r="72" spans="1:58" ht="12" x14ac:dyDescent="0.2">
      <c r="A72" s="841"/>
      <c r="B72" s="769" t="s">
        <v>583</v>
      </c>
      <c r="C72" s="820" t="str">
        <f>IF('WS3 - Notional General Income'!C71="","",'WS3 - Notional General Income'!C71)</f>
        <v/>
      </c>
      <c r="D72" s="860"/>
      <c r="E72" s="754"/>
      <c r="F72" s="752"/>
      <c r="G72" s="755" t="str">
        <f t="shared" si="68"/>
        <v>.</v>
      </c>
      <c r="H72" s="752"/>
      <c r="I72" s="753"/>
      <c r="J72" s="753"/>
      <c r="K72" s="753"/>
      <c r="L72" s="854" t="str">
        <f t="shared" si="69"/>
        <v>.</v>
      </c>
      <c r="M72" s="860"/>
      <c r="N72" s="754"/>
      <c r="O72" s="752"/>
      <c r="P72" s="755" t="str">
        <f t="shared" si="80"/>
        <v>.</v>
      </c>
      <c r="Q72" s="752"/>
      <c r="R72" s="753"/>
      <c r="S72" s="753"/>
      <c r="T72" s="753"/>
      <c r="U72" s="854" t="str">
        <f t="shared" ref="U72" si="83">IF(M72="",".",IF(O72&lt;&gt;"",O72*M72+S72*(N72/100),(S72-T72)*(N72/100)+Q72*R72))</f>
        <v>.</v>
      </c>
      <c r="V72" s="860"/>
      <c r="W72" s="754"/>
      <c r="X72" s="752"/>
      <c r="Y72" s="755" t="str">
        <f t="shared" si="72"/>
        <v>.</v>
      </c>
      <c r="Z72" s="752"/>
      <c r="AA72" s="753"/>
      <c r="AB72" s="753"/>
      <c r="AC72" s="753"/>
      <c r="AD72" s="854" t="str">
        <f t="shared" si="73"/>
        <v>.</v>
      </c>
      <c r="AE72" s="860"/>
      <c r="AF72" s="754"/>
      <c r="AG72" s="752"/>
      <c r="AH72" s="755" t="str">
        <f t="shared" si="74"/>
        <v>.</v>
      </c>
      <c r="AI72" s="752"/>
      <c r="AJ72" s="753"/>
      <c r="AK72" s="753"/>
      <c r="AL72" s="753"/>
      <c r="AM72" s="854" t="str">
        <f t="shared" si="75"/>
        <v>.</v>
      </c>
      <c r="AN72" s="860"/>
      <c r="AO72" s="754"/>
      <c r="AP72" s="752"/>
      <c r="AQ72" s="755" t="str">
        <f t="shared" si="76"/>
        <v>.</v>
      </c>
      <c r="AR72" s="752"/>
      <c r="AS72" s="753"/>
      <c r="AT72" s="753"/>
      <c r="AU72" s="753"/>
      <c r="AV72" s="854" t="str">
        <f t="shared" si="77"/>
        <v>.</v>
      </c>
      <c r="AW72" s="860"/>
      <c r="AX72" s="754"/>
      <c r="AY72" s="752"/>
      <c r="AZ72" s="755" t="str">
        <f t="shared" si="78"/>
        <v>.</v>
      </c>
      <c r="BA72" s="752"/>
      <c r="BB72" s="753"/>
      <c r="BC72" s="753"/>
      <c r="BD72" s="753"/>
      <c r="BE72" s="854" t="str">
        <f t="shared" si="79"/>
        <v>.</v>
      </c>
      <c r="BF72" s="3"/>
    </row>
    <row r="73" spans="1:58" ht="12" x14ac:dyDescent="0.2">
      <c r="A73" s="841"/>
      <c r="B73" s="769" t="s">
        <v>583</v>
      </c>
      <c r="C73" s="820" t="str">
        <f>IF('WS3 - Notional General Income'!C72="","",'WS3 - Notional General Income'!C72)</f>
        <v/>
      </c>
      <c r="D73" s="861"/>
      <c r="E73" s="754"/>
      <c r="F73" s="752"/>
      <c r="G73" s="755" t="str">
        <f t="shared" si="68"/>
        <v>.</v>
      </c>
      <c r="H73" s="752"/>
      <c r="I73" s="753"/>
      <c r="J73" s="753"/>
      <c r="K73" s="753"/>
      <c r="L73" s="854" t="str">
        <f t="shared" si="69"/>
        <v>.</v>
      </c>
      <c r="M73" s="861"/>
      <c r="N73" s="754"/>
      <c r="O73" s="752"/>
      <c r="P73" s="755" t="str">
        <f t="shared" si="80"/>
        <v>.</v>
      </c>
      <c r="Q73" s="752"/>
      <c r="R73" s="753"/>
      <c r="S73" s="753"/>
      <c r="T73" s="753"/>
      <c r="U73" s="854" t="str">
        <f t="shared" ref="U73" si="84">IF(M73="",".",IF(O73&lt;&gt;"",O73*M73+S73*(N73/100),(S73-T73)*(N73/100)+Q73*R73))</f>
        <v>.</v>
      </c>
      <c r="V73" s="861"/>
      <c r="W73" s="754"/>
      <c r="X73" s="752"/>
      <c r="Y73" s="755" t="str">
        <f t="shared" si="72"/>
        <v>.</v>
      </c>
      <c r="Z73" s="752"/>
      <c r="AA73" s="753"/>
      <c r="AB73" s="753"/>
      <c r="AC73" s="753"/>
      <c r="AD73" s="854" t="str">
        <f t="shared" si="73"/>
        <v>.</v>
      </c>
      <c r="AE73" s="861"/>
      <c r="AF73" s="754"/>
      <c r="AG73" s="752"/>
      <c r="AH73" s="755" t="str">
        <f t="shared" si="74"/>
        <v>.</v>
      </c>
      <c r="AI73" s="752"/>
      <c r="AJ73" s="753"/>
      <c r="AK73" s="753"/>
      <c r="AL73" s="753"/>
      <c r="AM73" s="854" t="str">
        <f t="shared" si="75"/>
        <v>.</v>
      </c>
      <c r="AN73" s="861"/>
      <c r="AO73" s="754"/>
      <c r="AP73" s="752"/>
      <c r="AQ73" s="755" t="str">
        <f t="shared" si="76"/>
        <v>.</v>
      </c>
      <c r="AR73" s="752"/>
      <c r="AS73" s="753"/>
      <c r="AT73" s="753"/>
      <c r="AU73" s="753"/>
      <c r="AV73" s="854" t="str">
        <f t="shared" si="77"/>
        <v>.</v>
      </c>
      <c r="AW73" s="861"/>
      <c r="AX73" s="754"/>
      <c r="AY73" s="752"/>
      <c r="AZ73" s="755" t="str">
        <f t="shared" si="78"/>
        <v>.</v>
      </c>
      <c r="BA73" s="752"/>
      <c r="BB73" s="753"/>
      <c r="BC73" s="753"/>
      <c r="BD73" s="753"/>
      <c r="BE73" s="854" t="str">
        <f t="shared" si="79"/>
        <v>.</v>
      </c>
      <c r="BF73" s="3"/>
    </row>
    <row r="74" spans="1:58" ht="12" x14ac:dyDescent="0.2">
      <c r="A74" s="841"/>
      <c r="B74" s="769" t="s">
        <v>583</v>
      </c>
      <c r="C74" s="820" t="str">
        <f>IF('WS3 - Notional General Income'!C73="","",'WS3 - Notional General Income'!C73)</f>
        <v/>
      </c>
      <c r="D74" s="861"/>
      <c r="E74" s="754"/>
      <c r="F74" s="752"/>
      <c r="G74" s="755" t="str">
        <f t="shared" si="68"/>
        <v>.</v>
      </c>
      <c r="H74" s="752"/>
      <c r="I74" s="753"/>
      <c r="J74" s="753"/>
      <c r="K74" s="753"/>
      <c r="L74" s="854" t="str">
        <f t="shared" si="69"/>
        <v>.</v>
      </c>
      <c r="M74" s="861"/>
      <c r="N74" s="754"/>
      <c r="O74" s="752"/>
      <c r="P74" s="755" t="str">
        <f t="shared" si="80"/>
        <v>.</v>
      </c>
      <c r="Q74" s="752"/>
      <c r="R74" s="753"/>
      <c r="S74" s="753"/>
      <c r="T74" s="753"/>
      <c r="U74" s="854" t="str">
        <f t="shared" ref="U74" si="85">IF(M74="",".",IF(O74&lt;&gt;"",O74*M74+S74*(N74/100),(S74-T74)*(N74/100)+Q74*R74))</f>
        <v>.</v>
      </c>
      <c r="V74" s="861"/>
      <c r="W74" s="754"/>
      <c r="X74" s="752"/>
      <c r="Y74" s="755" t="str">
        <f t="shared" si="72"/>
        <v>.</v>
      </c>
      <c r="Z74" s="752"/>
      <c r="AA74" s="753"/>
      <c r="AB74" s="753"/>
      <c r="AC74" s="753"/>
      <c r="AD74" s="854" t="str">
        <f t="shared" si="73"/>
        <v>.</v>
      </c>
      <c r="AE74" s="861"/>
      <c r="AF74" s="754"/>
      <c r="AG74" s="752"/>
      <c r="AH74" s="755" t="str">
        <f t="shared" si="74"/>
        <v>.</v>
      </c>
      <c r="AI74" s="752"/>
      <c r="AJ74" s="753"/>
      <c r="AK74" s="753"/>
      <c r="AL74" s="753"/>
      <c r="AM74" s="854" t="str">
        <f t="shared" si="75"/>
        <v>.</v>
      </c>
      <c r="AN74" s="861"/>
      <c r="AO74" s="754"/>
      <c r="AP74" s="752"/>
      <c r="AQ74" s="755" t="str">
        <f t="shared" si="76"/>
        <v>.</v>
      </c>
      <c r="AR74" s="752"/>
      <c r="AS74" s="753"/>
      <c r="AT74" s="753"/>
      <c r="AU74" s="753"/>
      <c r="AV74" s="854" t="str">
        <f t="shared" si="77"/>
        <v>.</v>
      </c>
      <c r="AW74" s="861"/>
      <c r="AX74" s="754"/>
      <c r="AY74" s="752"/>
      <c r="AZ74" s="755" t="str">
        <f t="shared" si="78"/>
        <v>.</v>
      </c>
      <c r="BA74" s="752"/>
      <c r="BB74" s="753"/>
      <c r="BC74" s="753"/>
      <c r="BD74" s="753"/>
      <c r="BE74" s="854" t="str">
        <f t="shared" si="79"/>
        <v>.</v>
      </c>
      <c r="BF74" s="3"/>
    </row>
    <row r="75" spans="1:58" ht="12" x14ac:dyDescent="0.2">
      <c r="A75" s="841"/>
      <c r="B75" s="769" t="s">
        <v>583</v>
      </c>
      <c r="C75" s="820" t="str">
        <f>IF('WS3 - Notional General Income'!C74="","",'WS3 - Notional General Income'!C74)</f>
        <v/>
      </c>
      <c r="D75" s="861"/>
      <c r="E75" s="754"/>
      <c r="F75" s="752"/>
      <c r="G75" s="755" t="str">
        <f t="shared" si="68"/>
        <v>.</v>
      </c>
      <c r="H75" s="752"/>
      <c r="I75" s="753"/>
      <c r="J75" s="753"/>
      <c r="K75" s="753"/>
      <c r="L75" s="854" t="str">
        <f t="shared" si="69"/>
        <v>.</v>
      </c>
      <c r="M75" s="861"/>
      <c r="N75" s="754"/>
      <c r="O75" s="752"/>
      <c r="P75" s="755" t="str">
        <f t="shared" si="80"/>
        <v>.</v>
      </c>
      <c r="Q75" s="752"/>
      <c r="R75" s="753"/>
      <c r="S75" s="753"/>
      <c r="T75" s="753"/>
      <c r="U75" s="854" t="str">
        <f t="shared" ref="U75" si="86">IF(M75="",".",IF(O75&lt;&gt;"",O75*M75+S75*(N75/100),(S75-T75)*(N75/100)+Q75*R75))</f>
        <v>.</v>
      </c>
      <c r="V75" s="861"/>
      <c r="W75" s="754"/>
      <c r="X75" s="752"/>
      <c r="Y75" s="755" t="str">
        <f t="shared" si="72"/>
        <v>.</v>
      </c>
      <c r="Z75" s="752"/>
      <c r="AA75" s="753"/>
      <c r="AB75" s="753"/>
      <c r="AC75" s="753"/>
      <c r="AD75" s="854" t="str">
        <f t="shared" si="73"/>
        <v>.</v>
      </c>
      <c r="AE75" s="861"/>
      <c r="AF75" s="754"/>
      <c r="AG75" s="752"/>
      <c r="AH75" s="755" t="str">
        <f t="shared" si="74"/>
        <v>.</v>
      </c>
      <c r="AI75" s="752"/>
      <c r="AJ75" s="753"/>
      <c r="AK75" s="753"/>
      <c r="AL75" s="753"/>
      <c r="AM75" s="854" t="str">
        <f t="shared" si="75"/>
        <v>.</v>
      </c>
      <c r="AN75" s="861"/>
      <c r="AO75" s="754"/>
      <c r="AP75" s="752"/>
      <c r="AQ75" s="755" t="str">
        <f t="shared" si="76"/>
        <v>.</v>
      </c>
      <c r="AR75" s="752"/>
      <c r="AS75" s="753"/>
      <c r="AT75" s="753"/>
      <c r="AU75" s="753"/>
      <c r="AV75" s="854" t="str">
        <f t="shared" si="77"/>
        <v>.</v>
      </c>
      <c r="AW75" s="861"/>
      <c r="AX75" s="754"/>
      <c r="AY75" s="752"/>
      <c r="AZ75" s="755" t="str">
        <f t="shared" si="78"/>
        <v>.</v>
      </c>
      <c r="BA75" s="752"/>
      <c r="BB75" s="753"/>
      <c r="BC75" s="753"/>
      <c r="BD75" s="753"/>
      <c r="BE75" s="854" t="str">
        <f t="shared" si="79"/>
        <v>.</v>
      </c>
      <c r="BF75" s="3"/>
    </row>
    <row r="76" spans="1:58" ht="12" x14ac:dyDescent="0.2">
      <c r="A76" s="841"/>
      <c r="B76" s="769" t="s">
        <v>583</v>
      </c>
      <c r="C76" s="820" t="str">
        <f>IF('WS3 - Notional General Income'!C75="","",'WS3 - Notional General Income'!C75)</f>
        <v/>
      </c>
      <c r="D76" s="861"/>
      <c r="E76" s="754"/>
      <c r="F76" s="752"/>
      <c r="G76" s="755" t="str">
        <f t="shared" si="68"/>
        <v>.</v>
      </c>
      <c r="H76" s="752"/>
      <c r="I76" s="753"/>
      <c r="J76" s="753"/>
      <c r="K76" s="753"/>
      <c r="L76" s="854" t="str">
        <f t="shared" si="69"/>
        <v>.</v>
      </c>
      <c r="M76" s="861"/>
      <c r="N76" s="754"/>
      <c r="O76" s="752"/>
      <c r="P76" s="755" t="str">
        <f t="shared" si="80"/>
        <v>.</v>
      </c>
      <c r="Q76" s="752"/>
      <c r="R76" s="753"/>
      <c r="S76" s="753"/>
      <c r="T76" s="753"/>
      <c r="U76" s="854" t="str">
        <f t="shared" ref="U76" si="87">IF(M76="",".",IF(O76&lt;&gt;"",O76*M76+S76*(N76/100),(S76-T76)*(N76/100)+Q76*R76))</f>
        <v>.</v>
      </c>
      <c r="V76" s="861"/>
      <c r="W76" s="754"/>
      <c r="X76" s="752"/>
      <c r="Y76" s="755" t="str">
        <f t="shared" si="72"/>
        <v>.</v>
      </c>
      <c r="Z76" s="752"/>
      <c r="AA76" s="753"/>
      <c r="AB76" s="753"/>
      <c r="AC76" s="753"/>
      <c r="AD76" s="854" t="str">
        <f t="shared" si="73"/>
        <v>.</v>
      </c>
      <c r="AE76" s="861"/>
      <c r="AF76" s="754"/>
      <c r="AG76" s="752"/>
      <c r="AH76" s="755" t="str">
        <f t="shared" si="74"/>
        <v>.</v>
      </c>
      <c r="AI76" s="752"/>
      <c r="AJ76" s="753"/>
      <c r="AK76" s="753"/>
      <c r="AL76" s="753"/>
      <c r="AM76" s="854" t="str">
        <f t="shared" si="75"/>
        <v>.</v>
      </c>
      <c r="AN76" s="861"/>
      <c r="AO76" s="754"/>
      <c r="AP76" s="752"/>
      <c r="AQ76" s="755" t="str">
        <f t="shared" si="76"/>
        <v>.</v>
      </c>
      <c r="AR76" s="752"/>
      <c r="AS76" s="753"/>
      <c r="AT76" s="753"/>
      <c r="AU76" s="753"/>
      <c r="AV76" s="854" t="str">
        <f t="shared" si="77"/>
        <v>.</v>
      </c>
      <c r="AW76" s="861"/>
      <c r="AX76" s="754"/>
      <c r="AY76" s="752"/>
      <c r="AZ76" s="755" t="str">
        <f t="shared" si="78"/>
        <v>.</v>
      </c>
      <c r="BA76" s="752"/>
      <c r="BB76" s="753"/>
      <c r="BC76" s="753"/>
      <c r="BD76" s="753"/>
      <c r="BE76" s="854" t="str">
        <f t="shared" si="79"/>
        <v>.</v>
      </c>
      <c r="BF76" s="3"/>
    </row>
    <row r="77" spans="1:58" ht="12" x14ac:dyDescent="0.2">
      <c r="A77" s="841"/>
      <c r="B77" s="769" t="s">
        <v>583</v>
      </c>
      <c r="C77" s="820" t="str">
        <f>IF('WS3 - Notional General Income'!C76="","",'WS3 - Notional General Income'!C76)</f>
        <v/>
      </c>
      <c r="D77" s="861"/>
      <c r="E77" s="754"/>
      <c r="F77" s="752"/>
      <c r="G77" s="755" t="str">
        <f t="shared" si="68"/>
        <v>.</v>
      </c>
      <c r="H77" s="752"/>
      <c r="I77" s="753"/>
      <c r="J77" s="753"/>
      <c r="K77" s="753"/>
      <c r="L77" s="854" t="str">
        <f t="shared" si="69"/>
        <v>.</v>
      </c>
      <c r="M77" s="861"/>
      <c r="N77" s="754"/>
      <c r="O77" s="752"/>
      <c r="P77" s="755" t="str">
        <f t="shared" si="80"/>
        <v>.</v>
      </c>
      <c r="Q77" s="752"/>
      <c r="R77" s="753"/>
      <c r="S77" s="753"/>
      <c r="T77" s="753"/>
      <c r="U77" s="854" t="str">
        <f t="shared" ref="U77" si="88">IF(M77="",".",IF(O77&lt;&gt;"",O77*M77+S77*(N77/100),(S77-T77)*(N77/100)+Q77*R77))</f>
        <v>.</v>
      </c>
      <c r="V77" s="861"/>
      <c r="W77" s="754"/>
      <c r="X77" s="752"/>
      <c r="Y77" s="755" t="str">
        <f t="shared" si="72"/>
        <v>.</v>
      </c>
      <c r="Z77" s="752"/>
      <c r="AA77" s="753"/>
      <c r="AB77" s="753"/>
      <c r="AC77" s="753"/>
      <c r="AD77" s="854" t="str">
        <f t="shared" si="73"/>
        <v>.</v>
      </c>
      <c r="AE77" s="861"/>
      <c r="AF77" s="754"/>
      <c r="AG77" s="752"/>
      <c r="AH77" s="755" t="str">
        <f t="shared" si="74"/>
        <v>.</v>
      </c>
      <c r="AI77" s="752"/>
      <c r="AJ77" s="753"/>
      <c r="AK77" s="753"/>
      <c r="AL77" s="753"/>
      <c r="AM77" s="854" t="str">
        <f t="shared" si="75"/>
        <v>.</v>
      </c>
      <c r="AN77" s="861"/>
      <c r="AO77" s="754"/>
      <c r="AP77" s="752"/>
      <c r="AQ77" s="755" t="str">
        <f t="shared" si="76"/>
        <v>.</v>
      </c>
      <c r="AR77" s="752"/>
      <c r="AS77" s="753"/>
      <c r="AT77" s="753"/>
      <c r="AU77" s="753"/>
      <c r="AV77" s="854" t="str">
        <f t="shared" si="77"/>
        <v>.</v>
      </c>
      <c r="AW77" s="861"/>
      <c r="AX77" s="754"/>
      <c r="AY77" s="752"/>
      <c r="AZ77" s="755" t="str">
        <f t="shared" si="78"/>
        <v>.</v>
      </c>
      <c r="BA77" s="752"/>
      <c r="BB77" s="753"/>
      <c r="BC77" s="753"/>
      <c r="BD77" s="753"/>
      <c r="BE77" s="854" t="str">
        <f t="shared" si="79"/>
        <v>.</v>
      </c>
      <c r="BF77" s="3"/>
    </row>
    <row r="78" spans="1:58" ht="12" x14ac:dyDescent="0.2">
      <c r="A78" s="841"/>
      <c r="B78" s="769" t="s">
        <v>583</v>
      </c>
      <c r="C78" s="820" t="str">
        <f>IF('WS3 - Notional General Income'!C77="","",'WS3 - Notional General Income'!C77)</f>
        <v/>
      </c>
      <c r="D78" s="861"/>
      <c r="E78" s="754"/>
      <c r="F78" s="752"/>
      <c r="G78" s="755" t="str">
        <f t="shared" si="68"/>
        <v>.</v>
      </c>
      <c r="H78" s="752"/>
      <c r="I78" s="753"/>
      <c r="J78" s="753"/>
      <c r="K78" s="753"/>
      <c r="L78" s="854" t="str">
        <f t="shared" si="69"/>
        <v>.</v>
      </c>
      <c r="M78" s="861"/>
      <c r="N78" s="754"/>
      <c r="O78" s="752"/>
      <c r="P78" s="755" t="str">
        <f t="shared" si="80"/>
        <v>.</v>
      </c>
      <c r="Q78" s="752"/>
      <c r="R78" s="753"/>
      <c r="S78" s="753"/>
      <c r="T78" s="753"/>
      <c r="U78" s="854" t="str">
        <f t="shared" ref="U78" si="89">IF(M78="",".",IF(O78&lt;&gt;"",O78*M78+S78*(N78/100),(S78-T78)*(N78/100)+Q78*R78))</f>
        <v>.</v>
      </c>
      <c r="V78" s="861"/>
      <c r="W78" s="754"/>
      <c r="X78" s="752"/>
      <c r="Y78" s="755" t="str">
        <f t="shared" si="72"/>
        <v>.</v>
      </c>
      <c r="Z78" s="752"/>
      <c r="AA78" s="753"/>
      <c r="AB78" s="753"/>
      <c r="AC78" s="753"/>
      <c r="AD78" s="854" t="str">
        <f t="shared" si="73"/>
        <v>.</v>
      </c>
      <c r="AE78" s="861"/>
      <c r="AF78" s="754"/>
      <c r="AG78" s="752"/>
      <c r="AH78" s="755" t="str">
        <f t="shared" si="74"/>
        <v>.</v>
      </c>
      <c r="AI78" s="752"/>
      <c r="AJ78" s="753"/>
      <c r="AK78" s="753"/>
      <c r="AL78" s="753"/>
      <c r="AM78" s="854" t="str">
        <f t="shared" si="75"/>
        <v>.</v>
      </c>
      <c r="AN78" s="861"/>
      <c r="AO78" s="754"/>
      <c r="AP78" s="752"/>
      <c r="AQ78" s="755" t="str">
        <f t="shared" si="76"/>
        <v>.</v>
      </c>
      <c r="AR78" s="752"/>
      <c r="AS78" s="753"/>
      <c r="AT78" s="753"/>
      <c r="AU78" s="753"/>
      <c r="AV78" s="854" t="str">
        <f t="shared" si="77"/>
        <v>.</v>
      </c>
      <c r="AW78" s="861"/>
      <c r="AX78" s="754"/>
      <c r="AY78" s="752"/>
      <c r="AZ78" s="755" t="str">
        <f t="shared" si="78"/>
        <v>.</v>
      </c>
      <c r="BA78" s="752"/>
      <c r="BB78" s="753"/>
      <c r="BC78" s="753"/>
      <c r="BD78" s="753"/>
      <c r="BE78" s="854" t="str">
        <f t="shared" si="79"/>
        <v>.</v>
      </c>
      <c r="BF78" s="3"/>
    </row>
    <row r="79" spans="1:58" s="6" customFormat="1" ht="12" x14ac:dyDescent="0.2">
      <c r="A79" s="841"/>
      <c r="B79" s="757"/>
      <c r="C79" s="883" t="s">
        <v>584</v>
      </c>
      <c r="D79" s="863">
        <f>SUM(D69:D78)</f>
        <v>0</v>
      </c>
      <c r="E79" s="738"/>
      <c r="F79" s="739"/>
      <c r="G79" s="740"/>
      <c r="H79" s="739"/>
      <c r="I79" s="737">
        <f>SUM(I69:I78)</f>
        <v>0</v>
      </c>
      <c r="J79" s="737">
        <f>SUM(J69:J78)</f>
        <v>0</v>
      </c>
      <c r="K79" s="737">
        <f>SUM(K69:K78)</f>
        <v>0</v>
      </c>
      <c r="L79" s="856">
        <f>SUM(L69:L78)</f>
        <v>0</v>
      </c>
      <c r="M79" s="863">
        <f>SUM(M69:M78)</f>
        <v>0</v>
      </c>
      <c r="N79" s="738"/>
      <c r="O79" s="739"/>
      <c r="P79" s="740"/>
      <c r="Q79" s="872">
        <f t="shared" ref="Q79:U79" si="90">SUM(Q69:Q78)</f>
        <v>0</v>
      </c>
      <c r="R79" s="737">
        <f t="shared" si="90"/>
        <v>0</v>
      </c>
      <c r="S79" s="737">
        <f t="shared" si="90"/>
        <v>0</v>
      </c>
      <c r="T79" s="737">
        <f t="shared" si="90"/>
        <v>0</v>
      </c>
      <c r="U79" s="856">
        <f t="shared" si="90"/>
        <v>0</v>
      </c>
      <c r="V79" s="863">
        <f>SUM(V69:V78)</f>
        <v>0</v>
      </c>
      <c r="W79" s="738"/>
      <c r="X79" s="739"/>
      <c r="Y79" s="740"/>
      <c r="Z79" s="872"/>
      <c r="AA79" s="737"/>
      <c r="AB79" s="737">
        <f t="shared" ref="AB79" si="91">SUM(AB69:AB78)</f>
        <v>0</v>
      </c>
      <c r="AC79" s="737">
        <f t="shared" ref="AC79" si="92">SUM(AC69:AC78)</f>
        <v>0</v>
      </c>
      <c r="AD79" s="856">
        <f t="shared" ref="AD79" si="93">SUM(AD69:AD78)</f>
        <v>0</v>
      </c>
      <c r="AE79" s="863">
        <f>SUM(AE69:AE78)</f>
        <v>0</v>
      </c>
      <c r="AF79" s="738"/>
      <c r="AG79" s="739"/>
      <c r="AH79" s="740"/>
      <c r="AI79" s="872">
        <f t="shared" ref="AI79" si="94">SUM(AI69:AI78)</f>
        <v>0</v>
      </c>
      <c r="AJ79" s="737">
        <f t="shared" ref="AJ79" si="95">SUM(AJ69:AJ78)</f>
        <v>0</v>
      </c>
      <c r="AK79" s="737">
        <f t="shared" ref="AK79" si="96">SUM(AK69:AK78)</f>
        <v>0</v>
      </c>
      <c r="AL79" s="737">
        <f t="shared" ref="AL79" si="97">SUM(AL69:AL78)</f>
        <v>0</v>
      </c>
      <c r="AM79" s="856">
        <f t="shared" ref="AM79" si="98">SUM(AM69:AM78)</f>
        <v>0</v>
      </c>
      <c r="AN79" s="863">
        <f>SUM(AN69:AN78)</f>
        <v>0</v>
      </c>
      <c r="AO79" s="738"/>
      <c r="AP79" s="739"/>
      <c r="AQ79" s="740"/>
      <c r="AR79" s="872">
        <f t="shared" ref="AR79" si="99">SUM(AR69:AR78)</f>
        <v>0</v>
      </c>
      <c r="AS79" s="737">
        <f t="shared" ref="AS79" si="100">SUM(AS69:AS78)</f>
        <v>0</v>
      </c>
      <c r="AT79" s="737">
        <f t="shared" ref="AT79" si="101">SUM(AT69:AT78)</f>
        <v>0</v>
      </c>
      <c r="AU79" s="737">
        <f t="shared" ref="AU79" si="102">SUM(AU69:AU78)</f>
        <v>0</v>
      </c>
      <c r="AV79" s="856">
        <f t="shared" ref="AV79" si="103">SUM(AV69:AV78)</f>
        <v>0</v>
      </c>
      <c r="AW79" s="863">
        <f>SUM(AW69:AW78)</f>
        <v>0</v>
      </c>
      <c r="AX79" s="738"/>
      <c r="AY79" s="739"/>
      <c r="AZ79" s="740"/>
      <c r="BA79" s="872">
        <f t="shared" ref="BA79" si="104">SUM(BA69:BA78)</f>
        <v>0</v>
      </c>
      <c r="BB79" s="737">
        <f t="shared" ref="BB79" si="105">SUM(BB69:BB78)</f>
        <v>0</v>
      </c>
      <c r="BC79" s="737">
        <f t="shared" ref="BC79" si="106">SUM(BC69:BC78)</f>
        <v>0</v>
      </c>
      <c r="BD79" s="737">
        <f t="shared" ref="BD79" si="107">SUM(BD69:BD78)</f>
        <v>0</v>
      </c>
      <c r="BE79" s="856">
        <f t="shared" ref="BE79" si="108">SUM(BE69:BE78)</f>
        <v>0</v>
      </c>
      <c r="BF79" s="2"/>
    </row>
    <row r="80" spans="1:58" ht="12" x14ac:dyDescent="0.2">
      <c r="A80" s="841"/>
      <c r="B80" s="769" t="s">
        <v>585</v>
      </c>
      <c r="C80" s="820" t="str">
        <f>IF('WS3 - Notional General Income'!C79="","",'WS3 - Notional General Income'!C79)</f>
        <v/>
      </c>
      <c r="D80" s="860"/>
      <c r="E80" s="754"/>
      <c r="F80" s="752"/>
      <c r="G80" s="755" t="str">
        <f t="shared" ref="G80:G89" si="109">IF(F80="",".",D80*F80/L80)</f>
        <v>.</v>
      </c>
      <c r="H80" s="752"/>
      <c r="I80" s="753"/>
      <c r="J80" s="753"/>
      <c r="K80" s="753"/>
      <c r="L80" s="854" t="str">
        <f t="shared" ref="L80:L89" si="110">IF(D80="",".",IF(F80&lt;&gt;"",F80*D80+J80*(E80/100),(J80-K80)*(E80/100)+H80*I80))</f>
        <v>.</v>
      </c>
      <c r="M80" s="860"/>
      <c r="N80" s="754"/>
      <c r="O80" s="752"/>
      <c r="P80" s="755" t="str">
        <f t="shared" ref="P80" si="111">IF(O80="",".",M80*O80/U80)</f>
        <v>.</v>
      </c>
      <c r="Q80" s="752"/>
      <c r="R80" s="753"/>
      <c r="S80" s="753"/>
      <c r="T80" s="753"/>
      <c r="U80" s="854" t="str">
        <f t="shared" ref="U80" si="112">IF(M80="",".",IF(O80&lt;&gt;"",O80*M80+S80*(N80/100),(S80-T80)*(N80/100)+Q80*R80))</f>
        <v>.</v>
      </c>
      <c r="V80" s="860"/>
      <c r="W80" s="754"/>
      <c r="X80" s="752"/>
      <c r="Y80" s="755" t="str">
        <f t="shared" ref="Y80:Y89" si="113">IF(X80="",".",V80*X80/AD80)</f>
        <v>.</v>
      </c>
      <c r="Z80" s="752"/>
      <c r="AA80" s="753"/>
      <c r="AB80" s="753"/>
      <c r="AC80" s="753"/>
      <c r="AD80" s="854" t="str">
        <f t="shared" ref="AD80:AD89" si="114">IF(V80="",".",IF(X80&lt;&gt;"",X80*V80+AB80*(W80/100),(AB80-AC80)*(W80/100)+Z80*AA80))</f>
        <v>.</v>
      </c>
      <c r="AE80" s="860"/>
      <c r="AF80" s="754"/>
      <c r="AG80" s="752"/>
      <c r="AH80" s="755" t="str">
        <f t="shared" ref="AH80:AH89" si="115">IF(AG80="",".",AE80*AG80/AM80)</f>
        <v>.</v>
      </c>
      <c r="AI80" s="752"/>
      <c r="AJ80" s="753"/>
      <c r="AK80" s="753"/>
      <c r="AL80" s="753"/>
      <c r="AM80" s="854" t="str">
        <f t="shared" ref="AM80:AM89" si="116">IF(AE80="",".",IF(AG80&lt;&gt;"",AG80*AE80+AK80*(AF80/100),(AK80-AL80)*(AF80/100)+AI80*AJ80))</f>
        <v>.</v>
      </c>
      <c r="AN80" s="860"/>
      <c r="AO80" s="754"/>
      <c r="AP80" s="752"/>
      <c r="AQ80" s="755" t="str">
        <f t="shared" ref="AQ80:AQ89" si="117">IF(AP80="",".",AN80*AP80/AV80)</f>
        <v>.</v>
      </c>
      <c r="AR80" s="752"/>
      <c r="AS80" s="753"/>
      <c r="AT80" s="753"/>
      <c r="AU80" s="753"/>
      <c r="AV80" s="854" t="str">
        <f t="shared" ref="AV80:AV89" si="118">IF(AN80="",".",IF(AP80&lt;&gt;"",AP80*AN80+AT80*(AO80/100),(AT80-AU80)*(AO80/100)+AR80*AS80))</f>
        <v>.</v>
      </c>
      <c r="AW80" s="860"/>
      <c r="AX80" s="754"/>
      <c r="AY80" s="752"/>
      <c r="AZ80" s="755" t="str">
        <f t="shared" ref="AZ80:AZ89" si="119">IF(AY80="",".",AW80*AY80/BE80)</f>
        <v>.</v>
      </c>
      <c r="BA80" s="752"/>
      <c r="BB80" s="753"/>
      <c r="BC80" s="753"/>
      <c r="BD80" s="753"/>
      <c r="BE80" s="854" t="str">
        <f t="shared" ref="BE80:BE89" si="120">IF(AW80="",".",IF(AY80&lt;&gt;"",AY80*AW80+BC80*(AX80/100),(BC80-BD80)*(AX80/100)+BA80*BB80))</f>
        <v>.</v>
      </c>
      <c r="BF80" s="3"/>
    </row>
    <row r="81" spans="1:58" ht="12" x14ac:dyDescent="0.2">
      <c r="A81" s="841"/>
      <c r="B81" s="769" t="s">
        <v>585</v>
      </c>
      <c r="C81" s="820" t="str">
        <f>IF('WS3 - Notional General Income'!C80="","",'WS3 - Notional General Income'!C80)</f>
        <v/>
      </c>
      <c r="D81" s="861"/>
      <c r="E81" s="754"/>
      <c r="F81" s="752"/>
      <c r="G81" s="755" t="str">
        <f t="shared" si="109"/>
        <v>.</v>
      </c>
      <c r="H81" s="752"/>
      <c r="I81" s="753"/>
      <c r="J81" s="753"/>
      <c r="K81" s="753"/>
      <c r="L81" s="854" t="str">
        <f t="shared" si="110"/>
        <v>.</v>
      </c>
      <c r="M81" s="860"/>
      <c r="N81" s="754"/>
      <c r="O81" s="752"/>
      <c r="P81" s="755" t="str">
        <f t="shared" ref="P81" si="121">IF(O81="",".",M81*O81/U81)</f>
        <v>.</v>
      </c>
      <c r="Q81" s="752"/>
      <c r="R81" s="753"/>
      <c r="S81" s="753"/>
      <c r="T81" s="753"/>
      <c r="U81" s="854" t="str">
        <f t="shared" ref="U81" si="122">IF(M81="",".",IF(O81&lt;&gt;"",O81*M81+S81*(N81/100),(S81-T81)*(N81/100)+Q81*R81))</f>
        <v>.</v>
      </c>
      <c r="V81" s="860"/>
      <c r="W81" s="754"/>
      <c r="X81" s="752"/>
      <c r="Y81" s="755" t="str">
        <f t="shared" si="113"/>
        <v>.</v>
      </c>
      <c r="Z81" s="752"/>
      <c r="AA81" s="753"/>
      <c r="AB81" s="753"/>
      <c r="AC81" s="753"/>
      <c r="AD81" s="854" t="str">
        <f t="shared" si="114"/>
        <v>.</v>
      </c>
      <c r="AE81" s="860"/>
      <c r="AF81" s="754"/>
      <c r="AG81" s="752"/>
      <c r="AH81" s="755" t="str">
        <f t="shared" si="115"/>
        <v>.</v>
      </c>
      <c r="AI81" s="752"/>
      <c r="AJ81" s="753"/>
      <c r="AK81" s="753"/>
      <c r="AL81" s="753"/>
      <c r="AM81" s="854" t="str">
        <f t="shared" si="116"/>
        <v>.</v>
      </c>
      <c r="AN81" s="860"/>
      <c r="AO81" s="754"/>
      <c r="AP81" s="752"/>
      <c r="AQ81" s="755" t="str">
        <f t="shared" si="117"/>
        <v>.</v>
      </c>
      <c r="AR81" s="752"/>
      <c r="AS81" s="753"/>
      <c r="AT81" s="753"/>
      <c r="AU81" s="753"/>
      <c r="AV81" s="854" t="str">
        <f t="shared" si="118"/>
        <v>.</v>
      </c>
      <c r="AW81" s="860"/>
      <c r="AX81" s="754"/>
      <c r="AY81" s="752"/>
      <c r="AZ81" s="755" t="str">
        <f t="shared" si="119"/>
        <v>.</v>
      </c>
      <c r="BA81" s="752"/>
      <c r="BB81" s="753"/>
      <c r="BC81" s="753"/>
      <c r="BD81" s="753"/>
      <c r="BE81" s="854" t="str">
        <f t="shared" si="120"/>
        <v>.</v>
      </c>
      <c r="BF81" s="3"/>
    </row>
    <row r="82" spans="1:58" ht="12" x14ac:dyDescent="0.2">
      <c r="A82" s="841"/>
      <c r="B82" s="769" t="s">
        <v>585</v>
      </c>
      <c r="C82" s="820" t="str">
        <f>IF('WS3 - Notional General Income'!C81="","",'WS3 - Notional General Income'!C81)</f>
        <v/>
      </c>
      <c r="D82" s="861"/>
      <c r="E82" s="754"/>
      <c r="F82" s="752"/>
      <c r="G82" s="755" t="str">
        <f t="shared" si="109"/>
        <v>.</v>
      </c>
      <c r="H82" s="752"/>
      <c r="I82" s="753"/>
      <c r="J82" s="753"/>
      <c r="K82" s="753"/>
      <c r="L82" s="854" t="str">
        <f t="shared" si="110"/>
        <v>.</v>
      </c>
      <c r="M82" s="860"/>
      <c r="N82" s="754"/>
      <c r="O82" s="752"/>
      <c r="P82" s="755" t="str">
        <f t="shared" ref="P82:P89" si="123">IF(O82="",".",M82*O82/U82)</f>
        <v>.</v>
      </c>
      <c r="Q82" s="752"/>
      <c r="R82" s="753"/>
      <c r="S82" s="753"/>
      <c r="T82" s="753"/>
      <c r="U82" s="854" t="str">
        <f t="shared" ref="U82:U89" si="124">IF(M82="",".",IF(O82&lt;&gt;"",O82*M82+S82*(N82/100),(S82-T82)*(N82/100)+Q82*R82))</f>
        <v>.</v>
      </c>
      <c r="V82" s="860"/>
      <c r="W82" s="754"/>
      <c r="X82" s="752"/>
      <c r="Y82" s="755" t="str">
        <f t="shared" si="113"/>
        <v>.</v>
      </c>
      <c r="Z82" s="752"/>
      <c r="AA82" s="753"/>
      <c r="AB82" s="753"/>
      <c r="AC82" s="753"/>
      <c r="AD82" s="854" t="str">
        <f t="shared" si="114"/>
        <v>.</v>
      </c>
      <c r="AE82" s="860"/>
      <c r="AF82" s="754"/>
      <c r="AG82" s="752"/>
      <c r="AH82" s="755" t="str">
        <f t="shared" si="115"/>
        <v>.</v>
      </c>
      <c r="AI82" s="752"/>
      <c r="AJ82" s="753"/>
      <c r="AK82" s="753"/>
      <c r="AL82" s="753"/>
      <c r="AM82" s="854" t="str">
        <f t="shared" si="116"/>
        <v>.</v>
      </c>
      <c r="AN82" s="860"/>
      <c r="AO82" s="754"/>
      <c r="AP82" s="752"/>
      <c r="AQ82" s="755" t="str">
        <f t="shared" si="117"/>
        <v>.</v>
      </c>
      <c r="AR82" s="752"/>
      <c r="AS82" s="753"/>
      <c r="AT82" s="753"/>
      <c r="AU82" s="753"/>
      <c r="AV82" s="854" t="str">
        <f t="shared" si="118"/>
        <v>.</v>
      </c>
      <c r="AW82" s="860"/>
      <c r="AX82" s="754"/>
      <c r="AY82" s="752"/>
      <c r="AZ82" s="755" t="str">
        <f t="shared" si="119"/>
        <v>.</v>
      </c>
      <c r="BA82" s="752"/>
      <c r="BB82" s="753"/>
      <c r="BC82" s="753"/>
      <c r="BD82" s="753"/>
      <c r="BE82" s="854" t="str">
        <f t="shared" si="120"/>
        <v>.</v>
      </c>
      <c r="BF82" s="3"/>
    </row>
    <row r="83" spans="1:58" ht="12" x14ac:dyDescent="0.2">
      <c r="A83" s="841"/>
      <c r="B83" s="769" t="s">
        <v>585</v>
      </c>
      <c r="C83" s="820" t="str">
        <f>IF('WS3 - Notional General Income'!C82="","",'WS3 - Notional General Income'!C82)</f>
        <v/>
      </c>
      <c r="D83" s="861"/>
      <c r="E83" s="754"/>
      <c r="F83" s="752"/>
      <c r="G83" s="755" t="str">
        <f t="shared" si="109"/>
        <v>.</v>
      </c>
      <c r="H83" s="847"/>
      <c r="I83" s="846"/>
      <c r="J83" s="753"/>
      <c r="K83" s="753"/>
      <c r="L83" s="854" t="str">
        <f t="shared" si="110"/>
        <v>.</v>
      </c>
      <c r="M83" s="860"/>
      <c r="N83" s="754"/>
      <c r="O83" s="752"/>
      <c r="P83" s="755" t="str">
        <f t="shared" si="123"/>
        <v>.</v>
      </c>
      <c r="Q83" s="752"/>
      <c r="R83" s="753"/>
      <c r="S83" s="753"/>
      <c r="T83" s="753"/>
      <c r="U83" s="854" t="str">
        <f t="shared" si="124"/>
        <v>.</v>
      </c>
      <c r="V83" s="860"/>
      <c r="W83" s="754"/>
      <c r="X83" s="752"/>
      <c r="Y83" s="755" t="str">
        <f t="shared" si="113"/>
        <v>.</v>
      </c>
      <c r="Z83" s="752"/>
      <c r="AA83" s="753"/>
      <c r="AB83" s="753"/>
      <c r="AC83" s="753"/>
      <c r="AD83" s="854" t="str">
        <f t="shared" si="114"/>
        <v>.</v>
      </c>
      <c r="AE83" s="860"/>
      <c r="AF83" s="754"/>
      <c r="AG83" s="752"/>
      <c r="AH83" s="755" t="str">
        <f t="shared" si="115"/>
        <v>.</v>
      </c>
      <c r="AI83" s="752"/>
      <c r="AJ83" s="753"/>
      <c r="AK83" s="753"/>
      <c r="AL83" s="753"/>
      <c r="AM83" s="854" t="str">
        <f t="shared" si="116"/>
        <v>.</v>
      </c>
      <c r="AN83" s="860"/>
      <c r="AO83" s="754"/>
      <c r="AP83" s="752"/>
      <c r="AQ83" s="755" t="str">
        <f t="shared" si="117"/>
        <v>.</v>
      </c>
      <c r="AR83" s="752"/>
      <c r="AS83" s="753"/>
      <c r="AT83" s="753"/>
      <c r="AU83" s="753"/>
      <c r="AV83" s="854" t="str">
        <f t="shared" si="118"/>
        <v>.</v>
      </c>
      <c r="AW83" s="860"/>
      <c r="AX83" s="754"/>
      <c r="AY83" s="752"/>
      <c r="AZ83" s="755" t="str">
        <f t="shared" si="119"/>
        <v>.</v>
      </c>
      <c r="BA83" s="752"/>
      <c r="BB83" s="753"/>
      <c r="BC83" s="753"/>
      <c r="BD83" s="753"/>
      <c r="BE83" s="854" t="str">
        <f t="shared" si="120"/>
        <v>.</v>
      </c>
      <c r="BF83" s="3"/>
    </row>
    <row r="84" spans="1:58" ht="12" x14ac:dyDescent="0.2">
      <c r="A84" s="841"/>
      <c r="B84" s="769" t="s">
        <v>585</v>
      </c>
      <c r="C84" s="820" t="str">
        <f>IF('WS3 - Notional General Income'!C83="","",'WS3 - Notional General Income'!C83)</f>
        <v/>
      </c>
      <c r="D84" s="861"/>
      <c r="E84" s="754"/>
      <c r="F84" s="752"/>
      <c r="G84" s="755" t="str">
        <f t="shared" si="109"/>
        <v>.</v>
      </c>
      <c r="H84" s="847"/>
      <c r="I84" s="846"/>
      <c r="J84" s="753"/>
      <c r="K84" s="753"/>
      <c r="L84" s="854" t="str">
        <f t="shared" si="110"/>
        <v>.</v>
      </c>
      <c r="M84" s="860"/>
      <c r="N84" s="754"/>
      <c r="O84" s="752"/>
      <c r="P84" s="755" t="str">
        <f t="shared" si="123"/>
        <v>.</v>
      </c>
      <c r="Q84" s="752"/>
      <c r="R84" s="753"/>
      <c r="S84" s="753"/>
      <c r="T84" s="753"/>
      <c r="U84" s="854" t="str">
        <f t="shared" si="124"/>
        <v>.</v>
      </c>
      <c r="V84" s="860"/>
      <c r="W84" s="754"/>
      <c r="X84" s="752"/>
      <c r="Y84" s="755" t="str">
        <f t="shared" si="113"/>
        <v>.</v>
      </c>
      <c r="Z84" s="752"/>
      <c r="AA84" s="753"/>
      <c r="AB84" s="753"/>
      <c r="AC84" s="753"/>
      <c r="AD84" s="854" t="str">
        <f t="shared" si="114"/>
        <v>.</v>
      </c>
      <c r="AE84" s="860"/>
      <c r="AF84" s="754"/>
      <c r="AG84" s="752"/>
      <c r="AH84" s="755" t="str">
        <f t="shared" si="115"/>
        <v>.</v>
      </c>
      <c r="AI84" s="752"/>
      <c r="AJ84" s="753"/>
      <c r="AK84" s="753"/>
      <c r="AL84" s="753"/>
      <c r="AM84" s="854" t="str">
        <f t="shared" si="116"/>
        <v>.</v>
      </c>
      <c r="AN84" s="860"/>
      <c r="AO84" s="754"/>
      <c r="AP84" s="752"/>
      <c r="AQ84" s="755" t="str">
        <f t="shared" si="117"/>
        <v>.</v>
      </c>
      <c r="AR84" s="752"/>
      <c r="AS84" s="753"/>
      <c r="AT84" s="753"/>
      <c r="AU84" s="753"/>
      <c r="AV84" s="854" t="str">
        <f t="shared" si="118"/>
        <v>.</v>
      </c>
      <c r="AW84" s="860"/>
      <c r="AX84" s="754"/>
      <c r="AY84" s="752"/>
      <c r="AZ84" s="755" t="str">
        <f t="shared" si="119"/>
        <v>.</v>
      </c>
      <c r="BA84" s="752"/>
      <c r="BB84" s="753"/>
      <c r="BC84" s="753"/>
      <c r="BD84" s="753"/>
      <c r="BE84" s="854" t="str">
        <f t="shared" si="120"/>
        <v>.</v>
      </c>
      <c r="BF84" s="3"/>
    </row>
    <row r="85" spans="1:58" ht="12" x14ac:dyDescent="0.2">
      <c r="A85" s="841"/>
      <c r="B85" s="769" t="s">
        <v>585</v>
      </c>
      <c r="C85" s="820" t="str">
        <f>IF('WS3 - Notional General Income'!C84="","",'WS3 - Notional General Income'!C84)</f>
        <v/>
      </c>
      <c r="D85" s="861"/>
      <c r="E85" s="754"/>
      <c r="F85" s="752"/>
      <c r="G85" s="755" t="str">
        <f t="shared" si="109"/>
        <v>.</v>
      </c>
      <c r="H85" s="847"/>
      <c r="I85" s="846"/>
      <c r="J85" s="753"/>
      <c r="K85" s="753"/>
      <c r="L85" s="854" t="str">
        <f t="shared" si="110"/>
        <v>.</v>
      </c>
      <c r="M85" s="860"/>
      <c r="N85" s="754"/>
      <c r="O85" s="752"/>
      <c r="P85" s="755" t="str">
        <f t="shared" si="123"/>
        <v>.</v>
      </c>
      <c r="Q85" s="752"/>
      <c r="R85" s="753"/>
      <c r="S85" s="753"/>
      <c r="T85" s="753"/>
      <c r="U85" s="854" t="str">
        <f t="shared" si="124"/>
        <v>.</v>
      </c>
      <c r="V85" s="860"/>
      <c r="W85" s="754"/>
      <c r="X85" s="752"/>
      <c r="Y85" s="755" t="str">
        <f t="shared" si="113"/>
        <v>.</v>
      </c>
      <c r="Z85" s="752"/>
      <c r="AA85" s="753"/>
      <c r="AB85" s="753"/>
      <c r="AC85" s="753"/>
      <c r="AD85" s="854" t="str">
        <f t="shared" si="114"/>
        <v>.</v>
      </c>
      <c r="AE85" s="860"/>
      <c r="AF85" s="754"/>
      <c r="AG85" s="752"/>
      <c r="AH85" s="755" t="str">
        <f t="shared" si="115"/>
        <v>.</v>
      </c>
      <c r="AI85" s="752"/>
      <c r="AJ85" s="753"/>
      <c r="AK85" s="753"/>
      <c r="AL85" s="753"/>
      <c r="AM85" s="854" t="str">
        <f t="shared" si="116"/>
        <v>.</v>
      </c>
      <c r="AN85" s="860"/>
      <c r="AO85" s="754"/>
      <c r="AP85" s="752"/>
      <c r="AQ85" s="755" t="str">
        <f t="shared" si="117"/>
        <v>.</v>
      </c>
      <c r="AR85" s="752"/>
      <c r="AS85" s="753"/>
      <c r="AT85" s="753"/>
      <c r="AU85" s="753"/>
      <c r="AV85" s="854" t="str">
        <f t="shared" si="118"/>
        <v>.</v>
      </c>
      <c r="AW85" s="860"/>
      <c r="AX85" s="754"/>
      <c r="AY85" s="752"/>
      <c r="AZ85" s="755" t="str">
        <f t="shared" si="119"/>
        <v>.</v>
      </c>
      <c r="BA85" s="752"/>
      <c r="BB85" s="753"/>
      <c r="BC85" s="753"/>
      <c r="BD85" s="753"/>
      <c r="BE85" s="854" t="str">
        <f t="shared" si="120"/>
        <v>.</v>
      </c>
      <c r="BF85" s="3"/>
    </row>
    <row r="86" spans="1:58" ht="12" x14ac:dyDescent="0.2">
      <c r="A86" s="841"/>
      <c r="B86" s="769" t="s">
        <v>585</v>
      </c>
      <c r="C86" s="820" t="str">
        <f>IF('WS3 - Notional General Income'!C85="","",'WS3 - Notional General Income'!C85)</f>
        <v/>
      </c>
      <c r="D86" s="861"/>
      <c r="E86" s="754"/>
      <c r="F86" s="752"/>
      <c r="G86" s="755" t="str">
        <f t="shared" si="109"/>
        <v>.</v>
      </c>
      <c r="H86" s="847"/>
      <c r="I86" s="846"/>
      <c r="J86" s="753"/>
      <c r="K86" s="753"/>
      <c r="L86" s="854" t="str">
        <f t="shared" si="110"/>
        <v>.</v>
      </c>
      <c r="M86" s="860"/>
      <c r="N86" s="754"/>
      <c r="O86" s="752"/>
      <c r="P86" s="755" t="str">
        <f t="shared" si="123"/>
        <v>.</v>
      </c>
      <c r="Q86" s="752"/>
      <c r="R86" s="753"/>
      <c r="S86" s="753"/>
      <c r="T86" s="753"/>
      <c r="U86" s="854" t="str">
        <f t="shared" si="124"/>
        <v>.</v>
      </c>
      <c r="V86" s="860"/>
      <c r="W86" s="754"/>
      <c r="X86" s="752"/>
      <c r="Y86" s="755" t="str">
        <f t="shared" si="113"/>
        <v>.</v>
      </c>
      <c r="Z86" s="752"/>
      <c r="AA86" s="753"/>
      <c r="AB86" s="753"/>
      <c r="AC86" s="753"/>
      <c r="AD86" s="854" t="str">
        <f t="shared" si="114"/>
        <v>.</v>
      </c>
      <c r="AE86" s="860"/>
      <c r="AF86" s="754"/>
      <c r="AG86" s="752"/>
      <c r="AH86" s="755" t="str">
        <f t="shared" si="115"/>
        <v>.</v>
      </c>
      <c r="AI86" s="752"/>
      <c r="AJ86" s="753"/>
      <c r="AK86" s="753"/>
      <c r="AL86" s="753"/>
      <c r="AM86" s="854" t="str">
        <f t="shared" si="116"/>
        <v>.</v>
      </c>
      <c r="AN86" s="860"/>
      <c r="AO86" s="754"/>
      <c r="AP86" s="752"/>
      <c r="AQ86" s="755" t="str">
        <f t="shared" si="117"/>
        <v>.</v>
      </c>
      <c r="AR86" s="752"/>
      <c r="AS86" s="753"/>
      <c r="AT86" s="753"/>
      <c r="AU86" s="753"/>
      <c r="AV86" s="854" t="str">
        <f t="shared" si="118"/>
        <v>.</v>
      </c>
      <c r="AW86" s="860"/>
      <c r="AX86" s="754"/>
      <c r="AY86" s="752"/>
      <c r="AZ86" s="755" t="str">
        <f t="shared" si="119"/>
        <v>.</v>
      </c>
      <c r="BA86" s="752"/>
      <c r="BB86" s="753"/>
      <c r="BC86" s="753"/>
      <c r="BD86" s="753"/>
      <c r="BE86" s="854" t="str">
        <f t="shared" si="120"/>
        <v>.</v>
      </c>
      <c r="BF86" s="3"/>
    </row>
    <row r="87" spans="1:58" ht="12" x14ac:dyDescent="0.2">
      <c r="A87" s="841"/>
      <c r="B87" s="769" t="s">
        <v>585</v>
      </c>
      <c r="C87" s="820" t="str">
        <f>IF('WS3 - Notional General Income'!C86="","",'WS3 - Notional General Income'!C86)</f>
        <v/>
      </c>
      <c r="D87" s="861"/>
      <c r="E87" s="754"/>
      <c r="F87" s="752"/>
      <c r="G87" s="755" t="str">
        <f t="shared" si="109"/>
        <v>.</v>
      </c>
      <c r="H87" s="847"/>
      <c r="I87" s="846"/>
      <c r="J87" s="753"/>
      <c r="K87" s="753"/>
      <c r="L87" s="854" t="str">
        <f t="shared" si="110"/>
        <v>.</v>
      </c>
      <c r="M87" s="860"/>
      <c r="N87" s="754"/>
      <c r="O87" s="752"/>
      <c r="P87" s="755" t="str">
        <f t="shared" si="123"/>
        <v>.</v>
      </c>
      <c r="Q87" s="752"/>
      <c r="R87" s="753"/>
      <c r="S87" s="753"/>
      <c r="T87" s="753"/>
      <c r="U87" s="854" t="str">
        <f t="shared" si="124"/>
        <v>.</v>
      </c>
      <c r="V87" s="860"/>
      <c r="W87" s="754"/>
      <c r="X87" s="752"/>
      <c r="Y87" s="755" t="str">
        <f t="shared" si="113"/>
        <v>.</v>
      </c>
      <c r="Z87" s="752"/>
      <c r="AA87" s="753"/>
      <c r="AB87" s="753"/>
      <c r="AC87" s="753"/>
      <c r="AD87" s="854" t="str">
        <f t="shared" si="114"/>
        <v>.</v>
      </c>
      <c r="AE87" s="860"/>
      <c r="AF87" s="754"/>
      <c r="AG87" s="752"/>
      <c r="AH87" s="755" t="str">
        <f t="shared" si="115"/>
        <v>.</v>
      </c>
      <c r="AI87" s="752"/>
      <c r="AJ87" s="753"/>
      <c r="AK87" s="753"/>
      <c r="AL87" s="753"/>
      <c r="AM87" s="854" t="str">
        <f t="shared" si="116"/>
        <v>.</v>
      </c>
      <c r="AN87" s="860"/>
      <c r="AO87" s="754"/>
      <c r="AP87" s="752"/>
      <c r="AQ87" s="755" t="str">
        <f t="shared" si="117"/>
        <v>.</v>
      </c>
      <c r="AR87" s="752"/>
      <c r="AS87" s="753"/>
      <c r="AT87" s="753"/>
      <c r="AU87" s="753"/>
      <c r="AV87" s="854" t="str">
        <f t="shared" si="118"/>
        <v>.</v>
      </c>
      <c r="AW87" s="860"/>
      <c r="AX87" s="754"/>
      <c r="AY87" s="752"/>
      <c r="AZ87" s="755" t="str">
        <f t="shared" si="119"/>
        <v>.</v>
      </c>
      <c r="BA87" s="752"/>
      <c r="BB87" s="753"/>
      <c r="BC87" s="753"/>
      <c r="BD87" s="753"/>
      <c r="BE87" s="854" t="str">
        <f t="shared" si="120"/>
        <v>.</v>
      </c>
      <c r="BF87" s="3"/>
    </row>
    <row r="88" spans="1:58" ht="12" x14ac:dyDescent="0.2">
      <c r="A88" s="841"/>
      <c r="B88" s="769" t="s">
        <v>585</v>
      </c>
      <c r="C88" s="820" t="str">
        <f>IF('WS3 - Notional General Income'!C87="","",'WS3 - Notional General Income'!C87)</f>
        <v/>
      </c>
      <c r="D88" s="861"/>
      <c r="E88" s="754"/>
      <c r="F88" s="752"/>
      <c r="G88" s="755" t="str">
        <f t="shared" si="109"/>
        <v>.</v>
      </c>
      <c r="H88" s="847"/>
      <c r="I88" s="846"/>
      <c r="J88" s="753"/>
      <c r="K88" s="753"/>
      <c r="L88" s="854" t="str">
        <f t="shared" si="110"/>
        <v>.</v>
      </c>
      <c r="M88" s="860"/>
      <c r="N88" s="754"/>
      <c r="O88" s="752"/>
      <c r="P88" s="755" t="str">
        <f t="shared" si="123"/>
        <v>.</v>
      </c>
      <c r="Q88" s="752"/>
      <c r="R88" s="753"/>
      <c r="S88" s="753"/>
      <c r="T88" s="753"/>
      <c r="U88" s="854" t="str">
        <f t="shared" si="124"/>
        <v>.</v>
      </c>
      <c r="V88" s="860"/>
      <c r="W88" s="754"/>
      <c r="X88" s="752"/>
      <c r="Y88" s="755" t="str">
        <f t="shared" si="113"/>
        <v>.</v>
      </c>
      <c r="Z88" s="752"/>
      <c r="AA88" s="753"/>
      <c r="AB88" s="753"/>
      <c r="AC88" s="753"/>
      <c r="AD88" s="854" t="str">
        <f t="shared" si="114"/>
        <v>.</v>
      </c>
      <c r="AE88" s="860"/>
      <c r="AF88" s="754"/>
      <c r="AG88" s="752"/>
      <c r="AH88" s="755" t="str">
        <f t="shared" si="115"/>
        <v>.</v>
      </c>
      <c r="AI88" s="752"/>
      <c r="AJ88" s="753"/>
      <c r="AK88" s="753"/>
      <c r="AL88" s="753"/>
      <c r="AM88" s="854" t="str">
        <f t="shared" si="116"/>
        <v>.</v>
      </c>
      <c r="AN88" s="860"/>
      <c r="AO88" s="754"/>
      <c r="AP88" s="752"/>
      <c r="AQ88" s="755" t="str">
        <f t="shared" si="117"/>
        <v>.</v>
      </c>
      <c r="AR88" s="752"/>
      <c r="AS88" s="753"/>
      <c r="AT88" s="753"/>
      <c r="AU88" s="753"/>
      <c r="AV88" s="854" t="str">
        <f t="shared" si="118"/>
        <v>.</v>
      </c>
      <c r="AW88" s="860"/>
      <c r="AX88" s="754"/>
      <c r="AY88" s="752"/>
      <c r="AZ88" s="755" t="str">
        <f t="shared" si="119"/>
        <v>.</v>
      </c>
      <c r="BA88" s="752"/>
      <c r="BB88" s="753"/>
      <c r="BC88" s="753"/>
      <c r="BD88" s="753"/>
      <c r="BE88" s="854" t="str">
        <f t="shared" si="120"/>
        <v>.</v>
      </c>
      <c r="BF88" s="3"/>
    </row>
    <row r="89" spans="1:58" ht="12" x14ac:dyDescent="0.2">
      <c r="A89" s="841"/>
      <c r="B89" s="769" t="s">
        <v>585</v>
      </c>
      <c r="C89" s="820" t="str">
        <f>IF('WS3 - Notional General Income'!C88="","",'WS3 - Notional General Income'!C88)</f>
        <v/>
      </c>
      <c r="D89" s="861"/>
      <c r="E89" s="754"/>
      <c r="F89" s="752"/>
      <c r="G89" s="755" t="str">
        <f t="shared" si="109"/>
        <v>.</v>
      </c>
      <c r="H89" s="847"/>
      <c r="I89" s="846"/>
      <c r="J89" s="753"/>
      <c r="K89" s="753"/>
      <c r="L89" s="854" t="str">
        <f t="shared" si="110"/>
        <v>.</v>
      </c>
      <c r="M89" s="860"/>
      <c r="N89" s="754"/>
      <c r="O89" s="752"/>
      <c r="P89" s="755" t="str">
        <f t="shared" si="123"/>
        <v>.</v>
      </c>
      <c r="Q89" s="752"/>
      <c r="R89" s="753"/>
      <c r="S89" s="753"/>
      <c r="T89" s="753"/>
      <c r="U89" s="854" t="str">
        <f t="shared" si="124"/>
        <v>.</v>
      </c>
      <c r="V89" s="860"/>
      <c r="W89" s="754"/>
      <c r="X89" s="752"/>
      <c r="Y89" s="755" t="str">
        <f t="shared" si="113"/>
        <v>.</v>
      </c>
      <c r="Z89" s="752"/>
      <c r="AA89" s="753"/>
      <c r="AB89" s="753"/>
      <c r="AC89" s="753"/>
      <c r="AD89" s="854" t="str">
        <f t="shared" si="114"/>
        <v>.</v>
      </c>
      <c r="AE89" s="860"/>
      <c r="AF89" s="754"/>
      <c r="AG89" s="752"/>
      <c r="AH89" s="755" t="str">
        <f t="shared" si="115"/>
        <v>.</v>
      </c>
      <c r="AI89" s="752"/>
      <c r="AJ89" s="753"/>
      <c r="AK89" s="753"/>
      <c r="AL89" s="753"/>
      <c r="AM89" s="854" t="str">
        <f t="shared" si="116"/>
        <v>.</v>
      </c>
      <c r="AN89" s="860"/>
      <c r="AO89" s="754"/>
      <c r="AP89" s="752"/>
      <c r="AQ89" s="755" t="str">
        <f t="shared" si="117"/>
        <v>.</v>
      </c>
      <c r="AR89" s="752"/>
      <c r="AS89" s="753"/>
      <c r="AT89" s="753"/>
      <c r="AU89" s="753"/>
      <c r="AV89" s="854" t="str">
        <f t="shared" si="118"/>
        <v>.</v>
      </c>
      <c r="AW89" s="860"/>
      <c r="AX89" s="754"/>
      <c r="AY89" s="752"/>
      <c r="AZ89" s="755" t="str">
        <f t="shared" si="119"/>
        <v>.</v>
      </c>
      <c r="BA89" s="752"/>
      <c r="BB89" s="753"/>
      <c r="BC89" s="753"/>
      <c r="BD89" s="753"/>
      <c r="BE89" s="854" t="str">
        <f t="shared" si="120"/>
        <v>.</v>
      </c>
      <c r="BF89" s="3"/>
    </row>
    <row r="90" spans="1:58" s="6" customFormat="1" ht="12" x14ac:dyDescent="0.2">
      <c r="A90" s="841"/>
      <c r="B90" s="736"/>
      <c r="C90" s="883" t="s">
        <v>586</v>
      </c>
      <c r="D90" s="863">
        <f>SUM(D80:D89)</f>
        <v>0</v>
      </c>
      <c r="E90" s="738"/>
      <c r="F90" s="739"/>
      <c r="G90" s="742"/>
      <c r="H90" s="739"/>
      <c r="I90" s="737">
        <f>SUM(I80:I89)</f>
        <v>0</v>
      </c>
      <c r="J90" s="737">
        <f>SUM(J80:J89)</f>
        <v>0</v>
      </c>
      <c r="K90" s="737">
        <f>SUM(K80:K89)</f>
        <v>0</v>
      </c>
      <c r="L90" s="856">
        <f>SUM(L80:L89)</f>
        <v>0</v>
      </c>
      <c r="M90" s="863">
        <f>SUM(M80:M89)</f>
        <v>0</v>
      </c>
      <c r="N90" s="738"/>
      <c r="O90" s="739"/>
      <c r="P90" s="742"/>
      <c r="Q90" s="739"/>
      <c r="R90" s="737">
        <f>SUM(R80:R89)</f>
        <v>0</v>
      </c>
      <c r="S90" s="737">
        <f t="shared" ref="S90:U90" si="125">SUM(S80:S89)</f>
        <v>0</v>
      </c>
      <c r="T90" s="737">
        <f t="shared" si="125"/>
        <v>0</v>
      </c>
      <c r="U90" s="856">
        <f t="shared" si="125"/>
        <v>0</v>
      </c>
      <c r="V90" s="863">
        <f>SUM(V80:V89)</f>
        <v>0</v>
      </c>
      <c r="W90" s="738"/>
      <c r="X90" s="739"/>
      <c r="Y90" s="742"/>
      <c r="Z90" s="739"/>
      <c r="AA90" s="737">
        <f>SUM(AA80:AA89)</f>
        <v>0</v>
      </c>
      <c r="AB90" s="737">
        <f t="shared" ref="AB90" si="126">SUM(AB80:AB89)</f>
        <v>0</v>
      </c>
      <c r="AC90" s="737">
        <f t="shared" ref="AC90" si="127">SUM(AC80:AC89)</f>
        <v>0</v>
      </c>
      <c r="AD90" s="856">
        <f t="shared" ref="AD90" si="128">SUM(AD80:AD89)</f>
        <v>0</v>
      </c>
      <c r="AE90" s="863">
        <f>SUM(AE80:AE89)</f>
        <v>0</v>
      </c>
      <c r="AF90" s="738"/>
      <c r="AG90" s="739"/>
      <c r="AH90" s="742"/>
      <c r="AI90" s="739"/>
      <c r="AJ90" s="737">
        <f>SUM(AJ80:AJ89)</f>
        <v>0</v>
      </c>
      <c r="AK90" s="737">
        <f t="shared" ref="AK90" si="129">SUM(AK80:AK89)</f>
        <v>0</v>
      </c>
      <c r="AL90" s="737">
        <f t="shared" ref="AL90" si="130">SUM(AL80:AL89)</f>
        <v>0</v>
      </c>
      <c r="AM90" s="856">
        <f t="shared" ref="AM90" si="131">SUM(AM80:AM89)</f>
        <v>0</v>
      </c>
      <c r="AN90" s="863">
        <f>SUM(AN80:AN89)</f>
        <v>0</v>
      </c>
      <c r="AO90" s="738"/>
      <c r="AP90" s="739"/>
      <c r="AQ90" s="742"/>
      <c r="AR90" s="739"/>
      <c r="AS90" s="737">
        <f>SUM(AS80:AS89)</f>
        <v>0</v>
      </c>
      <c r="AT90" s="737">
        <f t="shared" ref="AT90" si="132">SUM(AT80:AT89)</f>
        <v>0</v>
      </c>
      <c r="AU90" s="737">
        <f t="shared" ref="AU90" si="133">SUM(AU80:AU89)</f>
        <v>0</v>
      </c>
      <c r="AV90" s="856">
        <f t="shared" ref="AV90" si="134">SUM(AV80:AV89)</f>
        <v>0</v>
      </c>
      <c r="AW90" s="863">
        <f>SUM(AW80:AW89)</f>
        <v>0</v>
      </c>
      <c r="AX90" s="738"/>
      <c r="AY90" s="739"/>
      <c r="AZ90" s="742"/>
      <c r="BA90" s="739"/>
      <c r="BB90" s="737">
        <f>SUM(BB80:BB89)</f>
        <v>0</v>
      </c>
      <c r="BC90" s="737">
        <f t="shared" ref="BC90" si="135">SUM(BC80:BC89)</f>
        <v>0</v>
      </c>
      <c r="BD90" s="737">
        <f t="shared" ref="BD90" si="136">SUM(BD80:BD89)</f>
        <v>0</v>
      </c>
      <c r="BE90" s="856">
        <f t="shared" ref="BE90" si="137">SUM(BE80:BE89)</f>
        <v>0</v>
      </c>
      <c r="BF90" s="2"/>
    </row>
    <row r="91" spans="1:58" ht="12" x14ac:dyDescent="0.2">
      <c r="A91" s="841"/>
      <c r="B91" s="810" t="s">
        <v>587</v>
      </c>
      <c r="C91" s="788"/>
      <c r="D91" s="900">
        <f>D42+D68+D79+D90</f>
        <v>32457</v>
      </c>
      <c r="E91" s="290"/>
      <c r="F91" s="772"/>
      <c r="G91" s="772" t="s">
        <v>588</v>
      </c>
      <c r="H91" s="290"/>
      <c r="I91" s="290"/>
      <c r="J91" s="897">
        <f>J42+J68+J79+J90</f>
        <v>46670593811</v>
      </c>
      <c r="K91" s="898" t="s">
        <v>589</v>
      </c>
      <c r="L91" s="899">
        <f>L42+L68+L79+L90</f>
        <v>64379948.330897808</v>
      </c>
      <c r="M91" s="900">
        <f>M42+M68+M79+M90</f>
        <v>32457</v>
      </c>
      <c r="N91" s="290"/>
      <c r="O91" s="772"/>
      <c r="P91" s="772" t="s">
        <v>588</v>
      </c>
      <c r="Q91" s="290"/>
      <c r="R91" s="290"/>
      <c r="S91" s="897">
        <f>S42+S68+S79+S90</f>
        <v>46670593811</v>
      </c>
      <c r="T91" s="898" t="s">
        <v>589</v>
      </c>
      <c r="U91" s="899">
        <f>U42+U68+U79+U90</f>
        <v>66311346.780824751</v>
      </c>
      <c r="V91" s="900">
        <f>V42+V68+V79+V90</f>
        <v>32457</v>
      </c>
      <c r="W91" s="290"/>
      <c r="X91" s="772"/>
      <c r="Y91" s="772" t="s">
        <v>588</v>
      </c>
      <c r="Z91" s="290"/>
      <c r="AA91" s="290"/>
      <c r="AB91" s="897">
        <f>AB42+AB68+AB79+AB90</f>
        <v>46670593811</v>
      </c>
      <c r="AC91" s="898" t="s">
        <v>589</v>
      </c>
      <c r="AD91" s="899">
        <f>AD42+AD68+AD79+AD90</f>
        <v>68300687.18424949</v>
      </c>
      <c r="AE91" s="900">
        <f>AE42+AE68+AE79+AE90</f>
        <v>32457</v>
      </c>
      <c r="AF91" s="290"/>
      <c r="AG91" s="772"/>
      <c r="AH91" s="772" t="s">
        <v>588</v>
      </c>
      <c r="AI91" s="290"/>
      <c r="AJ91" s="290"/>
      <c r="AK91" s="897">
        <f>AK42+AK68+AK79+AK90</f>
        <v>46670593811</v>
      </c>
      <c r="AL91" s="898" t="s">
        <v>589</v>
      </c>
      <c r="AM91" s="899">
        <f>AM42+AM68+AM79+AM90</f>
        <v>70349707.799776971</v>
      </c>
      <c r="AN91" s="900">
        <f>AN42+AN68+AN79+AN90</f>
        <v>32457</v>
      </c>
      <c r="AO91" s="290"/>
      <c r="AP91" s="772"/>
      <c r="AQ91" s="772" t="s">
        <v>588</v>
      </c>
      <c r="AR91" s="290"/>
      <c r="AS91" s="290"/>
      <c r="AT91" s="897">
        <f>AT42+AT68+AT79+AT90</f>
        <v>46670593811</v>
      </c>
      <c r="AU91" s="898" t="s">
        <v>589</v>
      </c>
      <c r="AV91" s="899">
        <f>AV42+AV68+AV79+AV90</f>
        <v>72460199.033770293</v>
      </c>
      <c r="AW91" s="900">
        <f>AW42+AW68+AW79+AW90</f>
        <v>32457</v>
      </c>
      <c r="AX91" s="290"/>
      <c r="AY91" s="772"/>
      <c r="AZ91" s="772" t="s">
        <v>588</v>
      </c>
      <c r="BA91" s="290"/>
      <c r="BB91" s="290"/>
      <c r="BC91" s="897">
        <f>BC42+BC68+BC79+BC90</f>
        <v>46670593811</v>
      </c>
      <c r="BD91" s="898" t="s">
        <v>589</v>
      </c>
      <c r="BE91" s="899">
        <f>BE42+BE68+BE79+BE90</f>
        <v>74634005.004783407</v>
      </c>
      <c r="BF91" s="3"/>
    </row>
    <row r="92" spans="1:58" ht="12" x14ac:dyDescent="0.2">
      <c r="A92" s="841"/>
      <c r="B92" s="775"/>
      <c r="C92" s="728"/>
      <c r="D92" s="862"/>
      <c r="E92" s="776"/>
      <c r="F92" s="777"/>
      <c r="G92" s="776"/>
      <c r="H92" s="776"/>
      <c r="I92" s="776"/>
      <c r="J92" s="776"/>
      <c r="K92" s="778"/>
      <c r="L92" s="855"/>
      <c r="M92" s="862"/>
      <c r="N92" s="776"/>
      <c r="O92" s="777"/>
      <c r="P92" s="776"/>
      <c r="Q92" s="776"/>
      <c r="R92" s="776"/>
      <c r="S92" s="776"/>
      <c r="T92" s="778"/>
      <c r="U92" s="855"/>
      <c r="V92" s="862"/>
      <c r="W92" s="776"/>
      <c r="X92" s="777"/>
      <c r="Y92" s="776"/>
      <c r="Z92" s="776"/>
      <c r="AA92" s="776"/>
      <c r="AB92" s="776"/>
      <c r="AC92" s="778"/>
      <c r="AD92" s="855"/>
      <c r="AE92" s="862"/>
      <c r="AF92" s="776"/>
      <c r="AG92" s="777"/>
      <c r="AH92" s="776"/>
      <c r="AI92" s="776"/>
      <c r="AJ92" s="776"/>
      <c r="AK92" s="776"/>
      <c r="AL92" s="778"/>
      <c r="AM92" s="855"/>
      <c r="AN92" s="862"/>
      <c r="AO92" s="776"/>
      <c r="AP92" s="777"/>
      <c r="AQ92" s="776"/>
      <c r="AR92" s="776"/>
      <c r="AS92" s="776"/>
      <c r="AT92" s="776"/>
      <c r="AU92" s="778"/>
      <c r="AV92" s="855"/>
      <c r="AW92" s="862"/>
      <c r="AX92" s="776"/>
      <c r="AY92" s="777"/>
      <c r="AZ92" s="776"/>
      <c r="BA92" s="776"/>
      <c r="BB92" s="776"/>
      <c r="BC92" s="776"/>
      <c r="BD92" s="778"/>
      <c r="BE92" s="855"/>
      <c r="BF92" s="3"/>
    </row>
    <row r="93" spans="1:58" ht="12" customHeight="1" x14ac:dyDescent="0.2">
      <c r="A93" s="841"/>
      <c r="B93" s="39"/>
      <c r="C93" s="39"/>
      <c r="D93" s="3"/>
      <c r="E93" s="3"/>
      <c r="F93" s="2"/>
      <c r="G93" s="3"/>
      <c r="H93" s="3"/>
      <c r="I93" s="3"/>
      <c r="J93" s="3"/>
      <c r="K93" s="46"/>
      <c r="L93" s="47"/>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spans="1:58" ht="12" customHeight="1" x14ac:dyDescent="0.2">
      <c r="A94" s="841"/>
      <c r="B94" s="38"/>
      <c r="C94" s="38"/>
      <c r="D94" s="1"/>
      <c r="E94" s="1"/>
      <c r="F94" s="1"/>
      <c r="G94" s="3"/>
      <c r="H94" s="3"/>
      <c r="I94" s="3"/>
      <c r="J94" s="3"/>
      <c r="K94" s="41"/>
      <c r="L94" s="4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spans="1:58" x14ac:dyDescent="0.2">
      <c r="A95" s="841">
        <f>A19+1</f>
        <v>2</v>
      </c>
      <c r="B95" s="626" t="str">
        <f>"Table "&amp;A1&amp;"."&amp;A95&amp;": Calculation of Notional General Income - Special Rates from "&amp;'WS0 - Input data'!L58&amp;" to "&amp;'WS0 - Input data'!Q58&amp;" ($ nominal)"</f>
        <v>Table 5.2: Calculation of Notional General Income - Special Rates from 2025-26 to 2030-31 ($ nominal)</v>
      </c>
      <c r="C95" s="42"/>
      <c r="D95" s="1"/>
      <c r="E95" s="1"/>
      <c r="F95" s="1"/>
      <c r="H95" s="19"/>
      <c r="I95" s="19"/>
      <c r="J95" s="19"/>
      <c r="K95" s="44"/>
      <c r="L95" s="44"/>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row>
    <row r="96" spans="1:58" x14ac:dyDescent="0.2">
      <c r="A96" s="841"/>
      <c r="B96" s="888"/>
      <c r="C96" s="889"/>
      <c r="D96" s="890" t="str">
        <f>D20</f>
        <v>Year 2 (2025-26)</v>
      </c>
      <c r="E96" s="891"/>
      <c r="F96" s="891"/>
      <c r="G96" s="892"/>
      <c r="H96" s="891"/>
      <c r="I96" s="891"/>
      <c r="J96" s="891"/>
      <c r="K96" s="893"/>
      <c r="L96" s="894"/>
      <c r="M96" s="901" t="str">
        <f>M20</f>
        <v>Year 3 (2026-27)</v>
      </c>
      <c r="N96" s="902"/>
      <c r="O96" s="902"/>
      <c r="P96" s="902"/>
      <c r="Q96" s="902"/>
      <c r="R96" s="902"/>
      <c r="S96" s="902"/>
      <c r="T96" s="903"/>
      <c r="U96" s="904"/>
      <c r="V96" s="905" t="str">
        <f>V20</f>
        <v>Year 4 (2027-28)</v>
      </c>
      <c r="W96" s="906"/>
      <c r="X96" s="906"/>
      <c r="Y96" s="906"/>
      <c r="Z96" s="906"/>
      <c r="AA96" s="906"/>
      <c r="AB96" s="906"/>
      <c r="AC96" s="907"/>
      <c r="AD96" s="908"/>
      <c r="AE96" s="901" t="str">
        <f>AE20</f>
        <v>Year 5 (2028-29)</v>
      </c>
      <c r="AF96" s="902"/>
      <c r="AG96" s="902"/>
      <c r="AH96" s="902"/>
      <c r="AI96" s="902"/>
      <c r="AJ96" s="902"/>
      <c r="AK96" s="902"/>
      <c r="AL96" s="903"/>
      <c r="AM96" s="904"/>
      <c r="AN96" s="905" t="str">
        <f>AN20</f>
        <v>Year 6 (2029-30)</v>
      </c>
      <c r="AO96" s="906"/>
      <c r="AP96" s="906"/>
      <c r="AQ96" s="906"/>
      <c r="AR96" s="906"/>
      <c r="AS96" s="906"/>
      <c r="AT96" s="906"/>
      <c r="AU96" s="907"/>
      <c r="AV96" s="908"/>
      <c r="AW96" s="901" t="str">
        <f>AW20</f>
        <v>Year 7 (2030-31)</v>
      </c>
      <c r="AX96" s="902"/>
      <c r="AY96" s="902"/>
      <c r="AZ96" s="902"/>
      <c r="BA96" s="902"/>
      <c r="BB96" s="902"/>
      <c r="BC96" s="902"/>
      <c r="BD96" s="903"/>
      <c r="BE96" s="904"/>
      <c r="BF96" s="3"/>
    </row>
    <row r="97" spans="1:58" ht="36" x14ac:dyDescent="0.2">
      <c r="A97" s="841"/>
      <c r="B97" s="734" t="s">
        <v>568</v>
      </c>
      <c r="C97" s="795" t="s">
        <v>590</v>
      </c>
      <c r="D97" s="885" t="s">
        <v>570</v>
      </c>
      <c r="E97" s="734" t="s">
        <v>591</v>
      </c>
      <c r="F97" s="734" t="s">
        <v>572</v>
      </c>
      <c r="G97" s="734" t="s">
        <v>573</v>
      </c>
      <c r="H97" s="734" t="s">
        <v>574</v>
      </c>
      <c r="I97" s="734" t="s">
        <v>575</v>
      </c>
      <c r="J97" s="734" t="s">
        <v>607</v>
      </c>
      <c r="K97" s="735" t="s">
        <v>577</v>
      </c>
      <c r="L97" s="853" t="s">
        <v>593</v>
      </c>
      <c r="M97" s="885" t="s">
        <v>570</v>
      </c>
      <c r="N97" s="734" t="s">
        <v>591</v>
      </c>
      <c r="O97" s="734" t="s">
        <v>572</v>
      </c>
      <c r="P97" s="734" t="s">
        <v>573</v>
      </c>
      <c r="Q97" s="734" t="s">
        <v>574</v>
      </c>
      <c r="R97" s="734" t="s">
        <v>575</v>
      </c>
      <c r="S97" s="734" t="s">
        <v>607</v>
      </c>
      <c r="T97" s="735" t="s">
        <v>577</v>
      </c>
      <c r="U97" s="853" t="s">
        <v>593</v>
      </c>
      <c r="V97" s="885" t="s">
        <v>570</v>
      </c>
      <c r="W97" s="734" t="s">
        <v>591</v>
      </c>
      <c r="X97" s="734" t="s">
        <v>572</v>
      </c>
      <c r="Y97" s="734" t="s">
        <v>573</v>
      </c>
      <c r="Z97" s="734" t="s">
        <v>574</v>
      </c>
      <c r="AA97" s="734" t="s">
        <v>575</v>
      </c>
      <c r="AB97" s="734" t="s">
        <v>607</v>
      </c>
      <c r="AC97" s="735" t="s">
        <v>577</v>
      </c>
      <c r="AD97" s="853" t="s">
        <v>593</v>
      </c>
      <c r="AE97" s="885" t="s">
        <v>570</v>
      </c>
      <c r="AF97" s="734" t="s">
        <v>591</v>
      </c>
      <c r="AG97" s="734" t="s">
        <v>572</v>
      </c>
      <c r="AH97" s="734" t="s">
        <v>573</v>
      </c>
      <c r="AI97" s="734" t="s">
        <v>574</v>
      </c>
      <c r="AJ97" s="734" t="s">
        <v>575</v>
      </c>
      <c r="AK97" s="734" t="s">
        <v>607</v>
      </c>
      <c r="AL97" s="735" t="s">
        <v>577</v>
      </c>
      <c r="AM97" s="853" t="s">
        <v>593</v>
      </c>
      <c r="AN97" s="885" t="s">
        <v>570</v>
      </c>
      <c r="AO97" s="734" t="s">
        <v>591</v>
      </c>
      <c r="AP97" s="734" t="s">
        <v>572</v>
      </c>
      <c r="AQ97" s="734" t="s">
        <v>573</v>
      </c>
      <c r="AR97" s="734" t="s">
        <v>574</v>
      </c>
      <c r="AS97" s="734" t="s">
        <v>575</v>
      </c>
      <c r="AT97" s="734" t="s">
        <v>607</v>
      </c>
      <c r="AU97" s="735" t="s">
        <v>577</v>
      </c>
      <c r="AV97" s="853" t="s">
        <v>593</v>
      </c>
      <c r="AW97" s="885" t="s">
        <v>570</v>
      </c>
      <c r="AX97" s="734" t="s">
        <v>591</v>
      </c>
      <c r="AY97" s="734" t="s">
        <v>572</v>
      </c>
      <c r="AZ97" s="734" t="s">
        <v>573</v>
      </c>
      <c r="BA97" s="734" t="s">
        <v>574</v>
      </c>
      <c r="BB97" s="734" t="s">
        <v>575</v>
      </c>
      <c r="BC97" s="734" t="s">
        <v>607</v>
      </c>
      <c r="BD97" s="735" t="s">
        <v>577</v>
      </c>
      <c r="BE97" s="853" t="s">
        <v>593</v>
      </c>
      <c r="BF97" s="3"/>
    </row>
    <row r="98" spans="1:58" ht="12" x14ac:dyDescent="0.2">
      <c r="A98" s="841"/>
      <c r="B98" s="769" t="s">
        <v>579</v>
      </c>
      <c r="C98" s="820" t="str">
        <f>IF('WS3 - Notional General Income'!C96="","",'WS3 - Notional General Income'!C96)</f>
        <v/>
      </c>
      <c r="D98" s="886"/>
      <c r="E98" s="754"/>
      <c r="F98" s="752"/>
      <c r="G98" s="755" t="str">
        <f t="shared" ref="G98:G147" si="138">IF(F98="",".",D98*F98/L98)</f>
        <v>.</v>
      </c>
      <c r="H98" s="752"/>
      <c r="I98" s="752"/>
      <c r="J98" s="846"/>
      <c r="K98" s="753"/>
      <c r="L98" s="854" t="str">
        <f t="shared" ref="L98:L147" si="139">IF(D98="",".",IF(F98&lt;&gt;"",F98*D98+J98*(E98/100),(J98-K98)*(E98/100)+H98*I98))</f>
        <v>.</v>
      </c>
      <c r="M98" s="886"/>
      <c r="N98" s="754"/>
      <c r="O98" s="752"/>
      <c r="P98" s="755" t="str">
        <f t="shared" ref="P98:P147" si="140">IF(O98="",".",M98*O98/U98)</f>
        <v>.</v>
      </c>
      <c r="Q98" s="752"/>
      <c r="R98" s="752"/>
      <c r="S98" s="846"/>
      <c r="T98" s="753"/>
      <c r="U98" s="854" t="str">
        <f t="shared" ref="U98:U147" si="141">IF(M98="",".",IF(O98&lt;&gt;"",O98*M98+S98*(N98/100),(S98-T98)*(N98/100)+Q98*R98))</f>
        <v>.</v>
      </c>
      <c r="V98" s="886"/>
      <c r="W98" s="754"/>
      <c r="X98" s="752"/>
      <c r="Y98" s="755" t="str">
        <f t="shared" ref="Y98:Y147" si="142">IF(X98="",".",V98*X98/AD98)</f>
        <v>.</v>
      </c>
      <c r="Z98" s="752"/>
      <c r="AA98" s="752"/>
      <c r="AB98" s="846"/>
      <c r="AC98" s="753"/>
      <c r="AD98" s="854" t="str">
        <f t="shared" ref="AD98:AD147" si="143">IF(V98="",".",IF(X98&lt;&gt;"",X98*V98+AB98*(W98/100),(AB98-AC98)*(W98/100)+Z98*AA98))</f>
        <v>.</v>
      </c>
      <c r="AE98" s="886"/>
      <c r="AF98" s="754"/>
      <c r="AG98" s="752"/>
      <c r="AH98" s="755" t="str">
        <f t="shared" ref="AH98:AH147" si="144">IF(AG98="",".",AE98*AG98/AM98)</f>
        <v>.</v>
      </c>
      <c r="AI98" s="752"/>
      <c r="AJ98" s="752"/>
      <c r="AK98" s="846"/>
      <c r="AL98" s="753"/>
      <c r="AM98" s="854" t="str">
        <f t="shared" ref="AM98:AM147" si="145">IF(AE98="",".",IF(AG98&lt;&gt;"",AG98*AE98+AK98*(AF98/100),(AK98-AL98)*(AF98/100)+AI98*AJ98))</f>
        <v>.</v>
      </c>
      <c r="AN98" s="886"/>
      <c r="AO98" s="754"/>
      <c r="AP98" s="752"/>
      <c r="AQ98" s="755" t="str">
        <f t="shared" ref="AQ98:AQ147" si="146">IF(AP98="",".",AN98*AP98/AV98)</f>
        <v>.</v>
      </c>
      <c r="AR98" s="752"/>
      <c r="AS98" s="752"/>
      <c r="AT98" s="846"/>
      <c r="AU98" s="753"/>
      <c r="AV98" s="854" t="str">
        <f t="shared" ref="AV98:AV147" si="147">IF(AN98="",".",IF(AP98&lt;&gt;"",AP98*AN98+AT98*(AO98/100),(AT98-AU98)*(AO98/100)+AR98*AS98))</f>
        <v>.</v>
      </c>
      <c r="AW98" s="886"/>
      <c r="AX98" s="754"/>
      <c r="AY98" s="752"/>
      <c r="AZ98" s="755" t="str">
        <f t="shared" ref="AZ98:AZ147" si="148">IF(AY98="",".",AW98*AY98/BE98)</f>
        <v>.</v>
      </c>
      <c r="BA98" s="752"/>
      <c r="BB98" s="752"/>
      <c r="BC98" s="846"/>
      <c r="BD98" s="753"/>
      <c r="BE98" s="854" t="str">
        <f t="shared" ref="BE98:BE147" si="149">IF(AW98="",".",IF(AY98&lt;&gt;"",AY98*AW98+BC98*(AX98/100),(BC98-BD98)*(AX98/100)+BA98*BB98))</f>
        <v>.</v>
      </c>
      <c r="BF98" s="3"/>
    </row>
    <row r="99" spans="1:58" ht="12" x14ac:dyDescent="0.2">
      <c r="A99" s="841"/>
      <c r="B99" s="769" t="s">
        <v>579</v>
      </c>
      <c r="C99" s="820" t="str">
        <f>IF('WS3 - Notional General Income'!C97="","",'WS3 - Notional General Income'!C97)</f>
        <v/>
      </c>
      <c r="D99" s="886"/>
      <c r="E99" s="754"/>
      <c r="F99" s="752"/>
      <c r="G99" s="755" t="str">
        <f t="shared" si="138"/>
        <v>.</v>
      </c>
      <c r="H99" s="752"/>
      <c r="I99" s="752"/>
      <c r="J99" s="753"/>
      <c r="K99" s="753"/>
      <c r="L99" s="854" t="str">
        <f t="shared" si="139"/>
        <v>.</v>
      </c>
      <c r="M99" s="886"/>
      <c r="N99" s="754"/>
      <c r="O99" s="752"/>
      <c r="P99" s="755" t="str">
        <f t="shared" si="140"/>
        <v>.</v>
      </c>
      <c r="Q99" s="752"/>
      <c r="R99" s="752"/>
      <c r="S99" s="753"/>
      <c r="T99" s="753"/>
      <c r="U99" s="854" t="str">
        <f t="shared" si="141"/>
        <v>.</v>
      </c>
      <c r="V99" s="886"/>
      <c r="W99" s="754"/>
      <c r="X99" s="752"/>
      <c r="Y99" s="755" t="str">
        <f t="shared" si="142"/>
        <v>.</v>
      </c>
      <c r="Z99" s="752"/>
      <c r="AA99" s="752"/>
      <c r="AB99" s="753"/>
      <c r="AC99" s="753"/>
      <c r="AD99" s="854" t="str">
        <f t="shared" si="143"/>
        <v>.</v>
      </c>
      <c r="AE99" s="886"/>
      <c r="AF99" s="754"/>
      <c r="AG99" s="752"/>
      <c r="AH99" s="755" t="str">
        <f t="shared" si="144"/>
        <v>.</v>
      </c>
      <c r="AI99" s="752"/>
      <c r="AJ99" s="752"/>
      <c r="AK99" s="753"/>
      <c r="AL99" s="753"/>
      <c r="AM99" s="854" t="str">
        <f t="shared" si="145"/>
        <v>.</v>
      </c>
      <c r="AN99" s="886"/>
      <c r="AO99" s="754"/>
      <c r="AP99" s="752"/>
      <c r="AQ99" s="755" t="str">
        <f t="shared" si="146"/>
        <v>.</v>
      </c>
      <c r="AR99" s="752"/>
      <c r="AS99" s="752"/>
      <c r="AT99" s="753"/>
      <c r="AU99" s="753"/>
      <c r="AV99" s="854" t="str">
        <f t="shared" si="147"/>
        <v>.</v>
      </c>
      <c r="AW99" s="886"/>
      <c r="AX99" s="754"/>
      <c r="AY99" s="752"/>
      <c r="AZ99" s="755" t="str">
        <f t="shared" si="148"/>
        <v>.</v>
      </c>
      <c r="BA99" s="752"/>
      <c r="BB99" s="752"/>
      <c r="BC99" s="753"/>
      <c r="BD99" s="753"/>
      <c r="BE99" s="854" t="str">
        <f t="shared" si="149"/>
        <v>.</v>
      </c>
      <c r="BF99" s="3"/>
    </row>
    <row r="100" spans="1:58" ht="12" x14ac:dyDescent="0.2">
      <c r="A100" s="841"/>
      <c r="B100" s="769" t="s">
        <v>579</v>
      </c>
      <c r="C100" s="820" t="str">
        <f>IF('WS3 - Notional General Income'!C98="","",'WS3 - Notional General Income'!C98)</f>
        <v/>
      </c>
      <c r="D100" s="886"/>
      <c r="E100" s="754"/>
      <c r="F100" s="752"/>
      <c r="G100" s="755" t="str">
        <f t="shared" si="138"/>
        <v>.</v>
      </c>
      <c r="H100" s="752"/>
      <c r="I100" s="752"/>
      <c r="J100" s="753"/>
      <c r="K100" s="753"/>
      <c r="L100" s="854" t="str">
        <f t="shared" si="139"/>
        <v>.</v>
      </c>
      <c r="M100" s="886"/>
      <c r="N100" s="754"/>
      <c r="O100" s="752"/>
      <c r="P100" s="755" t="str">
        <f t="shared" si="140"/>
        <v>.</v>
      </c>
      <c r="Q100" s="752"/>
      <c r="R100" s="752"/>
      <c r="S100" s="753"/>
      <c r="T100" s="753"/>
      <c r="U100" s="854" t="str">
        <f t="shared" si="141"/>
        <v>.</v>
      </c>
      <c r="V100" s="886"/>
      <c r="W100" s="754"/>
      <c r="X100" s="752"/>
      <c r="Y100" s="755" t="str">
        <f t="shared" si="142"/>
        <v>.</v>
      </c>
      <c r="Z100" s="752"/>
      <c r="AA100" s="752"/>
      <c r="AB100" s="753"/>
      <c r="AC100" s="753"/>
      <c r="AD100" s="854" t="str">
        <f t="shared" si="143"/>
        <v>.</v>
      </c>
      <c r="AE100" s="886"/>
      <c r="AF100" s="754"/>
      <c r="AG100" s="752"/>
      <c r="AH100" s="755" t="str">
        <f t="shared" si="144"/>
        <v>.</v>
      </c>
      <c r="AI100" s="752"/>
      <c r="AJ100" s="752"/>
      <c r="AK100" s="753"/>
      <c r="AL100" s="753"/>
      <c r="AM100" s="854" t="str">
        <f t="shared" si="145"/>
        <v>.</v>
      </c>
      <c r="AN100" s="886"/>
      <c r="AO100" s="754"/>
      <c r="AP100" s="752"/>
      <c r="AQ100" s="755" t="str">
        <f t="shared" si="146"/>
        <v>.</v>
      </c>
      <c r="AR100" s="752"/>
      <c r="AS100" s="752"/>
      <c r="AT100" s="753"/>
      <c r="AU100" s="753"/>
      <c r="AV100" s="854" t="str">
        <f t="shared" si="147"/>
        <v>.</v>
      </c>
      <c r="AW100" s="886"/>
      <c r="AX100" s="754"/>
      <c r="AY100" s="752"/>
      <c r="AZ100" s="755" t="str">
        <f t="shared" si="148"/>
        <v>.</v>
      </c>
      <c r="BA100" s="752"/>
      <c r="BB100" s="752"/>
      <c r="BC100" s="753"/>
      <c r="BD100" s="753"/>
      <c r="BE100" s="854" t="str">
        <f t="shared" si="149"/>
        <v>.</v>
      </c>
      <c r="BF100" s="3"/>
    </row>
    <row r="101" spans="1:58" ht="12" x14ac:dyDescent="0.2">
      <c r="A101" s="841"/>
      <c r="B101" s="769" t="s">
        <v>579</v>
      </c>
      <c r="C101" s="820" t="str">
        <f>IF('WS3 - Notional General Income'!C99="","",'WS3 - Notional General Income'!C99)</f>
        <v/>
      </c>
      <c r="D101" s="886"/>
      <c r="E101" s="754"/>
      <c r="F101" s="752"/>
      <c r="G101" s="755" t="str">
        <f t="shared" si="138"/>
        <v>.</v>
      </c>
      <c r="H101" s="752"/>
      <c r="I101" s="752"/>
      <c r="J101" s="753"/>
      <c r="K101" s="753"/>
      <c r="L101" s="854" t="str">
        <f t="shared" si="139"/>
        <v>.</v>
      </c>
      <c r="M101" s="886"/>
      <c r="N101" s="754"/>
      <c r="O101" s="752"/>
      <c r="P101" s="755" t="str">
        <f t="shared" si="140"/>
        <v>.</v>
      </c>
      <c r="Q101" s="752"/>
      <c r="R101" s="752"/>
      <c r="S101" s="753"/>
      <c r="T101" s="753"/>
      <c r="U101" s="854" t="str">
        <f t="shared" si="141"/>
        <v>.</v>
      </c>
      <c r="V101" s="886"/>
      <c r="W101" s="754"/>
      <c r="X101" s="752"/>
      <c r="Y101" s="755" t="str">
        <f t="shared" si="142"/>
        <v>.</v>
      </c>
      <c r="Z101" s="752"/>
      <c r="AA101" s="752"/>
      <c r="AB101" s="753"/>
      <c r="AC101" s="753"/>
      <c r="AD101" s="854" t="str">
        <f t="shared" si="143"/>
        <v>.</v>
      </c>
      <c r="AE101" s="886"/>
      <c r="AF101" s="754"/>
      <c r="AG101" s="752"/>
      <c r="AH101" s="755" t="str">
        <f t="shared" si="144"/>
        <v>.</v>
      </c>
      <c r="AI101" s="752"/>
      <c r="AJ101" s="752"/>
      <c r="AK101" s="753"/>
      <c r="AL101" s="753"/>
      <c r="AM101" s="854" t="str">
        <f t="shared" si="145"/>
        <v>.</v>
      </c>
      <c r="AN101" s="886"/>
      <c r="AO101" s="754"/>
      <c r="AP101" s="752"/>
      <c r="AQ101" s="755" t="str">
        <f t="shared" si="146"/>
        <v>.</v>
      </c>
      <c r="AR101" s="752"/>
      <c r="AS101" s="752"/>
      <c r="AT101" s="753"/>
      <c r="AU101" s="753"/>
      <c r="AV101" s="854" t="str">
        <f t="shared" si="147"/>
        <v>.</v>
      </c>
      <c r="AW101" s="886"/>
      <c r="AX101" s="754"/>
      <c r="AY101" s="752"/>
      <c r="AZ101" s="755" t="str">
        <f t="shared" si="148"/>
        <v>.</v>
      </c>
      <c r="BA101" s="752"/>
      <c r="BB101" s="752"/>
      <c r="BC101" s="753"/>
      <c r="BD101" s="753"/>
      <c r="BE101" s="854" t="str">
        <f t="shared" si="149"/>
        <v>.</v>
      </c>
      <c r="BF101" s="3"/>
    </row>
    <row r="102" spans="1:58" ht="12" x14ac:dyDescent="0.2">
      <c r="A102" s="841"/>
      <c r="B102" s="769" t="s">
        <v>579</v>
      </c>
      <c r="C102" s="820" t="str">
        <f>IF('WS3 - Notional General Income'!C100="","",'WS3 - Notional General Income'!C100)</f>
        <v/>
      </c>
      <c r="D102" s="886"/>
      <c r="E102" s="754"/>
      <c r="F102" s="752"/>
      <c r="G102" s="755" t="str">
        <f t="shared" si="138"/>
        <v>.</v>
      </c>
      <c r="H102" s="752"/>
      <c r="I102" s="752"/>
      <c r="J102" s="753"/>
      <c r="K102" s="753"/>
      <c r="L102" s="854" t="str">
        <f t="shared" si="139"/>
        <v>.</v>
      </c>
      <c r="M102" s="886"/>
      <c r="N102" s="754"/>
      <c r="O102" s="752"/>
      <c r="P102" s="755" t="str">
        <f t="shared" si="140"/>
        <v>.</v>
      </c>
      <c r="Q102" s="752"/>
      <c r="R102" s="752"/>
      <c r="S102" s="753"/>
      <c r="T102" s="753"/>
      <c r="U102" s="854" t="str">
        <f t="shared" si="141"/>
        <v>.</v>
      </c>
      <c r="V102" s="886"/>
      <c r="W102" s="754"/>
      <c r="X102" s="752"/>
      <c r="Y102" s="755" t="str">
        <f t="shared" si="142"/>
        <v>.</v>
      </c>
      <c r="Z102" s="752"/>
      <c r="AA102" s="752"/>
      <c r="AB102" s="753"/>
      <c r="AC102" s="753"/>
      <c r="AD102" s="854" t="str">
        <f t="shared" si="143"/>
        <v>.</v>
      </c>
      <c r="AE102" s="886"/>
      <c r="AF102" s="754"/>
      <c r="AG102" s="752"/>
      <c r="AH102" s="755" t="str">
        <f t="shared" si="144"/>
        <v>.</v>
      </c>
      <c r="AI102" s="752"/>
      <c r="AJ102" s="752"/>
      <c r="AK102" s="753"/>
      <c r="AL102" s="753"/>
      <c r="AM102" s="854" t="str">
        <f t="shared" si="145"/>
        <v>.</v>
      </c>
      <c r="AN102" s="886"/>
      <c r="AO102" s="754"/>
      <c r="AP102" s="752"/>
      <c r="AQ102" s="755" t="str">
        <f t="shared" si="146"/>
        <v>.</v>
      </c>
      <c r="AR102" s="752"/>
      <c r="AS102" s="752"/>
      <c r="AT102" s="753"/>
      <c r="AU102" s="753"/>
      <c r="AV102" s="854" t="str">
        <f t="shared" si="147"/>
        <v>.</v>
      </c>
      <c r="AW102" s="886"/>
      <c r="AX102" s="754"/>
      <c r="AY102" s="752"/>
      <c r="AZ102" s="755" t="str">
        <f t="shared" si="148"/>
        <v>.</v>
      </c>
      <c r="BA102" s="752"/>
      <c r="BB102" s="752"/>
      <c r="BC102" s="753"/>
      <c r="BD102" s="753"/>
      <c r="BE102" s="854" t="str">
        <f t="shared" si="149"/>
        <v>.</v>
      </c>
      <c r="BF102" s="3"/>
    </row>
    <row r="103" spans="1:58" ht="12" x14ac:dyDescent="0.2">
      <c r="A103" s="841"/>
      <c r="B103" s="769" t="s">
        <v>579</v>
      </c>
      <c r="C103" s="820" t="str">
        <f>IF('WS3 - Notional General Income'!C101="","",'WS3 - Notional General Income'!C101)</f>
        <v/>
      </c>
      <c r="D103" s="886"/>
      <c r="E103" s="754"/>
      <c r="F103" s="752"/>
      <c r="G103" s="755" t="str">
        <f t="shared" si="138"/>
        <v>.</v>
      </c>
      <c r="H103" s="752"/>
      <c r="I103" s="752"/>
      <c r="J103" s="753"/>
      <c r="K103" s="753"/>
      <c r="L103" s="854" t="str">
        <f t="shared" si="139"/>
        <v>.</v>
      </c>
      <c r="M103" s="886"/>
      <c r="N103" s="754"/>
      <c r="O103" s="752"/>
      <c r="P103" s="755" t="str">
        <f t="shared" si="140"/>
        <v>.</v>
      </c>
      <c r="Q103" s="752"/>
      <c r="R103" s="752"/>
      <c r="S103" s="753"/>
      <c r="T103" s="753"/>
      <c r="U103" s="854" t="str">
        <f t="shared" si="141"/>
        <v>.</v>
      </c>
      <c r="V103" s="886"/>
      <c r="W103" s="754"/>
      <c r="X103" s="752"/>
      <c r="Y103" s="755" t="str">
        <f t="shared" si="142"/>
        <v>.</v>
      </c>
      <c r="Z103" s="752"/>
      <c r="AA103" s="752"/>
      <c r="AB103" s="753"/>
      <c r="AC103" s="753"/>
      <c r="AD103" s="854" t="str">
        <f t="shared" si="143"/>
        <v>.</v>
      </c>
      <c r="AE103" s="886"/>
      <c r="AF103" s="754"/>
      <c r="AG103" s="752"/>
      <c r="AH103" s="755" t="str">
        <f t="shared" si="144"/>
        <v>.</v>
      </c>
      <c r="AI103" s="752"/>
      <c r="AJ103" s="752"/>
      <c r="AK103" s="753"/>
      <c r="AL103" s="753"/>
      <c r="AM103" s="854" t="str">
        <f t="shared" si="145"/>
        <v>.</v>
      </c>
      <c r="AN103" s="886"/>
      <c r="AO103" s="754"/>
      <c r="AP103" s="752"/>
      <c r="AQ103" s="755" t="str">
        <f t="shared" si="146"/>
        <v>.</v>
      </c>
      <c r="AR103" s="752"/>
      <c r="AS103" s="752"/>
      <c r="AT103" s="753"/>
      <c r="AU103" s="753"/>
      <c r="AV103" s="854" t="str">
        <f t="shared" si="147"/>
        <v>.</v>
      </c>
      <c r="AW103" s="886"/>
      <c r="AX103" s="754"/>
      <c r="AY103" s="752"/>
      <c r="AZ103" s="755" t="str">
        <f t="shared" si="148"/>
        <v>.</v>
      </c>
      <c r="BA103" s="752"/>
      <c r="BB103" s="752"/>
      <c r="BC103" s="753"/>
      <c r="BD103" s="753"/>
      <c r="BE103" s="854" t="str">
        <f t="shared" si="149"/>
        <v>.</v>
      </c>
      <c r="BF103" s="3"/>
    </row>
    <row r="104" spans="1:58" ht="12" x14ac:dyDescent="0.2">
      <c r="A104" s="841"/>
      <c r="B104" s="769" t="s">
        <v>579</v>
      </c>
      <c r="C104" s="820" t="str">
        <f>IF('WS3 - Notional General Income'!C102="","",'WS3 - Notional General Income'!C102)</f>
        <v/>
      </c>
      <c r="D104" s="886"/>
      <c r="E104" s="754"/>
      <c r="F104" s="752"/>
      <c r="G104" s="755" t="str">
        <f t="shared" si="138"/>
        <v>.</v>
      </c>
      <c r="H104" s="752"/>
      <c r="I104" s="752"/>
      <c r="J104" s="753"/>
      <c r="K104" s="753"/>
      <c r="L104" s="854" t="str">
        <f t="shared" si="139"/>
        <v>.</v>
      </c>
      <c r="M104" s="886"/>
      <c r="N104" s="754"/>
      <c r="O104" s="752"/>
      <c r="P104" s="755" t="str">
        <f t="shared" si="140"/>
        <v>.</v>
      </c>
      <c r="Q104" s="752"/>
      <c r="R104" s="752"/>
      <c r="S104" s="753"/>
      <c r="T104" s="753"/>
      <c r="U104" s="854" t="str">
        <f t="shared" si="141"/>
        <v>.</v>
      </c>
      <c r="V104" s="886"/>
      <c r="W104" s="754"/>
      <c r="X104" s="752"/>
      <c r="Y104" s="755" t="str">
        <f t="shared" si="142"/>
        <v>.</v>
      </c>
      <c r="Z104" s="752"/>
      <c r="AA104" s="752"/>
      <c r="AB104" s="753"/>
      <c r="AC104" s="753"/>
      <c r="AD104" s="854" t="str">
        <f t="shared" si="143"/>
        <v>.</v>
      </c>
      <c r="AE104" s="886"/>
      <c r="AF104" s="754"/>
      <c r="AG104" s="752"/>
      <c r="AH104" s="755" t="str">
        <f t="shared" si="144"/>
        <v>.</v>
      </c>
      <c r="AI104" s="752"/>
      <c r="AJ104" s="752"/>
      <c r="AK104" s="753"/>
      <c r="AL104" s="753"/>
      <c r="AM104" s="854" t="str">
        <f t="shared" si="145"/>
        <v>.</v>
      </c>
      <c r="AN104" s="886"/>
      <c r="AO104" s="754"/>
      <c r="AP104" s="752"/>
      <c r="AQ104" s="755" t="str">
        <f t="shared" si="146"/>
        <v>.</v>
      </c>
      <c r="AR104" s="752"/>
      <c r="AS104" s="752"/>
      <c r="AT104" s="753"/>
      <c r="AU104" s="753"/>
      <c r="AV104" s="854" t="str">
        <f t="shared" si="147"/>
        <v>.</v>
      </c>
      <c r="AW104" s="886"/>
      <c r="AX104" s="754"/>
      <c r="AY104" s="752"/>
      <c r="AZ104" s="755" t="str">
        <f t="shared" si="148"/>
        <v>.</v>
      </c>
      <c r="BA104" s="752"/>
      <c r="BB104" s="752"/>
      <c r="BC104" s="753"/>
      <c r="BD104" s="753"/>
      <c r="BE104" s="854" t="str">
        <f t="shared" si="149"/>
        <v>.</v>
      </c>
      <c r="BF104" s="3"/>
    </row>
    <row r="105" spans="1:58" ht="12" x14ac:dyDescent="0.2">
      <c r="A105" s="841"/>
      <c r="B105" s="769" t="s">
        <v>579</v>
      </c>
      <c r="C105" s="820" t="str">
        <f>IF('WS3 - Notional General Income'!C103="","",'WS3 - Notional General Income'!C103)</f>
        <v/>
      </c>
      <c r="D105" s="886"/>
      <c r="E105" s="754"/>
      <c r="F105" s="752"/>
      <c r="G105" s="755" t="str">
        <f t="shared" si="138"/>
        <v>.</v>
      </c>
      <c r="H105" s="752"/>
      <c r="I105" s="752"/>
      <c r="J105" s="753"/>
      <c r="K105" s="753"/>
      <c r="L105" s="854" t="str">
        <f t="shared" si="139"/>
        <v>.</v>
      </c>
      <c r="M105" s="886"/>
      <c r="N105" s="754"/>
      <c r="O105" s="752"/>
      <c r="P105" s="755" t="str">
        <f t="shared" si="140"/>
        <v>.</v>
      </c>
      <c r="Q105" s="752"/>
      <c r="R105" s="752"/>
      <c r="S105" s="753"/>
      <c r="T105" s="753"/>
      <c r="U105" s="854" t="str">
        <f t="shared" si="141"/>
        <v>.</v>
      </c>
      <c r="V105" s="886"/>
      <c r="W105" s="754"/>
      <c r="X105" s="752"/>
      <c r="Y105" s="755" t="str">
        <f t="shared" si="142"/>
        <v>.</v>
      </c>
      <c r="Z105" s="752"/>
      <c r="AA105" s="752"/>
      <c r="AB105" s="753"/>
      <c r="AC105" s="753"/>
      <c r="AD105" s="854" t="str">
        <f t="shared" si="143"/>
        <v>.</v>
      </c>
      <c r="AE105" s="886"/>
      <c r="AF105" s="754"/>
      <c r="AG105" s="752"/>
      <c r="AH105" s="755" t="str">
        <f t="shared" si="144"/>
        <v>.</v>
      </c>
      <c r="AI105" s="752"/>
      <c r="AJ105" s="752"/>
      <c r="AK105" s="753"/>
      <c r="AL105" s="753"/>
      <c r="AM105" s="854" t="str">
        <f t="shared" si="145"/>
        <v>.</v>
      </c>
      <c r="AN105" s="886"/>
      <c r="AO105" s="754"/>
      <c r="AP105" s="752"/>
      <c r="AQ105" s="755" t="str">
        <f t="shared" si="146"/>
        <v>.</v>
      </c>
      <c r="AR105" s="752"/>
      <c r="AS105" s="752"/>
      <c r="AT105" s="753"/>
      <c r="AU105" s="753"/>
      <c r="AV105" s="854" t="str">
        <f t="shared" si="147"/>
        <v>.</v>
      </c>
      <c r="AW105" s="886"/>
      <c r="AX105" s="754"/>
      <c r="AY105" s="752"/>
      <c r="AZ105" s="755" t="str">
        <f t="shared" si="148"/>
        <v>.</v>
      </c>
      <c r="BA105" s="752"/>
      <c r="BB105" s="752"/>
      <c r="BC105" s="753"/>
      <c r="BD105" s="753"/>
      <c r="BE105" s="854" t="str">
        <f t="shared" si="149"/>
        <v>.</v>
      </c>
      <c r="BF105" s="3"/>
    </row>
    <row r="106" spans="1:58" ht="12" x14ac:dyDescent="0.2">
      <c r="A106" s="841"/>
      <c r="B106" s="769" t="s">
        <v>579</v>
      </c>
      <c r="C106" s="820" t="str">
        <f>IF('WS3 - Notional General Income'!C104="","",'WS3 - Notional General Income'!C104)</f>
        <v/>
      </c>
      <c r="D106" s="886"/>
      <c r="E106" s="754"/>
      <c r="F106" s="752"/>
      <c r="G106" s="755" t="str">
        <f t="shared" si="138"/>
        <v>.</v>
      </c>
      <c r="H106" s="752"/>
      <c r="I106" s="752"/>
      <c r="J106" s="753"/>
      <c r="K106" s="753"/>
      <c r="L106" s="854" t="str">
        <f t="shared" si="139"/>
        <v>.</v>
      </c>
      <c r="M106" s="886"/>
      <c r="N106" s="754"/>
      <c r="O106" s="752"/>
      <c r="P106" s="755" t="str">
        <f t="shared" si="140"/>
        <v>.</v>
      </c>
      <c r="Q106" s="752"/>
      <c r="R106" s="752"/>
      <c r="S106" s="753"/>
      <c r="T106" s="753"/>
      <c r="U106" s="854" t="str">
        <f t="shared" si="141"/>
        <v>.</v>
      </c>
      <c r="V106" s="886"/>
      <c r="W106" s="754"/>
      <c r="X106" s="752"/>
      <c r="Y106" s="755" t="str">
        <f t="shared" si="142"/>
        <v>.</v>
      </c>
      <c r="Z106" s="752"/>
      <c r="AA106" s="752"/>
      <c r="AB106" s="753"/>
      <c r="AC106" s="753"/>
      <c r="AD106" s="854" t="str">
        <f t="shared" si="143"/>
        <v>.</v>
      </c>
      <c r="AE106" s="886"/>
      <c r="AF106" s="754"/>
      <c r="AG106" s="752"/>
      <c r="AH106" s="755" t="str">
        <f t="shared" si="144"/>
        <v>.</v>
      </c>
      <c r="AI106" s="752"/>
      <c r="AJ106" s="752"/>
      <c r="AK106" s="753"/>
      <c r="AL106" s="753"/>
      <c r="AM106" s="854" t="str">
        <f t="shared" si="145"/>
        <v>.</v>
      </c>
      <c r="AN106" s="886"/>
      <c r="AO106" s="754"/>
      <c r="AP106" s="752"/>
      <c r="AQ106" s="755" t="str">
        <f t="shared" si="146"/>
        <v>.</v>
      </c>
      <c r="AR106" s="752"/>
      <c r="AS106" s="752"/>
      <c r="AT106" s="753"/>
      <c r="AU106" s="753"/>
      <c r="AV106" s="854" t="str">
        <f t="shared" si="147"/>
        <v>.</v>
      </c>
      <c r="AW106" s="886"/>
      <c r="AX106" s="754"/>
      <c r="AY106" s="752"/>
      <c r="AZ106" s="755" t="str">
        <f t="shared" si="148"/>
        <v>.</v>
      </c>
      <c r="BA106" s="752"/>
      <c r="BB106" s="752"/>
      <c r="BC106" s="753"/>
      <c r="BD106" s="753"/>
      <c r="BE106" s="854" t="str">
        <f t="shared" si="149"/>
        <v>.</v>
      </c>
      <c r="BF106" s="3"/>
    </row>
    <row r="107" spans="1:58" ht="12" x14ac:dyDescent="0.2">
      <c r="A107" s="841"/>
      <c r="B107" s="769" t="s">
        <v>579</v>
      </c>
      <c r="C107" s="820" t="str">
        <f>IF('WS3 - Notional General Income'!C105="","",'WS3 - Notional General Income'!C105)</f>
        <v/>
      </c>
      <c r="D107" s="886"/>
      <c r="E107" s="754"/>
      <c r="F107" s="752"/>
      <c r="G107" s="755" t="str">
        <f t="shared" si="138"/>
        <v>.</v>
      </c>
      <c r="H107" s="752"/>
      <c r="I107" s="752"/>
      <c r="J107" s="753"/>
      <c r="K107" s="753"/>
      <c r="L107" s="854" t="str">
        <f t="shared" si="139"/>
        <v>.</v>
      </c>
      <c r="M107" s="886"/>
      <c r="N107" s="754"/>
      <c r="O107" s="752"/>
      <c r="P107" s="755" t="str">
        <f t="shared" si="140"/>
        <v>.</v>
      </c>
      <c r="Q107" s="752"/>
      <c r="R107" s="752"/>
      <c r="S107" s="753"/>
      <c r="T107" s="753"/>
      <c r="U107" s="854" t="str">
        <f t="shared" si="141"/>
        <v>.</v>
      </c>
      <c r="V107" s="886"/>
      <c r="W107" s="754"/>
      <c r="X107" s="752"/>
      <c r="Y107" s="755" t="str">
        <f t="shared" si="142"/>
        <v>.</v>
      </c>
      <c r="Z107" s="752"/>
      <c r="AA107" s="752"/>
      <c r="AB107" s="753"/>
      <c r="AC107" s="753"/>
      <c r="AD107" s="854" t="str">
        <f t="shared" si="143"/>
        <v>.</v>
      </c>
      <c r="AE107" s="886"/>
      <c r="AF107" s="754"/>
      <c r="AG107" s="752"/>
      <c r="AH107" s="755" t="str">
        <f t="shared" si="144"/>
        <v>.</v>
      </c>
      <c r="AI107" s="752"/>
      <c r="AJ107" s="752"/>
      <c r="AK107" s="753"/>
      <c r="AL107" s="753"/>
      <c r="AM107" s="854" t="str">
        <f t="shared" si="145"/>
        <v>.</v>
      </c>
      <c r="AN107" s="886"/>
      <c r="AO107" s="754"/>
      <c r="AP107" s="752"/>
      <c r="AQ107" s="755" t="str">
        <f t="shared" si="146"/>
        <v>.</v>
      </c>
      <c r="AR107" s="752"/>
      <c r="AS107" s="752"/>
      <c r="AT107" s="753"/>
      <c r="AU107" s="753"/>
      <c r="AV107" s="854" t="str">
        <f t="shared" si="147"/>
        <v>.</v>
      </c>
      <c r="AW107" s="886"/>
      <c r="AX107" s="754"/>
      <c r="AY107" s="752"/>
      <c r="AZ107" s="755" t="str">
        <f t="shared" si="148"/>
        <v>.</v>
      </c>
      <c r="BA107" s="752"/>
      <c r="BB107" s="752"/>
      <c r="BC107" s="753"/>
      <c r="BD107" s="753"/>
      <c r="BE107" s="854" t="str">
        <f t="shared" si="149"/>
        <v>.</v>
      </c>
      <c r="BF107" s="3"/>
    </row>
    <row r="108" spans="1:58" ht="12" x14ac:dyDescent="0.2">
      <c r="A108" s="841"/>
      <c r="B108" s="769" t="s">
        <v>581</v>
      </c>
      <c r="C108" s="820" t="str">
        <f>IF('WS3 - Notional General Income'!C106="","",'WS3 - Notional General Income'!C106)</f>
        <v/>
      </c>
      <c r="D108" s="886"/>
      <c r="E108" s="754"/>
      <c r="F108" s="752"/>
      <c r="G108" s="755" t="str">
        <f t="shared" si="138"/>
        <v>.</v>
      </c>
      <c r="H108" s="752"/>
      <c r="I108" s="752"/>
      <c r="J108" s="753"/>
      <c r="K108" s="753"/>
      <c r="L108" s="854" t="str">
        <f t="shared" si="139"/>
        <v>.</v>
      </c>
      <c r="M108" s="886"/>
      <c r="N108" s="754"/>
      <c r="O108" s="752"/>
      <c r="P108" s="755" t="str">
        <f t="shared" si="140"/>
        <v>.</v>
      </c>
      <c r="Q108" s="752"/>
      <c r="R108" s="752"/>
      <c r="S108" s="753"/>
      <c r="T108" s="753"/>
      <c r="U108" s="854" t="str">
        <f t="shared" si="141"/>
        <v>.</v>
      </c>
      <c r="V108" s="886"/>
      <c r="W108" s="754"/>
      <c r="X108" s="752"/>
      <c r="Y108" s="755" t="str">
        <f t="shared" si="142"/>
        <v>.</v>
      </c>
      <c r="Z108" s="752"/>
      <c r="AA108" s="752"/>
      <c r="AB108" s="753"/>
      <c r="AC108" s="753"/>
      <c r="AD108" s="854" t="str">
        <f t="shared" si="143"/>
        <v>.</v>
      </c>
      <c r="AE108" s="886"/>
      <c r="AF108" s="754"/>
      <c r="AG108" s="752"/>
      <c r="AH108" s="755" t="str">
        <f t="shared" si="144"/>
        <v>.</v>
      </c>
      <c r="AI108" s="752"/>
      <c r="AJ108" s="752"/>
      <c r="AK108" s="753"/>
      <c r="AL108" s="753"/>
      <c r="AM108" s="854" t="str">
        <f t="shared" si="145"/>
        <v>.</v>
      </c>
      <c r="AN108" s="886"/>
      <c r="AO108" s="754"/>
      <c r="AP108" s="752"/>
      <c r="AQ108" s="755" t="str">
        <f t="shared" si="146"/>
        <v>.</v>
      </c>
      <c r="AR108" s="752"/>
      <c r="AS108" s="752"/>
      <c r="AT108" s="753"/>
      <c r="AU108" s="753"/>
      <c r="AV108" s="854" t="str">
        <f t="shared" si="147"/>
        <v>.</v>
      </c>
      <c r="AW108" s="886"/>
      <c r="AX108" s="754"/>
      <c r="AY108" s="752"/>
      <c r="AZ108" s="755" t="str">
        <f t="shared" si="148"/>
        <v>.</v>
      </c>
      <c r="BA108" s="752"/>
      <c r="BB108" s="752"/>
      <c r="BC108" s="753"/>
      <c r="BD108" s="753"/>
      <c r="BE108" s="854" t="str">
        <f t="shared" si="149"/>
        <v>.</v>
      </c>
      <c r="BF108" s="3"/>
    </row>
    <row r="109" spans="1:58" ht="12" x14ac:dyDescent="0.2">
      <c r="A109" s="841"/>
      <c r="B109" s="769" t="s">
        <v>581</v>
      </c>
      <c r="C109" s="820" t="str">
        <f>IF('WS3 - Notional General Income'!C107="","",'WS3 - Notional General Income'!C107)</f>
        <v/>
      </c>
      <c r="D109" s="886"/>
      <c r="E109" s="754"/>
      <c r="F109" s="752"/>
      <c r="G109" s="755" t="str">
        <f t="shared" si="138"/>
        <v>.</v>
      </c>
      <c r="H109" s="752"/>
      <c r="I109" s="752"/>
      <c r="J109" s="753"/>
      <c r="K109" s="753"/>
      <c r="L109" s="854" t="str">
        <f t="shared" si="139"/>
        <v>.</v>
      </c>
      <c r="M109" s="886"/>
      <c r="N109" s="754"/>
      <c r="O109" s="752"/>
      <c r="P109" s="755" t="str">
        <f t="shared" si="140"/>
        <v>.</v>
      </c>
      <c r="Q109" s="752"/>
      <c r="R109" s="752"/>
      <c r="S109" s="753"/>
      <c r="T109" s="753"/>
      <c r="U109" s="854" t="str">
        <f t="shared" si="141"/>
        <v>.</v>
      </c>
      <c r="V109" s="886"/>
      <c r="W109" s="754"/>
      <c r="X109" s="752"/>
      <c r="Y109" s="755" t="str">
        <f t="shared" si="142"/>
        <v>.</v>
      </c>
      <c r="Z109" s="752"/>
      <c r="AA109" s="752"/>
      <c r="AB109" s="753"/>
      <c r="AC109" s="753"/>
      <c r="AD109" s="854" t="str">
        <f t="shared" si="143"/>
        <v>.</v>
      </c>
      <c r="AE109" s="886"/>
      <c r="AF109" s="754"/>
      <c r="AG109" s="752"/>
      <c r="AH109" s="755" t="str">
        <f t="shared" si="144"/>
        <v>.</v>
      </c>
      <c r="AI109" s="752"/>
      <c r="AJ109" s="752"/>
      <c r="AK109" s="753"/>
      <c r="AL109" s="753"/>
      <c r="AM109" s="854" t="str">
        <f t="shared" si="145"/>
        <v>.</v>
      </c>
      <c r="AN109" s="886"/>
      <c r="AO109" s="754"/>
      <c r="AP109" s="752"/>
      <c r="AQ109" s="755" t="str">
        <f t="shared" si="146"/>
        <v>.</v>
      </c>
      <c r="AR109" s="752"/>
      <c r="AS109" s="752"/>
      <c r="AT109" s="753"/>
      <c r="AU109" s="753"/>
      <c r="AV109" s="854" t="str">
        <f t="shared" si="147"/>
        <v>.</v>
      </c>
      <c r="AW109" s="886"/>
      <c r="AX109" s="754"/>
      <c r="AY109" s="752"/>
      <c r="AZ109" s="755" t="str">
        <f t="shared" si="148"/>
        <v>.</v>
      </c>
      <c r="BA109" s="752"/>
      <c r="BB109" s="752"/>
      <c r="BC109" s="753"/>
      <c r="BD109" s="753"/>
      <c r="BE109" s="854" t="str">
        <f t="shared" si="149"/>
        <v>.</v>
      </c>
      <c r="BF109" s="3"/>
    </row>
    <row r="110" spans="1:58" ht="12" x14ac:dyDescent="0.2">
      <c r="A110" s="841"/>
      <c r="B110" s="769" t="s">
        <v>581</v>
      </c>
      <c r="C110" s="820" t="str">
        <f>IF('WS3 - Notional General Income'!C108="","",'WS3 - Notional General Income'!C108)</f>
        <v/>
      </c>
      <c r="D110" s="886"/>
      <c r="E110" s="754"/>
      <c r="F110" s="752"/>
      <c r="G110" s="755" t="str">
        <f t="shared" si="138"/>
        <v>.</v>
      </c>
      <c r="H110" s="752"/>
      <c r="I110" s="752"/>
      <c r="J110" s="753"/>
      <c r="K110" s="753"/>
      <c r="L110" s="854" t="str">
        <f t="shared" si="139"/>
        <v>.</v>
      </c>
      <c r="M110" s="886"/>
      <c r="N110" s="754"/>
      <c r="O110" s="752"/>
      <c r="P110" s="755" t="str">
        <f t="shared" si="140"/>
        <v>.</v>
      </c>
      <c r="Q110" s="752"/>
      <c r="R110" s="752"/>
      <c r="S110" s="753"/>
      <c r="T110" s="753"/>
      <c r="U110" s="854" t="str">
        <f t="shared" si="141"/>
        <v>.</v>
      </c>
      <c r="V110" s="886"/>
      <c r="W110" s="754"/>
      <c r="X110" s="752"/>
      <c r="Y110" s="755" t="str">
        <f t="shared" si="142"/>
        <v>.</v>
      </c>
      <c r="Z110" s="752"/>
      <c r="AA110" s="752"/>
      <c r="AB110" s="753"/>
      <c r="AC110" s="753"/>
      <c r="AD110" s="854" t="str">
        <f t="shared" si="143"/>
        <v>.</v>
      </c>
      <c r="AE110" s="886"/>
      <c r="AF110" s="754"/>
      <c r="AG110" s="752"/>
      <c r="AH110" s="755" t="str">
        <f t="shared" si="144"/>
        <v>.</v>
      </c>
      <c r="AI110" s="752"/>
      <c r="AJ110" s="752"/>
      <c r="AK110" s="753"/>
      <c r="AL110" s="753"/>
      <c r="AM110" s="854" t="str">
        <f t="shared" si="145"/>
        <v>.</v>
      </c>
      <c r="AN110" s="886"/>
      <c r="AO110" s="754"/>
      <c r="AP110" s="752"/>
      <c r="AQ110" s="755" t="str">
        <f t="shared" si="146"/>
        <v>.</v>
      </c>
      <c r="AR110" s="752"/>
      <c r="AS110" s="752"/>
      <c r="AT110" s="753"/>
      <c r="AU110" s="753"/>
      <c r="AV110" s="854" t="str">
        <f t="shared" si="147"/>
        <v>.</v>
      </c>
      <c r="AW110" s="886"/>
      <c r="AX110" s="754"/>
      <c r="AY110" s="752"/>
      <c r="AZ110" s="755" t="str">
        <f t="shared" si="148"/>
        <v>.</v>
      </c>
      <c r="BA110" s="752"/>
      <c r="BB110" s="752"/>
      <c r="BC110" s="753"/>
      <c r="BD110" s="753"/>
      <c r="BE110" s="854" t="str">
        <f t="shared" si="149"/>
        <v>.</v>
      </c>
      <c r="BF110" s="3"/>
    </row>
    <row r="111" spans="1:58" ht="12" x14ac:dyDescent="0.2">
      <c r="A111" s="841"/>
      <c r="B111" s="769" t="s">
        <v>581</v>
      </c>
      <c r="C111" s="820" t="str">
        <f>IF('WS3 - Notional General Income'!C109="","",'WS3 - Notional General Income'!C109)</f>
        <v/>
      </c>
      <c r="D111" s="886"/>
      <c r="E111" s="754"/>
      <c r="F111" s="752"/>
      <c r="G111" s="755" t="str">
        <f t="shared" si="138"/>
        <v>.</v>
      </c>
      <c r="H111" s="752"/>
      <c r="I111" s="752"/>
      <c r="J111" s="753"/>
      <c r="K111" s="753"/>
      <c r="L111" s="854" t="str">
        <f t="shared" si="139"/>
        <v>.</v>
      </c>
      <c r="M111" s="886"/>
      <c r="N111" s="754"/>
      <c r="O111" s="752"/>
      <c r="P111" s="755" t="str">
        <f t="shared" si="140"/>
        <v>.</v>
      </c>
      <c r="Q111" s="752"/>
      <c r="R111" s="752"/>
      <c r="S111" s="753"/>
      <c r="T111" s="753"/>
      <c r="U111" s="854" t="str">
        <f t="shared" si="141"/>
        <v>.</v>
      </c>
      <c r="V111" s="886"/>
      <c r="W111" s="754"/>
      <c r="X111" s="752"/>
      <c r="Y111" s="755" t="str">
        <f t="shared" si="142"/>
        <v>.</v>
      </c>
      <c r="Z111" s="752"/>
      <c r="AA111" s="752"/>
      <c r="AB111" s="753"/>
      <c r="AC111" s="753"/>
      <c r="AD111" s="854" t="str">
        <f t="shared" si="143"/>
        <v>.</v>
      </c>
      <c r="AE111" s="886"/>
      <c r="AF111" s="754"/>
      <c r="AG111" s="752"/>
      <c r="AH111" s="755" t="str">
        <f t="shared" si="144"/>
        <v>.</v>
      </c>
      <c r="AI111" s="752"/>
      <c r="AJ111" s="752"/>
      <c r="AK111" s="753"/>
      <c r="AL111" s="753"/>
      <c r="AM111" s="854" t="str">
        <f t="shared" si="145"/>
        <v>.</v>
      </c>
      <c r="AN111" s="886"/>
      <c r="AO111" s="754"/>
      <c r="AP111" s="752"/>
      <c r="AQ111" s="755" t="str">
        <f t="shared" si="146"/>
        <v>.</v>
      </c>
      <c r="AR111" s="752"/>
      <c r="AS111" s="752"/>
      <c r="AT111" s="753"/>
      <c r="AU111" s="753"/>
      <c r="AV111" s="854" t="str">
        <f t="shared" si="147"/>
        <v>.</v>
      </c>
      <c r="AW111" s="886"/>
      <c r="AX111" s="754"/>
      <c r="AY111" s="752"/>
      <c r="AZ111" s="755" t="str">
        <f t="shared" si="148"/>
        <v>.</v>
      </c>
      <c r="BA111" s="752"/>
      <c r="BB111" s="752"/>
      <c r="BC111" s="753"/>
      <c r="BD111" s="753"/>
      <c r="BE111" s="854" t="str">
        <f t="shared" si="149"/>
        <v>.</v>
      </c>
      <c r="BF111" s="3"/>
    </row>
    <row r="112" spans="1:58" ht="12" x14ac:dyDescent="0.2">
      <c r="A112" s="841"/>
      <c r="B112" s="769" t="s">
        <v>581</v>
      </c>
      <c r="C112" s="820" t="str">
        <f>IF('WS3 - Notional General Income'!C110="","",'WS3 - Notional General Income'!C110)</f>
        <v/>
      </c>
      <c r="D112" s="886"/>
      <c r="E112" s="754"/>
      <c r="F112" s="752"/>
      <c r="G112" s="755" t="str">
        <f t="shared" si="138"/>
        <v>.</v>
      </c>
      <c r="H112" s="752"/>
      <c r="I112" s="752"/>
      <c r="J112" s="753"/>
      <c r="K112" s="753"/>
      <c r="L112" s="854" t="str">
        <f t="shared" si="139"/>
        <v>.</v>
      </c>
      <c r="M112" s="886"/>
      <c r="N112" s="754"/>
      <c r="O112" s="752"/>
      <c r="P112" s="755" t="str">
        <f t="shared" si="140"/>
        <v>.</v>
      </c>
      <c r="Q112" s="752"/>
      <c r="R112" s="752"/>
      <c r="S112" s="753"/>
      <c r="T112" s="753"/>
      <c r="U112" s="854" t="str">
        <f t="shared" si="141"/>
        <v>.</v>
      </c>
      <c r="V112" s="886"/>
      <c r="W112" s="754"/>
      <c r="X112" s="752"/>
      <c r="Y112" s="755" t="str">
        <f t="shared" si="142"/>
        <v>.</v>
      </c>
      <c r="Z112" s="752"/>
      <c r="AA112" s="752"/>
      <c r="AB112" s="753"/>
      <c r="AC112" s="753"/>
      <c r="AD112" s="854" t="str">
        <f t="shared" si="143"/>
        <v>.</v>
      </c>
      <c r="AE112" s="886"/>
      <c r="AF112" s="754"/>
      <c r="AG112" s="752"/>
      <c r="AH112" s="755" t="str">
        <f t="shared" si="144"/>
        <v>.</v>
      </c>
      <c r="AI112" s="752"/>
      <c r="AJ112" s="752"/>
      <c r="AK112" s="753"/>
      <c r="AL112" s="753"/>
      <c r="AM112" s="854" t="str">
        <f t="shared" si="145"/>
        <v>.</v>
      </c>
      <c r="AN112" s="886"/>
      <c r="AO112" s="754"/>
      <c r="AP112" s="752"/>
      <c r="AQ112" s="755" t="str">
        <f t="shared" si="146"/>
        <v>.</v>
      </c>
      <c r="AR112" s="752"/>
      <c r="AS112" s="752"/>
      <c r="AT112" s="753"/>
      <c r="AU112" s="753"/>
      <c r="AV112" s="854" t="str">
        <f t="shared" si="147"/>
        <v>.</v>
      </c>
      <c r="AW112" s="886"/>
      <c r="AX112" s="754"/>
      <c r="AY112" s="752"/>
      <c r="AZ112" s="755" t="str">
        <f t="shared" si="148"/>
        <v>.</v>
      </c>
      <c r="BA112" s="752"/>
      <c r="BB112" s="752"/>
      <c r="BC112" s="753"/>
      <c r="BD112" s="753"/>
      <c r="BE112" s="854" t="str">
        <f t="shared" si="149"/>
        <v>.</v>
      </c>
      <c r="BF112" s="3"/>
    </row>
    <row r="113" spans="1:58" ht="12" x14ac:dyDescent="0.2">
      <c r="A113" s="841"/>
      <c r="B113" s="769" t="s">
        <v>581</v>
      </c>
      <c r="C113" s="820" t="str">
        <f>IF('WS3 - Notional General Income'!C111="","",'WS3 - Notional General Income'!C111)</f>
        <v/>
      </c>
      <c r="D113" s="886"/>
      <c r="E113" s="754"/>
      <c r="F113" s="752"/>
      <c r="G113" s="755" t="str">
        <f t="shared" si="138"/>
        <v>.</v>
      </c>
      <c r="H113" s="752"/>
      <c r="I113" s="752"/>
      <c r="J113" s="753"/>
      <c r="K113" s="753"/>
      <c r="L113" s="854" t="str">
        <f t="shared" si="139"/>
        <v>.</v>
      </c>
      <c r="M113" s="886"/>
      <c r="N113" s="754"/>
      <c r="O113" s="752"/>
      <c r="P113" s="755" t="str">
        <f t="shared" si="140"/>
        <v>.</v>
      </c>
      <c r="Q113" s="752"/>
      <c r="R113" s="752"/>
      <c r="S113" s="753"/>
      <c r="T113" s="753"/>
      <c r="U113" s="854" t="str">
        <f t="shared" si="141"/>
        <v>.</v>
      </c>
      <c r="V113" s="886"/>
      <c r="W113" s="754"/>
      <c r="X113" s="752"/>
      <c r="Y113" s="755" t="str">
        <f t="shared" si="142"/>
        <v>.</v>
      </c>
      <c r="Z113" s="752"/>
      <c r="AA113" s="752"/>
      <c r="AB113" s="753"/>
      <c r="AC113" s="753"/>
      <c r="AD113" s="854" t="str">
        <f t="shared" si="143"/>
        <v>.</v>
      </c>
      <c r="AE113" s="886"/>
      <c r="AF113" s="754"/>
      <c r="AG113" s="752"/>
      <c r="AH113" s="755" t="str">
        <f t="shared" si="144"/>
        <v>.</v>
      </c>
      <c r="AI113" s="752"/>
      <c r="AJ113" s="752"/>
      <c r="AK113" s="753"/>
      <c r="AL113" s="753"/>
      <c r="AM113" s="854" t="str">
        <f t="shared" si="145"/>
        <v>.</v>
      </c>
      <c r="AN113" s="886"/>
      <c r="AO113" s="754"/>
      <c r="AP113" s="752"/>
      <c r="AQ113" s="755" t="str">
        <f t="shared" si="146"/>
        <v>.</v>
      </c>
      <c r="AR113" s="752"/>
      <c r="AS113" s="752"/>
      <c r="AT113" s="753"/>
      <c r="AU113" s="753"/>
      <c r="AV113" s="854" t="str">
        <f t="shared" si="147"/>
        <v>.</v>
      </c>
      <c r="AW113" s="886"/>
      <c r="AX113" s="754"/>
      <c r="AY113" s="752"/>
      <c r="AZ113" s="755" t="str">
        <f t="shared" si="148"/>
        <v>.</v>
      </c>
      <c r="BA113" s="752"/>
      <c r="BB113" s="752"/>
      <c r="BC113" s="753"/>
      <c r="BD113" s="753"/>
      <c r="BE113" s="854" t="str">
        <f t="shared" si="149"/>
        <v>.</v>
      </c>
      <c r="BF113" s="3"/>
    </row>
    <row r="114" spans="1:58" ht="12" x14ac:dyDescent="0.2">
      <c r="A114" s="841"/>
      <c r="B114" s="769" t="s">
        <v>581</v>
      </c>
      <c r="C114" s="820" t="str">
        <f>IF('WS3 - Notional General Income'!C112="","",'WS3 - Notional General Income'!C112)</f>
        <v/>
      </c>
      <c r="D114" s="886"/>
      <c r="E114" s="754"/>
      <c r="F114" s="752"/>
      <c r="G114" s="755" t="str">
        <f t="shared" si="138"/>
        <v>.</v>
      </c>
      <c r="H114" s="752"/>
      <c r="I114" s="752"/>
      <c r="J114" s="753"/>
      <c r="K114" s="753"/>
      <c r="L114" s="854" t="str">
        <f t="shared" si="139"/>
        <v>.</v>
      </c>
      <c r="M114" s="886"/>
      <c r="N114" s="754"/>
      <c r="O114" s="752"/>
      <c r="P114" s="755" t="str">
        <f t="shared" si="140"/>
        <v>.</v>
      </c>
      <c r="Q114" s="752"/>
      <c r="R114" s="752"/>
      <c r="S114" s="753"/>
      <c r="T114" s="753"/>
      <c r="U114" s="854" t="str">
        <f t="shared" si="141"/>
        <v>.</v>
      </c>
      <c r="V114" s="886"/>
      <c r="W114" s="754"/>
      <c r="X114" s="752"/>
      <c r="Y114" s="755" t="str">
        <f t="shared" si="142"/>
        <v>.</v>
      </c>
      <c r="Z114" s="752"/>
      <c r="AA114" s="752"/>
      <c r="AB114" s="753"/>
      <c r="AC114" s="753"/>
      <c r="AD114" s="854" t="str">
        <f t="shared" si="143"/>
        <v>.</v>
      </c>
      <c r="AE114" s="886"/>
      <c r="AF114" s="754"/>
      <c r="AG114" s="752"/>
      <c r="AH114" s="755" t="str">
        <f t="shared" si="144"/>
        <v>.</v>
      </c>
      <c r="AI114" s="752"/>
      <c r="AJ114" s="752"/>
      <c r="AK114" s="753"/>
      <c r="AL114" s="753"/>
      <c r="AM114" s="854" t="str">
        <f t="shared" si="145"/>
        <v>.</v>
      </c>
      <c r="AN114" s="886"/>
      <c r="AO114" s="754"/>
      <c r="AP114" s="752"/>
      <c r="AQ114" s="755" t="str">
        <f t="shared" si="146"/>
        <v>.</v>
      </c>
      <c r="AR114" s="752"/>
      <c r="AS114" s="752"/>
      <c r="AT114" s="753"/>
      <c r="AU114" s="753"/>
      <c r="AV114" s="854" t="str">
        <f t="shared" si="147"/>
        <v>.</v>
      </c>
      <c r="AW114" s="886"/>
      <c r="AX114" s="754"/>
      <c r="AY114" s="752"/>
      <c r="AZ114" s="755" t="str">
        <f t="shared" si="148"/>
        <v>.</v>
      </c>
      <c r="BA114" s="752"/>
      <c r="BB114" s="752"/>
      <c r="BC114" s="753"/>
      <c r="BD114" s="753"/>
      <c r="BE114" s="854" t="str">
        <f t="shared" si="149"/>
        <v>.</v>
      </c>
      <c r="BF114" s="3"/>
    </row>
    <row r="115" spans="1:58" ht="12" x14ac:dyDescent="0.2">
      <c r="A115" s="841"/>
      <c r="B115" s="769" t="s">
        <v>581</v>
      </c>
      <c r="C115" s="820" t="str">
        <f>IF('WS3 - Notional General Income'!C113="","",'WS3 - Notional General Income'!C113)</f>
        <v/>
      </c>
      <c r="D115" s="886"/>
      <c r="E115" s="754"/>
      <c r="F115" s="752"/>
      <c r="G115" s="755" t="str">
        <f t="shared" si="138"/>
        <v>.</v>
      </c>
      <c r="H115" s="752"/>
      <c r="I115" s="752"/>
      <c r="J115" s="753"/>
      <c r="K115" s="753"/>
      <c r="L115" s="854" t="str">
        <f t="shared" si="139"/>
        <v>.</v>
      </c>
      <c r="M115" s="886"/>
      <c r="N115" s="754"/>
      <c r="O115" s="752"/>
      <c r="P115" s="755" t="str">
        <f t="shared" si="140"/>
        <v>.</v>
      </c>
      <c r="Q115" s="752"/>
      <c r="R115" s="752"/>
      <c r="S115" s="753"/>
      <c r="T115" s="753"/>
      <c r="U115" s="854" t="str">
        <f t="shared" si="141"/>
        <v>.</v>
      </c>
      <c r="V115" s="886"/>
      <c r="W115" s="754"/>
      <c r="X115" s="752"/>
      <c r="Y115" s="755" t="str">
        <f t="shared" si="142"/>
        <v>.</v>
      </c>
      <c r="Z115" s="752"/>
      <c r="AA115" s="752"/>
      <c r="AB115" s="753"/>
      <c r="AC115" s="753"/>
      <c r="AD115" s="854" t="str">
        <f t="shared" si="143"/>
        <v>.</v>
      </c>
      <c r="AE115" s="886"/>
      <c r="AF115" s="754"/>
      <c r="AG115" s="752"/>
      <c r="AH115" s="755" t="str">
        <f t="shared" si="144"/>
        <v>.</v>
      </c>
      <c r="AI115" s="752"/>
      <c r="AJ115" s="752"/>
      <c r="AK115" s="753"/>
      <c r="AL115" s="753"/>
      <c r="AM115" s="854" t="str">
        <f t="shared" si="145"/>
        <v>.</v>
      </c>
      <c r="AN115" s="886"/>
      <c r="AO115" s="754"/>
      <c r="AP115" s="752"/>
      <c r="AQ115" s="755" t="str">
        <f t="shared" si="146"/>
        <v>.</v>
      </c>
      <c r="AR115" s="752"/>
      <c r="AS115" s="752"/>
      <c r="AT115" s="753"/>
      <c r="AU115" s="753"/>
      <c r="AV115" s="854" t="str">
        <f t="shared" si="147"/>
        <v>.</v>
      </c>
      <c r="AW115" s="886"/>
      <c r="AX115" s="754"/>
      <c r="AY115" s="752"/>
      <c r="AZ115" s="755" t="str">
        <f t="shared" si="148"/>
        <v>.</v>
      </c>
      <c r="BA115" s="752"/>
      <c r="BB115" s="752"/>
      <c r="BC115" s="753"/>
      <c r="BD115" s="753"/>
      <c r="BE115" s="854" t="str">
        <f t="shared" si="149"/>
        <v>.</v>
      </c>
      <c r="BF115" s="3"/>
    </row>
    <row r="116" spans="1:58" ht="12" x14ac:dyDescent="0.2">
      <c r="A116" s="841"/>
      <c r="B116" s="769" t="s">
        <v>581</v>
      </c>
      <c r="C116" s="820" t="str">
        <f>IF('WS3 - Notional General Income'!C114="","",'WS3 - Notional General Income'!C114)</f>
        <v/>
      </c>
      <c r="D116" s="886"/>
      <c r="E116" s="754"/>
      <c r="F116" s="752"/>
      <c r="G116" s="755" t="str">
        <f t="shared" si="138"/>
        <v>.</v>
      </c>
      <c r="H116" s="752"/>
      <c r="I116" s="752"/>
      <c r="J116" s="753"/>
      <c r="K116" s="753"/>
      <c r="L116" s="854" t="str">
        <f t="shared" si="139"/>
        <v>.</v>
      </c>
      <c r="M116" s="886"/>
      <c r="N116" s="754"/>
      <c r="O116" s="752"/>
      <c r="P116" s="755" t="str">
        <f t="shared" si="140"/>
        <v>.</v>
      </c>
      <c r="Q116" s="752"/>
      <c r="R116" s="752"/>
      <c r="S116" s="753"/>
      <c r="T116" s="753"/>
      <c r="U116" s="854" t="str">
        <f t="shared" si="141"/>
        <v>.</v>
      </c>
      <c r="V116" s="886"/>
      <c r="W116" s="754"/>
      <c r="X116" s="752"/>
      <c r="Y116" s="755" t="str">
        <f t="shared" si="142"/>
        <v>.</v>
      </c>
      <c r="Z116" s="752"/>
      <c r="AA116" s="752"/>
      <c r="AB116" s="753"/>
      <c r="AC116" s="753"/>
      <c r="AD116" s="854" t="str">
        <f t="shared" si="143"/>
        <v>.</v>
      </c>
      <c r="AE116" s="886"/>
      <c r="AF116" s="754"/>
      <c r="AG116" s="752"/>
      <c r="AH116" s="755" t="str">
        <f t="shared" si="144"/>
        <v>.</v>
      </c>
      <c r="AI116" s="752"/>
      <c r="AJ116" s="752"/>
      <c r="AK116" s="753"/>
      <c r="AL116" s="753"/>
      <c r="AM116" s="854" t="str">
        <f t="shared" si="145"/>
        <v>.</v>
      </c>
      <c r="AN116" s="886"/>
      <c r="AO116" s="754"/>
      <c r="AP116" s="752"/>
      <c r="AQ116" s="755" t="str">
        <f t="shared" si="146"/>
        <v>.</v>
      </c>
      <c r="AR116" s="752"/>
      <c r="AS116" s="752"/>
      <c r="AT116" s="753"/>
      <c r="AU116" s="753"/>
      <c r="AV116" s="854" t="str">
        <f t="shared" si="147"/>
        <v>.</v>
      </c>
      <c r="AW116" s="886"/>
      <c r="AX116" s="754"/>
      <c r="AY116" s="752"/>
      <c r="AZ116" s="755" t="str">
        <f t="shared" si="148"/>
        <v>.</v>
      </c>
      <c r="BA116" s="752"/>
      <c r="BB116" s="752"/>
      <c r="BC116" s="753"/>
      <c r="BD116" s="753"/>
      <c r="BE116" s="854" t="str">
        <f t="shared" si="149"/>
        <v>.</v>
      </c>
      <c r="BF116" s="3"/>
    </row>
    <row r="117" spans="1:58" ht="12" x14ac:dyDescent="0.2">
      <c r="A117" s="841"/>
      <c r="B117" s="769" t="s">
        <v>581</v>
      </c>
      <c r="C117" s="820" t="str">
        <f>IF('WS3 - Notional General Income'!C115="","",'WS3 - Notional General Income'!C115)</f>
        <v/>
      </c>
      <c r="D117" s="886"/>
      <c r="E117" s="754"/>
      <c r="F117" s="752"/>
      <c r="G117" s="755" t="str">
        <f t="shared" si="138"/>
        <v>.</v>
      </c>
      <c r="H117" s="752"/>
      <c r="I117" s="752"/>
      <c r="J117" s="753"/>
      <c r="K117" s="753"/>
      <c r="L117" s="854" t="str">
        <f t="shared" si="139"/>
        <v>.</v>
      </c>
      <c r="M117" s="886"/>
      <c r="N117" s="754"/>
      <c r="O117" s="752"/>
      <c r="P117" s="755" t="str">
        <f t="shared" si="140"/>
        <v>.</v>
      </c>
      <c r="Q117" s="752"/>
      <c r="R117" s="752"/>
      <c r="S117" s="753"/>
      <c r="T117" s="753"/>
      <c r="U117" s="854" t="str">
        <f t="shared" si="141"/>
        <v>.</v>
      </c>
      <c r="V117" s="886"/>
      <c r="W117" s="754"/>
      <c r="X117" s="752"/>
      <c r="Y117" s="755" t="str">
        <f t="shared" si="142"/>
        <v>.</v>
      </c>
      <c r="Z117" s="752"/>
      <c r="AA117" s="752"/>
      <c r="AB117" s="753"/>
      <c r="AC117" s="753"/>
      <c r="AD117" s="854" t="str">
        <f t="shared" si="143"/>
        <v>.</v>
      </c>
      <c r="AE117" s="886"/>
      <c r="AF117" s="754"/>
      <c r="AG117" s="752"/>
      <c r="AH117" s="755" t="str">
        <f t="shared" si="144"/>
        <v>.</v>
      </c>
      <c r="AI117" s="752"/>
      <c r="AJ117" s="752"/>
      <c r="AK117" s="753"/>
      <c r="AL117" s="753"/>
      <c r="AM117" s="854" t="str">
        <f t="shared" si="145"/>
        <v>.</v>
      </c>
      <c r="AN117" s="886"/>
      <c r="AO117" s="754"/>
      <c r="AP117" s="752"/>
      <c r="AQ117" s="755" t="str">
        <f t="shared" si="146"/>
        <v>.</v>
      </c>
      <c r="AR117" s="752"/>
      <c r="AS117" s="752"/>
      <c r="AT117" s="753"/>
      <c r="AU117" s="753"/>
      <c r="AV117" s="854" t="str">
        <f t="shared" si="147"/>
        <v>.</v>
      </c>
      <c r="AW117" s="886"/>
      <c r="AX117" s="754"/>
      <c r="AY117" s="752"/>
      <c r="AZ117" s="755" t="str">
        <f t="shared" si="148"/>
        <v>.</v>
      </c>
      <c r="BA117" s="752"/>
      <c r="BB117" s="752"/>
      <c r="BC117" s="753"/>
      <c r="BD117" s="753"/>
      <c r="BE117" s="854" t="str">
        <f t="shared" si="149"/>
        <v>.</v>
      </c>
      <c r="BF117" s="3"/>
    </row>
    <row r="118" spans="1:58" ht="12" x14ac:dyDescent="0.2">
      <c r="A118" s="841"/>
      <c r="B118" s="769" t="s">
        <v>581</v>
      </c>
      <c r="C118" s="820" t="str">
        <f>IF('WS3 - Notional General Income'!C116="","",'WS3 - Notional General Income'!C116)</f>
        <v/>
      </c>
      <c r="D118" s="886"/>
      <c r="E118" s="754"/>
      <c r="F118" s="752"/>
      <c r="G118" s="755" t="str">
        <f t="shared" si="138"/>
        <v>.</v>
      </c>
      <c r="H118" s="752"/>
      <c r="I118" s="752"/>
      <c r="J118" s="753"/>
      <c r="K118" s="753"/>
      <c r="L118" s="854" t="str">
        <f t="shared" si="139"/>
        <v>.</v>
      </c>
      <c r="M118" s="886"/>
      <c r="N118" s="754"/>
      <c r="O118" s="752"/>
      <c r="P118" s="755" t="str">
        <f t="shared" si="140"/>
        <v>.</v>
      </c>
      <c r="Q118" s="752"/>
      <c r="R118" s="752"/>
      <c r="S118" s="753"/>
      <c r="T118" s="753"/>
      <c r="U118" s="854" t="str">
        <f t="shared" si="141"/>
        <v>.</v>
      </c>
      <c r="V118" s="886"/>
      <c r="W118" s="754"/>
      <c r="X118" s="752"/>
      <c r="Y118" s="755" t="str">
        <f t="shared" si="142"/>
        <v>.</v>
      </c>
      <c r="Z118" s="752"/>
      <c r="AA118" s="752"/>
      <c r="AB118" s="753"/>
      <c r="AC118" s="753"/>
      <c r="AD118" s="854" t="str">
        <f t="shared" si="143"/>
        <v>.</v>
      </c>
      <c r="AE118" s="886"/>
      <c r="AF118" s="754"/>
      <c r="AG118" s="752"/>
      <c r="AH118" s="755" t="str">
        <f t="shared" si="144"/>
        <v>.</v>
      </c>
      <c r="AI118" s="752"/>
      <c r="AJ118" s="752"/>
      <c r="AK118" s="753"/>
      <c r="AL118" s="753"/>
      <c r="AM118" s="854" t="str">
        <f t="shared" si="145"/>
        <v>.</v>
      </c>
      <c r="AN118" s="886"/>
      <c r="AO118" s="754"/>
      <c r="AP118" s="752"/>
      <c r="AQ118" s="755" t="str">
        <f t="shared" si="146"/>
        <v>.</v>
      </c>
      <c r="AR118" s="752"/>
      <c r="AS118" s="752"/>
      <c r="AT118" s="753"/>
      <c r="AU118" s="753"/>
      <c r="AV118" s="854" t="str">
        <f t="shared" si="147"/>
        <v>.</v>
      </c>
      <c r="AW118" s="886"/>
      <c r="AX118" s="754"/>
      <c r="AY118" s="752"/>
      <c r="AZ118" s="755" t="str">
        <f t="shared" si="148"/>
        <v>.</v>
      </c>
      <c r="BA118" s="752"/>
      <c r="BB118" s="752"/>
      <c r="BC118" s="753"/>
      <c r="BD118" s="753"/>
      <c r="BE118" s="854" t="str">
        <f t="shared" si="149"/>
        <v>.</v>
      </c>
      <c r="BF118" s="3"/>
    </row>
    <row r="119" spans="1:58" ht="12" x14ac:dyDescent="0.2">
      <c r="A119" s="841"/>
      <c r="B119" s="769" t="s">
        <v>581</v>
      </c>
      <c r="C119" s="820" t="str">
        <f>IF('WS3 - Notional General Income'!C117="","",'WS3 - Notional General Income'!C117)</f>
        <v/>
      </c>
      <c r="D119" s="886"/>
      <c r="E119" s="754"/>
      <c r="F119" s="752"/>
      <c r="G119" s="755" t="str">
        <f t="shared" si="138"/>
        <v>.</v>
      </c>
      <c r="H119" s="752"/>
      <c r="I119" s="752"/>
      <c r="J119" s="753"/>
      <c r="K119" s="753"/>
      <c r="L119" s="854" t="str">
        <f t="shared" si="139"/>
        <v>.</v>
      </c>
      <c r="M119" s="886"/>
      <c r="N119" s="754"/>
      <c r="O119" s="752"/>
      <c r="P119" s="755" t="str">
        <f t="shared" si="140"/>
        <v>.</v>
      </c>
      <c r="Q119" s="752"/>
      <c r="R119" s="752"/>
      <c r="S119" s="753"/>
      <c r="T119" s="753"/>
      <c r="U119" s="854" t="str">
        <f t="shared" si="141"/>
        <v>.</v>
      </c>
      <c r="V119" s="886"/>
      <c r="W119" s="754"/>
      <c r="X119" s="752"/>
      <c r="Y119" s="755" t="str">
        <f t="shared" si="142"/>
        <v>.</v>
      </c>
      <c r="Z119" s="752"/>
      <c r="AA119" s="752"/>
      <c r="AB119" s="753"/>
      <c r="AC119" s="753"/>
      <c r="AD119" s="854" t="str">
        <f t="shared" si="143"/>
        <v>.</v>
      </c>
      <c r="AE119" s="886"/>
      <c r="AF119" s="754"/>
      <c r="AG119" s="752"/>
      <c r="AH119" s="755" t="str">
        <f t="shared" si="144"/>
        <v>.</v>
      </c>
      <c r="AI119" s="752"/>
      <c r="AJ119" s="752"/>
      <c r="AK119" s="753"/>
      <c r="AL119" s="753"/>
      <c r="AM119" s="854" t="str">
        <f t="shared" si="145"/>
        <v>.</v>
      </c>
      <c r="AN119" s="886"/>
      <c r="AO119" s="754"/>
      <c r="AP119" s="752"/>
      <c r="AQ119" s="755" t="str">
        <f t="shared" si="146"/>
        <v>.</v>
      </c>
      <c r="AR119" s="752"/>
      <c r="AS119" s="752"/>
      <c r="AT119" s="753"/>
      <c r="AU119" s="753"/>
      <c r="AV119" s="854" t="str">
        <f t="shared" si="147"/>
        <v>.</v>
      </c>
      <c r="AW119" s="886"/>
      <c r="AX119" s="754"/>
      <c r="AY119" s="752"/>
      <c r="AZ119" s="755" t="str">
        <f t="shared" si="148"/>
        <v>.</v>
      </c>
      <c r="BA119" s="752"/>
      <c r="BB119" s="752"/>
      <c r="BC119" s="753"/>
      <c r="BD119" s="753"/>
      <c r="BE119" s="854" t="str">
        <f t="shared" si="149"/>
        <v>.</v>
      </c>
      <c r="BF119" s="3"/>
    </row>
    <row r="120" spans="1:58" ht="12" x14ac:dyDescent="0.2">
      <c r="A120" s="841"/>
      <c r="B120" s="769" t="s">
        <v>581</v>
      </c>
      <c r="C120" s="820" t="str">
        <f>IF('WS3 - Notional General Income'!C118="","",'WS3 - Notional General Income'!C118)</f>
        <v/>
      </c>
      <c r="D120" s="886"/>
      <c r="E120" s="754"/>
      <c r="F120" s="752"/>
      <c r="G120" s="755" t="str">
        <f t="shared" si="138"/>
        <v>.</v>
      </c>
      <c r="H120" s="752"/>
      <c r="I120" s="752"/>
      <c r="J120" s="753"/>
      <c r="K120" s="753"/>
      <c r="L120" s="854" t="str">
        <f t="shared" si="139"/>
        <v>.</v>
      </c>
      <c r="M120" s="886"/>
      <c r="N120" s="754"/>
      <c r="O120" s="752"/>
      <c r="P120" s="755" t="str">
        <f t="shared" si="140"/>
        <v>.</v>
      </c>
      <c r="Q120" s="752"/>
      <c r="R120" s="752"/>
      <c r="S120" s="753"/>
      <c r="T120" s="753"/>
      <c r="U120" s="854" t="str">
        <f t="shared" si="141"/>
        <v>.</v>
      </c>
      <c r="V120" s="886"/>
      <c r="W120" s="754"/>
      <c r="X120" s="752"/>
      <c r="Y120" s="755" t="str">
        <f t="shared" si="142"/>
        <v>.</v>
      </c>
      <c r="Z120" s="752"/>
      <c r="AA120" s="752"/>
      <c r="AB120" s="753"/>
      <c r="AC120" s="753"/>
      <c r="AD120" s="854" t="str">
        <f t="shared" si="143"/>
        <v>.</v>
      </c>
      <c r="AE120" s="886"/>
      <c r="AF120" s="754"/>
      <c r="AG120" s="752"/>
      <c r="AH120" s="755" t="str">
        <f t="shared" si="144"/>
        <v>.</v>
      </c>
      <c r="AI120" s="752"/>
      <c r="AJ120" s="752"/>
      <c r="AK120" s="753"/>
      <c r="AL120" s="753"/>
      <c r="AM120" s="854" t="str">
        <f t="shared" si="145"/>
        <v>.</v>
      </c>
      <c r="AN120" s="886"/>
      <c r="AO120" s="754"/>
      <c r="AP120" s="752"/>
      <c r="AQ120" s="755" t="str">
        <f t="shared" si="146"/>
        <v>.</v>
      </c>
      <c r="AR120" s="752"/>
      <c r="AS120" s="752"/>
      <c r="AT120" s="753"/>
      <c r="AU120" s="753"/>
      <c r="AV120" s="854" t="str">
        <f t="shared" si="147"/>
        <v>.</v>
      </c>
      <c r="AW120" s="886"/>
      <c r="AX120" s="754"/>
      <c r="AY120" s="752"/>
      <c r="AZ120" s="755" t="str">
        <f t="shared" si="148"/>
        <v>.</v>
      </c>
      <c r="BA120" s="752"/>
      <c r="BB120" s="752"/>
      <c r="BC120" s="753"/>
      <c r="BD120" s="753"/>
      <c r="BE120" s="854" t="str">
        <f t="shared" si="149"/>
        <v>.</v>
      </c>
      <c r="BF120" s="3"/>
    </row>
    <row r="121" spans="1:58" ht="12" x14ac:dyDescent="0.2">
      <c r="A121" s="841"/>
      <c r="B121" s="769" t="s">
        <v>581</v>
      </c>
      <c r="C121" s="820" t="str">
        <f>IF('WS3 - Notional General Income'!C119="","",'WS3 - Notional General Income'!C119)</f>
        <v/>
      </c>
      <c r="D121" s="886"/>
      <c r="E121" s="754"/>
      <c r="F121" s="752"/>
      <c r="G121" s="755" t="str">
        <f t="shared" si="138"/>
        <v>.</v>
      </c>
      <c r="H121" s="752"/>
      <c r="I121" s="752"/>
      <c r="J121" s="753"/>
      <c r="K121" s="753"/>
      <c r="L121" s="854" t="str">
        <f t="shared" si="139"/>
        <v>.</v>
      </c>
      <c r="M121" s="886"/>
      <c r="N121" s="754"/>
      <c r="O121" s="752"/>
      <c r="P121" s="755" t="str">
        <f t="shared" si="140"/>
        <v>.</v>
      </c>
      <c r="Q121" s="752"/>
      <c r="R121" s="752"/>
      <c r="S121" s="753"/>
      <c r="T121" s="753"/>
      <c r="U121" s="854" t="str">
        <f t="shared" si="141"/>
        <v>.</v>
      </c>
      <c r="V121" s="886"/>
      <c r="W121" s="754"/>
      <c r="X121" s="752"/>
      <c r="Y121" s="755" t="str">
        <f t="shared" si="142"/>
        <v>.</v>
      </c>
      <c r="Z121" s="752"/>
      <c r="AA121" s="752"/>
      <c r="AB121" s="753"/>
      <c r="AC121" s="753"/>
      <c r="AD121" s="854" t="str">
        <f t="shared" si="143"/>
        <v>.</v>
      </c>
      <c r="AE121" s="886"/>
      <c r="AF121" s="754"/>
      <c r="AG121" s="752"/>
      <c r="AH121" s="755" t="str">
        <f t="shared" si="144"/>
        <v>.</v>
      </c>
      <c r="AI121" s="752"/>
      <c r="AJ121" s="752"/>
      <c r="AK121" s="753"/>
      <c r="AL121" s="753"/>
      <c r="AM121" s="854" t="str">
        <f t="shared" si="145"/>
        <v>.</v>
      </c>
      <c r="AN121" s="886"/>
      <c r="AO121" s="754"/>
      <c r="AP121" s="752"/>
      <c r="AQ121" s="755" t="str">
        <f t="shared" si="146"/>
        <v>.</v>
      </c>
      <c r="AR121" s="752"/>
      <c r="AS121" s="752"/>
      <c r="AT121" s="753"/>
      <c r="AU121" s="753"/>
      <c r="AV121" s="854" t="str">
        <f t="shared" si="147"/>
        <v>.</v>
      </c>
      <c r="AW121" s="886"/>
      <c r="AX121" s="754"/>
      <c r="AY121" s="752"/>
      <c r="AZ121" s="755" t="str">
        <f t="shared" si="148"/>
        <v>.</v>
      </c>
      <c r="BA121" s="752"/>
      <c r="BB121" s="752"/>
      <c r="BC121" s="753"/>
      <c r="BD121" s="753"/>
      <c r="BE121" s="854" t="str">
        <f t="shared" si="149"/>
        <v>.</v>
      </c>
      <c r="BF121" s="3"/>
    </row>
    <row r="122" spans="1:58" ht="12" x14ac:dyDescent="0.2">
      <c r="A122" s="841"/>
      <c r="B122" s="769" t="s">
        <v>581</v>
      </c>
      <c r="C122" s="820" t="str">
        <f>IF('WS3 - Notional General Income'!C120="","",'WS3 - Notional General Income'!C120)</f>
        <v/>
      </c>
      <c r="D122" s="886"/>
      <c r="E122" s="754"/>
      <c r="F122" s="752"/>
      <c r="G122" s="755" t="str">
        <f t="shared" si="138"/>
        <v>.</v>
      </c>
      <c r="H122" s="752"/>
      <c r="I122" s="752"/>
      <c r="J122" s="753"/>
      <c r="K122" s="753"/>
      <c r="L122" s="854" t="str">
        <f t="shared" si="139"/>
        <v>.</v>
      </c>
      <c r="M122" s="886"/>
      <c r="N122" s="754"/>
      <c r="O122" s="752"/>
      <c r="P122" s="755" t="str">
        <f t="shared" si="140"/>
        <v>.</v>
      </c>
      <c r="Q122" s="752"/>
      <c r="R122" s="752"/>
      <c r="S122" s="753"/>
      <c r="T122" s="753"/>
      <c r="U122" s="854" t="str">
        <f t="shared" si="141"/>
        <v>.</v>
      </c>
      <c r="V122" s="886"/>
      <c r="W122" s="754"/>
      <c r="X122" s="752"/>
      <c r="Y122" s="755" t="str">
        <f t="shared" si="142"/>
        <v>.</v>
      </c>
      <c r="Z122" s="752"/>
      <c r="AA122" s="752"/>
      <c r="AB122" s="753"/>
      <c r="AC122" s="753"/>
      <c r="AD122" s="854" t="str">
        <f t="shared" si="143"/>
        <v>.</v>
      </c>
      <c r="AE122" s="886"/>
      <c r="AF122" s="754"/>
      <c r="AG122" s="752"/>
      <c r="AH122" s="755" t="str">
        <f t="shared" si="144"/>
        <v>.</v>
      </c>
      <c r="AI122" s="752"/>
      <c r="AJ122" s="752"/>
      <c r="AK122" s="753"/>
      <c r="AL122" s="753"/>
      <c r="AM122" s="854" t="str">
        <f t="shared" si="145"/>
        <v>.</v>
      </c>
      <c r="AN122" s="886"/>
      <c r="AO122" s="754"/>
      <c r="AP122" s="752"/>
      <c r="AQ122" s="755" t="str">
        <f t="shared" si="146"/>
        <v>.</v>
      </c>
      <c r="AR122" s="752"/>
      <c r="AS122" s="752"/>
      <c r="AT122" s="753"/>
      <c r="AU122" s="753"/>
      <c r="AV122" s="854" t="str">
        <f t="shared" si="147"/>
        <v>.</v>
      </c>
      <c r="AW122" s="886"/>
      <c r="AX122" s="754"/>
      <c r="AY122" s="752"/>
      <c r="AZ122" s="755" t="str">
        <f t="shared" si="148"/>
        <v>.</v>
      </c>
      <c r="BA122" s="752"/>
      <c r="BB122" s="752"/>
      <c r="BC122" s="753"/>
      <c r="BD122" s="753"/>
      <c r="BE122" s="854" t="str">
        <f t="shared" si="149"/>
        <v>.</v>
      </c>
      <c r="BF122" s="3"/>
    </row>
    <row r="123" spans="1:58" ht="12" x14ac:dyDescent="0.2">
      <c r="A123" s="841"/>
      <c r="B123" s="769" t="s">
        <v>581</v>
      </c>
      <c r="C123" s="820" t="str">
        <f>IF('WS3 - Notional General Income'!C121="","",'WS3 - Notional General Income'!C121)</f>
        <v/>
      </c>
      <c r="D123" s="886"/>
      <c r="E123" s="754"/>
      <c r="F123" s="752"/>
      <c r="G123" s="755" t="str">
        <f t="shared" si="138"/>
        <v>.</v>
      </c>
      <c r="H123" s="752"/>
      <c r="I123" s="752"/>
      <c r="J123" s="753"/>
      <c r="K123" s="753"/>
      <c r="L123" s="854" t="str">
        <f t="shared" si="139"/>
        <v>.</v>
      </c>
      <c r="M123" s="886"/>
      <c r="N123" s="754"/>
      <c r="O123" s="752"/>
      <c r="P123" s="755" t="str">
        <f t="shared" si="140"/>
        <v>.</v>
      </c>
      <c r="Q123" s="752"/>
      <c r="R123" s="752"/>
      <c r="S123" s="753"/>
      <c r="T123" s="753"/>
      <c r="U123" s="854" t="str">
        <f t="shared" si="141"/>
        <v>.</v>
      </c>
      <c r="V123" s="886"/>
      <c r="W123" s="754"/>
      <c r="X123" s="752"/>
      <c r="Y123" s="755" t="str">
        <f t="shared" si="142"/>
        <v>.</v>
      </c>
      <c r="Z123" s="752"/>
      <c r="AA123" s="752"/>
      <c r="AB123" s="753"/>
      <c r="AC123" s="753"/>
      <c r="AD123" s="854" t="str">
        <f t="shared" si="143"/>
        <v>.</v>
      </c>
      <c r="AE123" s="886"/>
      <c r="AF123" s="754"/>
      <c r="AG123" s="752"/>
      <c r="AH123" s="755" t="str">
        <f t="shared" si="144"/>
        <v>.</v>
      </c>
      <c r="AI123" s="752"/>
      <c r="AJ123" s="752"/>
      <c r="AK123" s="753"/>
      <c r="AL123" s="753"/>
      <c r="AM123" s="854" t="str">
        <f t="shared" si="145"/>
        <v>.</v>
      </c>
      <c r="AN123" s="886"/>
      <c r="AO123" s="754"/>
      <c r="AP123" s="752"/>
      <c r="AQ123" s="755" t="str">
        <f t="shared" si="146"/>
        <v>.</v>
      </c>
      <c r="AR123" s="752"/>
      <c r="AS123" s="752"/>
      <c r="AT123" s="753"/>
      <c r="AU123" s="753"/>
      <c r="AV123" s="854" t="str">
        <f t="shared" si="147"/>
        <v>.</v>
      </c>
      <c r="AW123" s="886"/>
      <c r="AX123" s="754"/>
      <c r="AY123" s="752"/>
      <c r="AZ123" s="755" t="str">
        <f t="shared" si="148"/>
        <v>.</v>
      </c>
      <c r="BA123" s="752"/>
      <c r="BB123" s="752"/>
      <c r="BC123" s="753"/>
      <c r="BD123" s="753"/>
      <c r="BE123" s="854" t="str">
        <f t="shared" si="149"/>
        <v>.</v>
      </c>
      <c r="BF123" s="3"/>
    </row>
    <row r="124" spans="1:58" ht="12" x14ac:dyDescent="0.2">
      <c r="A124" s="841"/>
      <c r="B124" s="769" t="s">
        <v>581</v>
      </c>
      <c r="C124" s="820" t="str">
        <f>IF('WS3 - Notional General Income'!C122="","",'WS3 - Notional General Income'!C122)</f>
        <v/>
      </c>
      <c r="D124" s="886"/>
      <c r="E124" s="754"/>
      <c r="F124" s="752"/>
      <c r="G124" s="755" t="str">
        <f t="shared" si="138"/>
        <v>.</v>
      </c>
      <c r="H124" s="752"/>
      <c r="I124" s="752"/>
      <c r="J124" s="753"/>
      <c r="K124" s="753"/>
      <c r="L124" s="854" t="str">
        <f t="shared" si="139"/>
        <v>.</v>
      </c>
      <c r="M124" s="886"/>
      <c r="N124" s="754"/>
      <c r="O124" s="752"/>
      <c r="P124" s="755" t="str">
        <f t="shared" si="140"/>
        <v>.</v>
      </c>
      <c r="Q124" s="752"/>
      <c r="R124" s="752"/>
      <c r="S124" s="753"/>
      <c r="T124" s="753"/>
      <c r="U124" s="854" t="str">
        <f t="shared" si="141"/>
        <v>.</v>
      </c>
      <c r="V124" s="886"/>
      <c r="W124" s="754"/>
      <c r="X124" s="752"/>
      <c r="Y124" s="755" t="str">
        <f t="shared" si="142"/>
        <v>.</v>
      </c>
      <c r="Z124" s="752"/>
      <c r="AA124" s="752"/>
      <c r="AB124" s="753"/>
      <c r="AC124" s="753"/>
      <c r="AD124" s="854" t="str">
        <f t="shared" si="143"/>
        <v>.</v>
      </c>
      <c r="AE124" s="886"/>
      <c r="AF124" s="754"/>
      <c r="AG124" s="752"/>
      <c r="AH124" s="755" t="str">
        <f t="shared" si="144"/>
        <v>.</v>
      </c>
      <c r="AI124" s="752"/>
      <c r="AJ124" s="752"/>
      <c r="AK124" s="753"/>
      <c r="AL124" s="753"/>
      <c r="AM124" s="854" t="str">
        <f t="shared" si="145"/>
        <v>.</v>
      </c>
      <c r="AN124" s="886"/>
      <c r="AO124" s="754"/>
      <c r="AP124" s="752"/>
      <c r="AQ124" s="755" t="str">
        <f t="shared" si="146"/>
        <v>.</v>
      </c>
      <c r="AR124" s="752"/>
      <c r="AS124" s="752"/>
      <c r="AT124" s="753"/>
      <c r="AU124" s="753"/>
      <c r="AV124" s="854" t="str">
        <f t="shared" si="147"/>
        <v>.</v>
      </c>
      <c r="AW124" s="886"/>
      <c r="AX124" s="754"/>
      <c r="AY124" s="752"/>
      <c r="AZ124" s="755" t="str">
        <f t="shared" si="148"/>
        <v>.</v>
      </c>
      <c r="BA124" s="752"/>
      <c r="BB124" s="752"/>
      <c r="BC124" s="753"/>
      <c r="BD124" s="753"/>
      <c r="BE124" s="854" t="str">
        <f t="shared" si="149"/>
        <v>.</v>
      </c>
      <c r="BF124" s="3"/>
    </row>
    <row r="125" spans="1:58" ht="12" x14ac:dyDescent="0.2">
      <c r="A125" s="841"/>
      <c r="B125" s="769" t="s">
        <v>581</v>
      </c>
      <c r="C125" s="820" t="str">
        <f>IF('WS3 - Notional General Income'!C123="","",'WS3 - Notional General Income'!C123)</f>
        <v/>
      </c>
      <c r="D125" s="886"/>
      <c r="E125" s="754"/>
      <c r="F125" s="752"/>
      <c r="G125" s="755" t="str">
        <f t="shared" si="138"/>
        <v>.</v>
      </c>
      <c r="H125" s="752"/>
      <c r="I125" s="752"/>
      <c r="J125" s="753"/>
      <c r="K125" s="753"/>
      <c r="L125" s="854" t="str">
        <f t="shared" si="139"/>
        <v>.</v>
      </c>
      <c r="M125" s="886"/>
      <c r="N125" s="754"/>
      <c r="O125" s="752"/>
      <c r="P125" s="755" t="str">
        <f t="shared" si="140"/>
        <v>.</v>
      </c>
      <c r="Q125" s="752"/>
      <c r="R125" s="752"/>
      <c r="S125" s="753"/>
      <c r="T125" s="753"/>
      <c r="U125" s="854" t="str">
        <f t="shared" si="141"/>
        <v>.</v>
      </c>
      <c r="V125" s="886"/>
      <c r="W125" s="754"/>
      <c r="X125" s="752"/>
      <c r="Y125" s="755" t="str">
        <f t="shared" si="142"/>
        <v>.</v>
      </c>
      <c r="Z125" s="752"/>
      <c r="AA125" s="752"/>
      <c r="AB125" s="753"/>
      <c r="AC125" s="753"/>
      <c r="AD125" s="854" t="str">
        <f t="shared" si="143"/>
        <v>.</v>
      </c>
      <c r="AE125" s="886"/>
      <c r="AF125" s="754"/>
      <c r="AG125" s="752"/>
      <c r="AH125" s="755" t="str">
        <f t="shared" si="144"/>
        <v>.</v>
      </c>
      <c r="AI125" s="752"/>
      <c r="AJ125" s="752"/>
      <c r="AK125" s="753"/>
      <c r="AL125" s="753"/>
      <c r="AM125" s="854" t="str">
        <f t="shared" si="145"/>
        <v>.</v>
      </c>
      <c r="AN125" s="886"/>
      <c r="AO125" s="754"/>
      <c r="AP125" s="752"/>
      <c r="AQ125" s="755" t="str">
        <f t="shared" si="146"/>
        <v>.</v>
      </c>
      <c r="AR125" s="752"/>
      <c r="AS125" s="752"/>
      <c r="AT125" s="753"/>
      <c r="AU125" s="753"/>
      <c r="AV125" s="854" t="str">
        <f t="shared" si="147"/>
        <v>.</v>
      </c>
      <c r="AW125" s="886"/>
      <c r="AX125" s="754"/>
      <c r="AY125" s="752"/>
      <c r="AZ125" s="755" t="str">
        <f t="shared" si="148"/>
        <v>.</v>
      </c>
      <c r="BA125" s="752"/>
      <c r="BB125" s="752"/>
      <c r="BC125" s="753"/>
      <c r="BD125" s="753"/>
      <c r="BE125" s="854" t="str">
        <f t="shared" si="149"/>
        <v>.</v>
      </c>
      <c r="BF125" s="3"/>
    </row>
    <row r="126" spans="1:58" ht="12" x14ac:dyDescent="0.2">
      <c r="A126" s="841"/>
      <c r="B126" s="769" t="s">
        <v>581</v>
      </c>
      <c r="C126" s="820" t="str">
        <f>IF('WS3 - Notional General Income'!C124="","",'WS3 - Notional General Income'!C124)</f>
        <v/>
      </c>
      <c r="D126" s="886"/>
      <c r="E126" s="754"/>
      <c r="F126" s="752"/>
      <c r="G126" s="755" t="str">
        <f t="shared" si="138"/>
        <v>.</v>
      </c>
      <c r="H126" s="752"/>
      <c r="I126" s="752"/>
      <c r="J126" s="753"/>
      <c r="K126" s="753"/>
      <c r="L126" s="854" t="str">
        <f t="shared" si="139"/>
        <v>.</v>
      </c>
      <c r="M126" s="886"/>
      <c r="N126" s="754"/>
      <c r="O126" s="752"/>
      <c r="P126" s="755" t="str">
        <f t="shared" si="140"/>
        <v>.</v>
      </c>
      <c r="Q126" s="752"/>
      <c r="R126" s="752"/>
      <c r="S126" s="753"/>
      <c r="T126" s="753"/>
      <c r="U126" s="854" t="str">
        <f t="shared" si="141"/>
        <v>.</v>
      </c>
      <c r="V126" s="886"/>
      <c r="W126" s="754"/>
      <c r="X126" s="752"/>
      <c r="Y126" s="755" t="str">
        <f t="shared" si="142"/>
        <v>.</v>
      </c>
      <c r="Z126" s="752"/>
      <c r="AA126" s="752"/>
      <c r="AB126" s="753"/>
      <c r="AC126" s="753"/>
      <c r="AD126" s="854" t="str">
        <f t="shared" si="143"/>
        <v>.</v>
      </c>
      <c r="AE126" s="886"/>
      <c r="AF126" s="754"/>
      <c r="AG126" s="752"/>
      <c r="AH126" s="755" t="str">
        <f t="shared" si="144"/>
        <v>.</v>
      </c>
      <c r="AI126" s="752"/>
      <c r="AJ126" s="752"/>
      <c r="AK126" s="753"/>
      <c r="AL126" s="753"/>
      <c r="AM126" s="854" t="str">
        <f t="shared" si="145"/>
        <v>.</v>
      </c>
      <c r="AN126" s="886"/>
      <c r="AO126" s="754"/>
      <c r="AP126" s="752"/>
      <c r="AQ126" s="755" t="str">
        <f t="shared" si="146"/>
        <v>.</v>
      </c>
      <c r="AR126" s="752"/>
      <c r="AS126" s="752"/>
      <c r="AT126" s="753"/>
      <c r="AU126" s="753"/>
      <c r="AV126" s="854" t="str">
        <f t="shared" si="147"/>
        <v>.</v>
      </c>
      <c r="AW126" s="886"/>
      <c r="AX126" s="754"/>
      <c r="AY126" s="752"/>
      <c r="AZ126" s="755" t="str">
        <f t="shared" si="148"/>
        <v>.</v>
      </c>
      <c r="BA126" s="752"/>
      <c r="BB126" s="752"/>
      <c r="BC126" s="753"/>
      <c r="BD126" s="753"/>
      <c r="BE126" s="854" t="str">
        <f t="shared" si="149"/>
        <v>.</v>
      </c>
      <c r="BF126" s="3"/>
    </row>
    <row r="127" spans="1:58" ht="12" x14ac:dyDescent="0.2">
      <c r="A127" s="841"/>
      <c r="B127" s="769" t="s">
        <v>581</v>
      </c>
      <c r="C127" s="820" t="str">
        <f>IF('WS3 - Notional General Income'!C125="","",'WS3 - Notional General Income'!C125)</f>
        <v/>
      </c>
      <c r="D127" s="886"/>
      <c r="E127" s="754"/>
      <c r="F127" s="752"/>
      <c r="G127" s="755" t="str">
        <f t="shared" si="138"/>
        <v>.</v>
      </c>
      <c r="H127" s="752"/>
      <c r="I127" s="752"/>
      <c r="J127" s="753"/>
      <c r="K127" s="753"/>
      <c r="L127" s="854" t="str">
        <f t="shared" si="139"/>
        <v>.</v>
      </c>
      <c r="M127" s="886"/>
      <c r="N127" s="754"/>
      <c r="O127" s="752"/>
      <c r="P127" s="755" t="str">
        <f t="shared" si="140"/>
        <v>.</v>
      </c>
      <c r="Q127" s="752"/>
      <c r="R127" s="752"/>
      <c r="S127" s="753"/>
      <c r="T127" s="753"/>
      <c r="U127" s="854" t="str">
        <f t="shared" si="141"/>
        <v>.</v>
      </c>
      <c r="V127" s="886"/>
      <c r="W127" s="754"/>
      <c r="X127" s="752"/>
      <c r="Y127" s="755" t="str">
        <f t="shared" si="142"/>
        <v>.</v>
      </c>
      <c r="Z127" s="752"/>
      <c r="AA127" s="752"/>
      <c r="AB127" s="753"/>
      <c r="AC127" s="753"/>
      <c r="AD127" s="854" t="str">
        <f t="shared" si="143"/>
        <v>.</v>
      </c>
      <c r="AE127" s="886"/>
      <c r="AF127" s="754"/>
      <c r="AG127" s="752"/>
      <c r="AH127" s="755" t="str">
        <f t="shared" si="144"/>
        <v>.</v>
      </c>
      <c r="AI127" s="752"/>
      <c r="AJ127" s="752"/>
      <c r="AK127" s="753"/>
      <c r="AL127" s="753"/>
      <c r="AM127" s="854" t="str">
        <f t="shared" si="145"/>
        <v>.</v>
      </c>
      <c r="AN127" s="886"/>
      <c r="AO127" s="754"/>
      <c r="AP127" s="752"/>
      <c r="AQ127" s="755" t="str">
        <f t="shared" si="146"/>
        <v>.</v>
      </c>
      <c r="AR127" s="752"/>
      <c r="AS127" s="752"/>
      <c r="AT127" s="753"/>
      <c r="AU127" s="753"/>
      <c r="AV127" s="854" t="str">
        <f t="shared" si="147"/>
        <v>.</v>
      </c>
      <c r="AW127" s="886"/>
      <c r="AX127" s="754"/>
      <c r="AY127" s="752"/>
      <c r="AZ127" s="755" t="str">
        <f t="shared" si="148"/>
        <v>.</v>
      </c>
      <c r="BA127" s="752"/>
      <c r="BB127" s="752"/>
      <c r="BC127" s="753"/>
      <c r="BD127" s="753"/>
      <c r="BE127" s="854" t="str">
        <f t="shared" si="149"/>
        <v>.</v>
      </c>
      <c r="BF127" s="3"/>
    </row>
    <row r="128" spans="1:58" ht="12" x14ac:dyDescent="0.2">
      <c r="A128" s="841"/>
      <c r="B128" s="769" t="s">
        <v>583</v>
      </c>
      <c r="C128" s="820" t="str">
        <f>IF('WS3 - Notional General Income'!C126="","",'WS3 - Notional General Income'!C126)</f>
        <v/>
      </c>
      <c r="D128" s="886"/>
      <c r="E128" s="754"/>
      <c r="F128" s="752"/>
      <c r="G128" s="755" t="str">
        <f t="shared" si="138"/>
        <v>.</v>
      </c>
      <c r="H128" s="752"/>
      <c r="I128" s="752"/>
      <c r="J128" s="753"/>
      <c r="K128" s="753"/>
      <c r="L128" s="854" t="str">
        <f t="shared" si="139"/>
        <v>.</v>
      </c>
      <c r="M128" s="886"/>
      <c r="N128" s="754"/>
      <c r="O128" s="752"/>
      <c r="P128" s="755" t="str">
        <f t="shared" si="140"/>
        <v>.</v>
      </c>
      <c r="Q128" s="752"/>
      <c r="R128" s="752"/>
      <c r="S128" s="753"/>
      <c r="T128" s="753"/>
      <c r="U128" s="854" t="str">
        <f t="shared" si="141"/>
        <v>.</v>
      </c>
      <c r="V128" s="886"/>
      <c r="W128" s="754"/>
      <c r="X128" s="752"/>
      <c r="Y128" s="755" t="str">
        <f t="shared" si="142"/>
        <v>.</v>
      </c>
      <c r="Z128" s="752"/>
      <c r="AA128" s="752"/>
      <c r="AB128" s="753"/>
      <c r="AC128" s="753"/>
      <c r="AD128" s="854" t="str">
        <f t="shared" si="143"/>
        <v>.</v>
      </c>
      <c r="AE128" s="886"/>
      <c r="AF128" s="754"/>
      <c r="AG128" s="752"/>
      <c r="AH128" s="755" t="str">
        <f t="shared" si="144"/>
        <v>.</v>
      </c>
      <c r="AI128" s="752"/>
      <c r="AJ128" s="752"/>
      <c r="AK128" s="753"/>
      <c r="AL128" s="753"/>
      <c r="AM128" s="854" t="str">
        <f t="shared" si="145"/>
        <v>.</v>
      </c>
      <c r="AN128" s="886"/>
      <c r="AO128" s="754"/>
      <c r="AP128" s="752"/>
      <c r="AQ128" s="755" t="str">
        <f t="shared" si="146"/>
        <v>.</v>
      </c>
      <c r="AR128" s="752"/>
      <c r="AS128" s="752"/>
      <c r="AT128" s="753"/>
      <c r="AU128" s="753"/>
      <c r="AV128" s="854" t="str">
        <f t="shared" si="147"/>
        <v>.</v>
      </c>
      <c r="AW128" s="886"/>
      <c r="AX128" s="754"/>
      <c r="AY128" s="752"/>
      <c r="AZ128" s="755" t="str">
        <f t="shared" si="148"/>
        <v>.</v>
      </c>
      <c r="BA128" s="752"/>
      <c r="BB128" s="752"/>
      <c r="BC128" s="753"/>
      <c r="BD128" s="753"/>
      <c r="BE128" s="854" t="str">
        <f t="shared" si="149"/>
        <v>.</v>
      </c>
      <c r="BF128" s="3"/>
    </row>
    <row r="129" spans="1:58" ht="12" x14ac:dyDescent="0.2">
      <c r="A129" s="841"/>
      <c r="B129" s="769" t="s">
        <v>583</v>
      </c>
      <c r="C129" s="820" t="str">
        <f>IF('WS3 - Notional General Income'!C127="","",'WS3 - Notional General Income'!C127)</f>
        <v/>
      </c>
      <c r="D129" s="886"/>
      <c r="E129" s="754"/>
      <c r="F129" s="752"/>
      <c r="G129" s="755" t="str">
        <f t="shared" si="138"/>
        <v>.</v>
      </c>
      <c r="H129" s="752"/>
      <c r="I129" s="752"/>
      <c r="J129" s="753"/>
      <c r="K129" s="753"/>
      <c r="L129" s="854" t="str">
        <f t="shared" si="139"/>
        <v>.</v>
      </c>
      <c r="M129" s="886"/>
      <c r="N129" s="754"/>
      <c r="O129" s="752"/>
      <c r="P129" s="755" t="str">
        <f t="shared" si="140"/>
        <v>.</v>
      </c>
      <c r="Q129" s="752"/>
      <c r="R129" s="752"/>
      <c r="S129" s="753"/>
      <c r="T129" s="753"/>
      <c r="U129" s="854" t="str">
        <f t="shared" si="141"/>
        <v>.</v>
      </c>
      <c r="V129" s="886"/>
      <c r="W129" s="754"/>
      <c r="X129" s="752"/>
      <c r="Y129" s="755" t="str">
        <f t="shared" si="142"/>
        <v>.</v>
      </c>
      <c r="Z129" s="752"/>
      <c r="AA129" s="752"/>
      <c r="AB129" s="753"/>
      <c r="AC129" s="753"/>
      <c r="AD129" s="854" t="str">
        <f t="shared" si="143"/>
        <v>.</v>
      </c>
      <c r="AE129" s="886"/>
      <c r="AF129" s="754"/>
      <c r="AG129" s="752"/>
      <c r="AH129" s="755" t="str">
        <f t="shared" si="144"/>
        <v>.</v>
      </c>
      <c r="AI129" s="752"/>
      <c r="AJ129" s="752"/>
      <c r="AK129" s="753"/>
      <c r="AL129" s="753"/>
      <c r="AM129" s="854" t="str">
        <f t="shared" si="145"/>
        <v>.</v>
      </c>
      <c r="AN129" s="886"/>
      <c r="AO129" s="754"/>
      <c r="AP129" s="752"/>
      <c r="AQ129" s="755" t="str">
        <f t="shared" si="146"/>
        <v>.</v>
      </c>
      <c r="AR129" s="752"/>
      <c r="AS129" s="752"/>
      <c r="AT129" s="753"/>
      <c r="AU129" s="753"/>
      <c r="AV129" s="854" t="str">
        <f t="shared" si="147"/>
        <v>.</v>
      </c>
      <c r="AW129" s="886"/>
      <c r="AX129" s="754"/>
      <c r="AY129" s="752"/>
      <c r="AZ129" s="755" t="str">
        <f t="shared" si="148"/>
        <v>.</v>
      </c>
      <c r="BA129" s="752"/>
      <c r="BB129" s="752"/>
      <c r="BC129" s="753"/>
      <c r="BD129" s="753"/>
      <c r="BE129" s="854" t="str">
        <f t="shared" si="149"/>
        <v>.</v>
      </c>
      <c r="BF129" s="3"/>
    </row>
    <row r="130" spans="1:58" ht="12" x14ac:dyDescent="0.2">
      <c r="A130" s="841"/>
      <c r="B130" s="769" t="s">
        <v>583</v>
      </c>
      <c r="C130" s="820" t="str">
        <f>IF('WS3 - Notional General Income'!C128="","",'WS3 - Notional General Income'!C128)</f>
        <v/>
      </c>
      <c r="D130" s="886"/>
      <c r="E130" s="754"/>
      <c r="F130" s="752"/>
      <c r="G130" s="755" t="str">
        <f t="shared" si="138"/>
        <v>.</v>
      </c>
      <c r="H130" s="752"/>
      <c r="I130" s="752"/>
      <c r="J130" s="753"/>
      <c r="K130" s="753"/>
      <c r="L130" s="854" t="str">
        <f t="shared" si="139"/>
        <v>.</v>
      </c>
      <c r="M130" s="886"/>
      <c r="N130" s="754"/>
      <c r="O130" s="752"/>
      <c r="P130" s="755" t="str">
        <f t="shared" si="140"/>
        <v>.</v>
      </c>
      <c r="Q130" s="752"/>
      <c r="R130" s="752"/>
      <c r="S130" s="753"/>
      <c r="T130" s="753"/>
      <c r="U130" s="854" t="str">
        <f t="shared" si="141"/>
        <v>.</v>
      </c>
      <c r="V130" s="886"/>
      <c r="W130" s="754"/>
      <c r="X130" s="752"/>
      <c r="Y130" s="755" t="str">
        <f t="shared" si="142"/>
        <v>.</v>
      </c>
      <c r="Z130" s="752"/>
      <c r="AA130" s="752"/>
      <c r="AB130" s="753"/>
      <c r="AC130" s="753"/>
      <c r="AD130" s="854" t="str">
        <f t="shared" si="143"/>
        <v>.</v>
      </c>
      <c r="AE130" s="886"/>
      <c r="AF130" s="754"/>
      <c r="AG130" s="752"/>
      <c r="AH130" s="755" t="str">
        <f t="shared" si="144"/>
        <v>.</v>
      </c>
      <c r="AI130" s="752"/>
      <c r="AJ130" s="752"/>
      <c r="AK130" s="753"/>
      <c r="AL130" s="753"/>
      <c r="AM130" s="854" t="str">
        <f t="shared" si="145"/>
        <v>.</v>
      </c>
      <c r="AN130" s="886"/>
      <c r="AO130" s="754"/>
      <c r="AP130" s="752"/>
      <c r="AQ130" s="755" t="str">
        <f t="shared" si="146"/>
        <v>.</v>
      </c>
      <c r="AR130" s="752"/>
      <c r="AS130" s="752"/>
      <c r="AT130" s="753"/>
      <c r="AU130" s="753"/>
      <c r="AV130" s="854" t="str">
        <f t="shared" si="147"/>
        <v>.</v>
      </c>
      <c r="AW130" s="886"/>
      <c r="AX130" s="754"/>
      <c r="AY130" s="752"/>
      <c r="AZ130" s="755" t="str">
        <f t="shared" si="148"/>
        <v>.</v>
      </c>
      <c r="BA130" s="752"/>
      <c r="BB130" s="752"/>
      <c r="BC130" s="753"/>
      <c r="BD130" s="753"/>
      <c r="BE130" s="854" t="str">
        <f t="shared" si="149"/>
        <v>.</v>
      </c>
      <c r="BF130" s="3"/>
    </row>
    <row r="131" spans="1:58" ht="12" x14ac:dyDescent="0.2">
      <c r="A131" s="841"/>
      <c r="B131" s="769" t="s">
        <v>583</v>
      </c>
      <c r="C131" s="820" t="str">
        <f>IF('WS3 - Notional General Income'!C129="","",'WS3 - Notional General Income'!C129)</f>
        <v/>
      </c>
      <c r="D131" s="886"/>
      <c r="E131" s="754"/>
      <c r="F131" s="752"/>
      <c r="G131" s="755" t="str">
        <f t="shared" si="138"/>
        <v>.</v>
      </c>
      <c r="H131" s="752"/>
      <c r="I131" s="752"/>
      <c r="J131" s="753"/>
      <c r="K131" s="753"/>
      <c r="L131" s="854" t="str">
        <f t="shared" si="139"/>
        <v>.</v>
      </c>
      <c r="M131" s="886"/>
      <c r="N131" s="754"/>
      <c r="O131" s="752"/>
      <c r="P131" s="755" t="str">
        <f t="shared" si="140"/>
        <v>.</v>
      </c>
      <c r="Q131" s="752"/>
      <c r="R131" s="752"/>
      <c r="S131" s="753"/>
      <c r="T131" s="753"/>
      <c r="U131" s="854" t="str">
        <f t="shared" si="141"/>
        <v>.</v>
      </c>
      <c r="V131" s="886"/>
      <c r="W131" s="754"/>
      <c r="X131" s="752"/>
      <c r="Y131" s="755" t="str">
        <f t="shared" si="142"/>
        <v>.</v>
      </c>
      <c r="Z131" s="752"/>
      <c r="AA131" s="752"/>
      <c r="AB131" s="753"/>
      <c r="AC131" s="753"/>
      <c r="AD131" s="854" t="str">
        <f t="shared" si="143"/>
        <v>.</v>
      </c>
      <c r="AE131" s="886"/>
      <c r="AF131" s="754"/>
      <c r="AG131" s="752"/>
      <c r="AH131" s="755" t="str">
        <f t="shared" si="144"/>
        <v>.</v>
      </c>
      <c r="AI131" s="752"/>
      <c r="AJ131" s="752"/>
      <c r="AK131" s="753"/>
      <c r="AL131" s="753"/>
      <c r="AM131" s="854" t="str">
        <f t="shared" si="145"/>
        <v>.</v>
      </c>
      <c r="AN131" s="886"/>
      <c r="AO131" s="754"/>
      <c r="AP131" s="752"/>
      <c r="AQ131" s="755" t="str">
        <f t="shared" si="146"/>
        <v>.</v>
      </c>
      <c r="AR131" s="752"/>
      <c r="AS131" s="752"/>
      <c r="AT131" s="753"/>
      <c r="AU131" s="753"/>
      <c r="AV131" s="854" t="str">
        <f t="shared" si="147"/>
        <v>.</v>
      </c>
      <c r="AW131" s="886"/>
      <c r="AX131" s="754"/>
      <c r="AY131" s="752"/>
      <c r="AZ131" s="755" t="str">
        <f t="shared" si="148"/>
        <v>.</v>
      </c>
      <c r="BA131" s="752"/>
      <c r="BB131" s="752"/>
      <c r="BC131" s="753"/>
      <c r="BD131" s="753"/>
      <c r="BE131" s="854" t="str">
        <f t="shared" si="149"/>
        <v>.</v>
      </c>
      <c r="BF131" s="3"/>
    </row>
    <row r="132" spans="1:58" ht="12" x14ac:dyDescent="0.2">
      <c r="A132" s="841"/>
      <c r="B132" s="769" t="s">
        <v>583</v>
      </c>
      <c r="C132" s="820" t="str">
        <f>IF('WS3 - Notional General Income'!C130="","",'WS3 - Notional General Income'!C130)</f>
        <v/>
      </c>
      <c r="D132" s="886"/>
      <c r="E132" s="754"/>
      <c r="F132" s="752"/>
      <c r="G132" s="755" t="str">
        <f t="shared" si="138"/>
        <v>.</v>
      </c>
      <c r="H132" s="752"/>
      <c r="I132" s="752"/>
      <c r="J132" s="753"/>
      <c r="K132" s="753"/>
      <c r="L132" s="854" t="str">
        <f t="shared" si="139"/>
        <v>.</v>
      </c>
      <c r="M132" s="886"/>
      <c r="N132" s="754"/>
      <c r="O132" s="752"/>
      <c r="P132" s="755" t="str">
        <f t="shared" si="140"/>
        <v>.</v>
      </c>
      <c r="Q132" s="752"/>
      <c r="R132" s="752"/>
      <c r="S132" s="753"/>
      <c r="T132" s="753"/>
      <c r="U132" s="854" t="str">
        <f t="shared" si="141"/>
        <v>.</v>
      </c>
      <c r="V132" s="886"/>
      <c r="W132" s="754"/>
      <c r="X132" s="752"/>
      <c r="Y132" s="755" t="str">
        <f t="shared" si="142"/>
        <v>.</v>
      </c>
      <c r="Z132" s="752"/>
      <c r="AA132" s="752"/>
      <c r="AB132" s="753"/>
      <c r="AC132" s="753"/>
      <c r="AD132" s="854" t="str">
        <f t="shared" si="143"/>
        <v>.</v>
      </c>
      <c r="AE132" s="886"/>
      <c r="AF132" s="754"/>
      <c r="AG132" s="752"/>
      <c r="AH132" s="755" t="str">
        <f t="shared" si="144"/>
        <v>.</v>
      </c>
      <c r="AI132" s="752"/>
      <c r="AJ132" s="752"/>
      <c r="AK132" s="753"/>
      <c r="AL132" s="753"/>
      <c r="AM132" s="854" t="str">
        <f t="shared" si="145"/>
        <v>.</v>
      </c>
      <c r="AN132" s="886"/>
      <c r="AO132" s="754"/>
      <c r="AP132" s="752"/>
      <c r="AQ132" s="755" t="str">
        <f t="shared" si="146"/>
        <v>.</v>
      </c>
      <c r="AR132" s="752"/>
      <c r="AS132" s="752"/>
      <c r="AT132" s="753"/>
      <c r="AU132" s="753"/>
      <c r="AV132" s="854" t="str">
        <f t="shared" si="147"/>
        <v>.</v>
      </c>
      <c r="AW132" s="886"/>
      <c r="AX132" s="754"/>
      <c r="AY132" s="752"/>
      <c r="AZ132" s="755" t="str">
        <f t="shared" si="148"/>
        <v>.</v>
      </c>
      <c r="BA132" s="752"/>
      <c r="BB132" s="752"/>
      <c r="BC132" s="753"/>
      <c r="BD132" s="753"/>
      <c r="BE132" s="854" t="str">
        <f t="shared" si="149"/>
        <v>.</v>
      </c>
      <c r="BF132" s="3"/>
    </row>
    <row r="133" spans="1:58" ht="12" x14ac:dyDescent="0.2">
      <c r="A133" s="841"/>
      <c r="B133" s="769" t="s">
        <v>583</v>
      </c>
      <c r="C133" s="820" t="str">
        <f>IF('WS3 - Notional General Income'!C131="","",'WS3 - Notional General Income'!C131)</f>
        <v/>
      </c>
      <c r="D133" s="886"/>
      <c r="E133" s="754"/>
      <c r="F133" s="752"/>
      <c r="G133" s="755" t="str">
        <f t="shared" si="138"/>
        <v>.</v>
      </c>
      <c r="H133" s="752"/>
      <c r="I133" s="752"/>
      <c r="J133" s="753"/>
      <c r="K133" s="753"/>
      <c r="L133" s="854" t="str">
        <f t="shared" si="139"/>
        <v>.</v>
      </c>
      <c r="M133" s="886"/>
      <c r="N133" s="754"/>
      <c r="O133" s="752"/>
      <c r="P133" s="755" t="str">
        <f t="shared" si="140"/>
        <v>.</v>
      </c>
      <c r="Q133" s="752"/>
      <c r="R133" s="752"/>
      <c r="S133" s="753"/>
      <c r="T133" s="753"/>
      <c r="U133" s="854" t="str">
        <f t="shared" si="141"/>
        <v>.</v>
      </c>
      <c r="V133" s="886"/>
      <c r="W133" s="754"/>
      <c r="X133" s="752"/>
      <c r="Y133" s="755" t="str">
        <f t="shared" si="142"/>
        <v>.</v>
      </c>
      <c r="Z133" s="752"/>
      <c r="AA133" s="752"/>
      <c r="AB133" s="753"/>
      <c r="AC133" s="753"/>
      <c r="AD133" s="854" t="str">
        <f t="shared" si="143"/>
        <v>.</v>
      </c>
      <c r="AE133" s="886"/>
      <c r="AF133" s="754"/>
      <c r="AG133" s="752"/>
      <c r="AH133" s="755" t="str">
        <f t="shared" si="144"/>
        <v>.</v>
      </c>
      <c r="AI133" s="752"/>
      <c r="AJ133" s="752"/>
      <c r="AK133" s="753"/>
      <c r="AL133" s="753"/>
      <c r="AM133" s="854" t="str">
        <f t="shared" si="145"/>
        <v>.</v>
      </c>
      <c r="AN133" s="886"/>
      <c r="AO133" s="754"/>
      <c r="AP133" s="752"/>
      <c r="AQ133" s="755" t="str">
        <f t="shared" si="146"/>
        <v>.</v>
      </c>
      <c r="AR133" s="752"/>
      <c r="AS133" s="752"/>
      <c r="AT133" s="753"/>
      <c r="AU133" s="753"/>
      <c r="AV133" s="854" t="str">
        <f t="shared" si="147"/>
        <v>.</v>
      </c>
      <c r="AW133" s="886"/>
      <c r="AX133" s="754"/>
      <c r="AY133" s="752"/>
      <c r="AZ133" s="755" t="str">
        <f t="shared" si="148"/>
        <v>.</v>
      </c>
      <c r="BA133" s="752"/>
      <c r="BB133" s="752"/>
      <c r="BC133" s="753"/>
      <c r="BD133" s="753"/>
      <c r="BE133" s="854" t="str">
        <f t="shared" si="149"/>
        <v>.</v>
      </c>
      <c r="BF133" s="3"/>
    </row>
    <row r="134" spans="1:58" ht="12" x14ac:dyDescent="0.2">
      <c r="A134" s="841"/>
      <c r="B134" s="769" t="s">
        <v>583</v>
      </c>
      <c r="C134" s="820" t="str">
        <f>IF('WS3 - Notional General Income'!C132="","",'WS3 - Notional General Income'!C132)</f>
        <v/>
      </c>
      <c r="D134" s="886"/>
      <c r="E134" s="754"/>
      <c r="F134" s="752"/>
      <c r="G134" s="755" t="str">
        <f t="shared" si="138"/>
        <v>.</v>
      </c>
      <c r="H134" s="752"/>
      <c r="I134" s="752"/>
      <c r="J134" s="753"/>
      <c r="K134" s="753"/>
      <c r="L134" s="854" t="str">
        <f t="shared" si="139"/>
        <v>.</v>
      </c>
      <c r="M134" s="886"/>
      <c r="N134" s="754"/>
      <c r="O134" s="752"/>
      <c r="P134" s="755" t="str">
        <f t="shared" si="140"/>
        <v>.</v>
      </c>
      <c r="Q134" s="752"/>
      <c r="R134" s="752"/>
      <c r="S134" s="753"/>
      <c r="T134" s="753"/>
      <c r="U134" s="854" t="str">
        <f t="shared" si="141"/>
        <v>.</v>
      </c>
      <c r="V134" s="886"/>
      <c r="W134" s="754"/>
      <c r="X134" s="752"/>
      <c r="Y134" s="755" t="str">
        <f t="shared" si="142"/>
        <v>.</v>
      </c>
      <c r="Z134" s="752"/>
      <c r="AA134" s="752"/>
      <c r="AB134" s="753"/>
      <c r="AC134" s="753"/>
      <c r="AD134" s="854" t="str">
        <f t="shared" si="143"/>
        <v>.</v>
      </c>
      <c r="AE134" s="886"/>
      <c r="AF134" s="754"/>
      <c r="AG134" s="752"/>
      <c r="AH134" s="755" t="str">
        <f t="shared" si="144"/>
        <v>.</v>
      </c>
      <c r="AI134" s="752"/>
      <c r="AJ134" s="752"/>
      <c r="AK134" s="753"/>
      <c r="AL134" s="753"/>
      <c r="AM134" s="854" t="str">
        <f t="shared" si="145"/>
        <v>.</v>
      </c>
      <c r="AN134" s="886"/>
      <c r="AO134" s="754"/>
      <c r="AP134" s="752"/>
      <c r="AQ134" s="755" t="str">
        <f t="shared" si="146"/>
        <v>.</v>
      </c>
      <c r="AR134" s="752"/>
      <c r="AS134" s="752"/>
      <c r="AT134" s="753"/>
      <c r="AU134" s="753"/>
      <c r="AV134" s="854" t="str">
        <f t="shared" si="147"/>
        <v>.</v>
      </c>
      <c r="AW134" s="886"/>
      <c r="AX134" s="754"/>
      <c r="AY134" s="752"/>
      <c r="AZ134" s="755" t="str">
        <f t="shared" si="148"/>
        <v>.</v>
      </c>
      <c r="BA134" s="752"/>
      <c r="BB134" s="752"/>
      <c r="BC134" s="753"/>
      <c r="BD134" s="753"/>
      <c r="BE134" s="854" t="str">
        <f t="shared" si="149"/>
        <v>.</v>
      </c>
      <c r="BF134" s="3"/>
    </row>
    <row r="135" spans="1:58" ht="12" x14ac:dyDescent="0.2">
      <c r="A135" s="841"/>
      <c r="B135" s="769" t="s">
        <v>583</v>
      </c>
      <c r="C135" s="820" t="str">
        <f>IF('WS3 - Notional General Income'!C133="","",'WS3 - Notional General Income'!C133)</f>
        <v/>
      </c>
      <c r="D135" s="886"/>
      <c r="E135" s="754"/>
      <c r="F135" s="752"/>
      <c r="G135" s="755" t="str">
        <f t="shared" si="138"/>
        <v>.</v>
      </c>
      <c r="H135" s="752"/>
      <c r="I135" s="752"/>
      <c r="J135" s="753"/>
      <c r="K135" s="753"/>
      <c r="L135" s="854" t="str">
        <f t="shared" si="139"/>
        <v>.</v>
      </c>
      <c r="M135" s="886"/>
      <c r="N135" s="754"/>
      <c r="O135" s="752"/>
      <c r="P135" s="755" t="str">
        <f t="shared" si="140"/>
        <v>.</v>
      </c>
      <c r="Q135" s="752"/>
      <c r="R135" s="752"/>
      <c r="S135" s="753"/>
      <c r="T135" s="753"/>
      <c r="U135" s="854" t="str">
        <f t="shared" si="141"/>
        <v>.</v>
      </c>
      <c r="V135" s="886"/>
      <c r="W135" s="754"/>
      <c r="X135" s="752"/>
      <c r="Y135" s="755" t="str">
        <f t="shared" si="142"/>
        <v>.</v>
      </c>
      <c r="Z135" s="752"/>
      <c r="AA135" s="752"/>
      <c r="AB135" s="753"/>
      <c r="AC135" s="753"/>
      <c r="AD135" s="854" t="str">
        <f t="shared" si="143"/>
        <v>.</v>
      </c>
      <c r="AE135" s="886"/>
      <c r="AF135" s="754"/>
      <c r="AG135" s="752"/>
      <c r="AH135" s="755" t="str">
        <f t="shared" si="144"/>
        <v>.</v>
      </c>
      <c r="AI135" s="752"/>
      <c r="AJ135" s="752"/>
      <c r="AK135" s="753"/>
      <c r="AL135" s="753"/>
      <c r="AM135" s="854" t="str">
        <f t="shared" si="145"/>
        <v>.</v>
      </c>
      <c r="AN135" s="886"/>
      <c r="AO135" s="754"/>
      <c r="AP135" s="752"/>
      <c r="AQ135" s="755" t="str">
        <f t="shared" si="146"/>
        <v>.</v>
      </c>
      <c r="AR135" s="752"/>
      <c r="AS135" s="752"/>
      <c r="AT135" s="753"/>
      <c r="AU135" s="753"/>
      <c r="AV135" s="854" t="str">
        <f t="shared" si="147"/>
        <v>.</v>
      </c>
      <c r="AW135" s="886"/>
      <c r="AX135" s="754"/>
      <c r="AY135" s="752"/>
      <c r="AZ135" s="755" t="str">
        <f t="shared" si="148"/>
        <v>.</v>
      </c>
      <c r="BA135" s="752"/>
      <c r="BB135" s="752"/>
      <c r="BC135" s="753"/>
      <c r="BD135" s="753"/>
      <c r="BE135" s="854" t="str">
        <f t="shared" si="149"/>
        <v>.</v>
      </c>
      <c r="BF135" s="3"/>
    </row>
    <row r="136" spans="1:58" ht="12" x14ac:dyDescent="0.2">
      <c r="A136" s="841"/>
      <c r="B136" s="769" t="s">
        <v>583</v>
      </c>
      <c r="C136" s="820" t="str">
        <f>IF('WS3 - Notional General Income'!C134="","",'WS3 - Notional General Income'!C134)</f>
        <v/>
      </c>
      <c r="D136" s="886"/>
      <c r="E136" s="754"/>
      <c r="F136" s="752"/>
      <c r="G136" s="755" t="str">
        <f t="shared" si="138"/>
        <v>.</v>
      </c>
      <c r="H136" s="752"/>
      <c r="I136" s="752"/>
      <c r="J136" s="753"/>
      <c r="K136" s="753"/>
      <c r="L136" s="854" t="str">
        <f t="shared" si="139"/>
        <v>.</v>
      </c>
      <c r="M136" s="886"/>
      <c r="N136" s="754"/>
      <c r="O136" s="752"/>
      <c r="P136" s="755" t="str">
        <f t="shared" si="140"/>
        <v>.</v>
      </c>
      <c r="Q136" s="752"/>
      <c r="R136" s="752"/>
      <c r="S136" s="753"/>
      <c r="T136" s="753"/>
      <c r="U136" s="854" t="str">
        <f t="shared" si="141"/>
        <v>.</v>
      </c>
      <c r="V136" s="886"/>
      <c r="W136" s="754"/>
      <c r="X136" s="752"/>
      <c r="Y136" s="755" t="str">
        <f t="shared" si="142"/>
        <v>.</v>
      </c>
      <c r="Z136" s="752"/>
      <c r="AA136" s="752"/>
      <c r="AB136" s="753"/>
      <c r="AC136" s="753"/>
      <c r="AD136" s="854" t="str">
        <f t="shared" si="143"/>
        <v>.</v>
      </c>
      <c r="AE136" s="886"/>
      <c r="AF136" s="754"/>
      <c r="AG136" s="752"/>
      <c r="AH136" s="755" t="str">
        <f t="shared" si="144"/>
        <v>.</v>
      </c>
      <c r="AI136" s="752"/>
      <c r="AJ136" s="752"/>
      <c r="AK136" s="753"/>
      <c r="AL136" s="753"/>
      <c r="AM136" s="854" t="str">
        <f t="shared" si="145"/>
        <v>.</v>
      </c>
      <c r="AN136" s="886"/>
      <c r="AO136" s="754"/>
      <c r="AP136" s="752"/>
      <c r="AQ136" s="755" t="str">
        <f t="shared" si="146"/>
        <v>.</v>
      </c>
      <c r="AR136" s="752"/>
      <c r="AS136" s="752"/>
      <c r="AT136" s="753"/>
      <c r="AU136" s="753"/>
      <c r="AV136" s="854" t="str">
        <f t="shared" si="147"/>
        <v>.</v>
      </c>
      <c r="AW136" s="886"/>
      <c r="AX136" s="754"/>
      <c r="AY136" s="752"/>
      <c r="AZ136" s="755" t="str">
        <f t="shared" si="148"/>
        <v>.</v>
      </c>
      <c r="BA136" s="752"/>
      <c r="BB136" s="752"/>
      <c r="BC136" s="753"/>
      <c r="BD136" s="753"/>
      <c r="BE136" s="854" t="str">
        <f t="shared" si="149"/>
        <v>.</v>
      </c>
      <c r="BF136" s="3"/>
    </row>
    <row r="137" spans="1:58" ht="12" x14ac:dyDescent="0.2">
      <c r="A137" s="841"/>
      <c r="B137" s="769" t="s">
        <v>583</v>
      </c>
      <c r="C137" s="820" t="str">
        <f>IF('WS3 - Notional General Income'!C135="","",'WS3 - Notional General Income'!C135)</f>
        <v/>
      </c>
      <c r="D137" s="886"/>
      <c r="E137" s="754"/>
      <c r="F137" s="752"/>
      <c r="G137" s="755" t="str">
        <f t="shared" si="138"/>
        <v>.</v>
      </c>
      <c r="H137" s="752"/>
      <c r="I137" s="752"/>
      <c r="J137" s="753"/>
      <c r="K137" s="753"/>
      <c r="L137" s="854" t="str">
        <f t="shared" si="139"/>
        <v>.</v>
      </c>
      <c r="M137" s="886"/>
      <c r="N137" s="754"/>
      <c r="O137" s="752"/>
      <c r="P137" s="755" t="str">
        <f t="shared" si="140"/>
        <v>.</v>
      </c>
      <c r="Q137" s="752"/>
      <c r="R137" s="752"/>
      <c r="S137" s="753"/>
      <c r="T137" s="753"/>
      <c r="U137" s="854" t="str">
        <f t="shared" si="141"/>
        <v>.</v>
      </c>
      <c r="V137" s="886"/>
      <c r="W137" s="754"/>
      <c r="X137" s="752"/>
      <c r="Y137" s="755" t="str">
        <f t="shared" si="142"/>
        <v>.</v>
      </c>
      <c r="Z137" s="752"/>
      <c r="AA137" s="752"/>
      <c r="AB137" s="753"/>
      <c r="AC137" s="753"/>
      <c r="AD137" s="854" t="str">
        <f t="shared" si="143"/>
        <v>.</v>
      </c>
      <c r="AE137" s="886"/>
      <c r="AF137" s="754"/>
      <c r="AG137" s="752"/>
      <c r="AH137" s="755" t="str">
        <f t="shared" si="144"/>
        <v>.</v>
      </c>
      <c r="AI137" s="752"/>
      <c r="AJ137" s="752"/>
      <c r="AK137" s="753"/>
      <c r="AL137" s="753"/>
      <c r="AM137" s="854" t="str">
        <f t="shared" si="145"/>
        <v>.</v>
      </c>
      <c r="AN137" s="886"/>
      <c r="AO137" s="754"/>
      <c r="AP137" s="752"/>
      <c r="AQ137" s="755" t="str">
        <f t="shared" si="146"/>
        <v>.</v>
      </c>
      <c r="AR137" s="752"/>
      <c r="AS137" s="752"/>
      <c r="AT137" s="753"/>
      <c r="AU137" s="753"/>
      <c r="AV137" s="854" t="str">
        <f t="shared" si="147"/>
        <v>.</v>
      </c>
      <c r="AW137" s="886"/>
      <c r="AX137" s="754"/>
      <c r="AY137" s="752"/>
      <c r="AZ137" s="755" t="str">
        <f t="shared" si="148"/>
        <v>.</v>
      </c>
      <c r="BA137" s="752"/>
      <c r="BB137" s="752"/>
      <c r="BC137" s="753"/>
      <c r="BD137" s="753"/>
      <c r="BE137" s="854" t="str">
        <f t="shared" si="149"/>
        <v>.</v>
      </c>
      <c r="BF137" s="3"/>
    </row>
    <row r="138" spans="1:58" ht="12" x14ac:dyDescent="0.2">
      <c r="A138" s="841"/>
      <c r="B138" s="769" t="s">
        <v>585</v>
      </c>
      <c r="C138" s="820" t="str">
        <f>IF('WS3 - Notional General Income'!C136="","",'WS3 - Notional General Income'!C136)</f>
        <v/>
      </c>
      <c r="D138" s="886"/>
      <c r="E138" s="754"/>
      <c r="F138" s="752"/>
      <c r="G138" s="755" t="str">
        <f t="shared" si="138"/>
        <v>.</v>
      </c>
      <c r="H138" s="752"/>
      <c r="I138" s="752"/>
      <c r="J138" s="753"/>
      <c r="K138" s="753"/>
      <c r="L138" s="854" t="str">
        <f t="shared" si="139"/>
        <v>.</v>
      </c>
      <c r="M138" s="886"/>
      <c r="N138" s="754"/>
      <c r="O138" s="752"/>
      <c r="P138" s="755" t="str">
        <f t="shared" si="140"/>
        <v>.</v>
      </c>
      <c r="Q138" s="752"/>
      <c r="R138" s="752"/>
      <c r="S138" s="753"/>
      <c r="T138" s="753"/>
      <c r="U138" s="854" t="str">
        <f t="shared" si="141"/>
        <v>.</v>
      </c>
      <c r="V138" s="886"/>
      <c r="W138" s="754"/>
      <c r="X138" s="752"/>
      <c r="Y138" s="755" t="str">
        <f t="shared" si="142"/>
        <v>.</v>
      </c>
      <c r="Z138" s="752"/>
      <c r="AA138" s="752"/>
      <c r="AB138" s="753"/>
      <c r="AC138" s="753"/>
      <c r="AD138" s="854" t="str">
        <f t="shared" si="143"/>
        <v>.</v>
      </c>
      <c r="AE138" s="886"/>
      <c r="AF138" s="754"/>
      <c r="AG138" s="752"/>
      <c r="AH138" s="755" t="str">
        <f t="shared" si="144"/>
        <v>.</v>
      </c>
      <c r="AI138" s="752"/>
      <c r="AJ138" s="752"/>
      <c r="AK138" s="753"/>
      <c r="AL138" s="753"/>
      <c r="AM138" s="854" t="str">
        <f t="shared" si="145"/>
        <v>.</v>
      </c>
      <c r="AN138" s="886"/>
      <c r="AO138" s="754"/>
      <c r="AP138" s="752"/>
      <c r="AQ138" s="755" t="str">
        <f t="shared" si="146"/>
        <v>.</v>
      </c>
      <c r="AR138" s="752"/>
      <c r="AS138" s="752"/>
      <c r="AT138" s="753"/>
      <c r="AU138" s="753"/>
      <c r="AV138" s="854" t="str">
        <f t="shared" si="147"/>
        <v>.</v>
      </c>
      <c r="AW138" s="886"/>
      <c r="AX138" s="754"/>
      <c r="AY138" s="752"/>
      <c r="AZ138" s="755" t="str">
        <f t="shared" si="148"/>
        <v>.</v>
      </c>
      <c r="BA138" s="752"/>
      <c r="BB138" s="752"/>
      <c r="BC138" s="753"/>
      <c r="BD138" s="753"/>
      <c r="BE138" s="854" t="str">
        <f t="shared" si="149"/>
        <v>.</v>
      </c>
      <c r="BF138" s="3"/>
    </row>
    <row r="139" spans="1:58" ht="12" x14ac:dyDescent="0.2">
      <c r="A139" s="841"/>
      <c r="B139" s="769" t="s">
        <v>585</v>
      </c>
      <c r="C139" s="820" t="str">
        <f>IF('WS3 - Notional General Income'!C137="","",'WS3 - Notional General Income'!C137)</f>
        <v/>
      </c>
      <c r="D139" s="886"/>
      <c r="E139" s="754"/>
      <c r="F139" s="752"/>
      <c r="G139" s="755" t="str">
        <f t="shared" si="138"/>
        <v>.</v>
      </c>
      <c r="H139" s="752"/>
      <c r="I139" s="752"/>
      <c r="J139" s="753"/>
      <c r="K139" s="753"/>
      <c r="L139" s="854" t="str">
        <f t="shared" si="139"/>
        <v>.</v>
      </c>
      <c r="M139" s="886"/>
      <c r="N139" s="754"/>
      <c r="O139" s="752"/>
      <c r="P139" s="755" t="str">
        <f t="shared" si="140"/>
        <v>.</v>
      </c>
      <c r="Q139" s="752"/>
      <c r="R139" s="752"/>
      <c r="S139" s="753"/>
      <c r="T139" s="753"/>
      <c r="U139" s="854" t="str">
        <f t="shared" si="141"/>
        <v>.</v>
      </c>
      <c r="V139" s="886"/>
      <c r="W139" s="754"/>
      <c r="X139" s="752"/>
      <c r="Y139" s="755" t="str">
        <f t="shared" si="142"/>
        <v>.</v>
      </c>
      <c r="Z139" s="752"/>
      <c r="AA139" s="752"/>
      <c r="AB139" s="753"/>
      <c r="AC139" s="753"/>
      <c r="AD139" s="854" t="str">
        <f t="shared" si="143"/>
        <v>.</v>
      </c>
      <c r="AE139" s="886"/>
      <c r="AF139" s="754"/>
      <c r="AG139" s="752"/>
      <c r="AH139" s="755" t="str">
        <f t="shared" si="144"/>
        <v>.</v>
      </c>
      <c r="AI139" s="752"/>
      <c r="AJ139" s="752"/>
      <c r="AK139" s="753"/>
      <c r="AL139" s="753"/>
      <c r="AM139" s="854" t="str">
        <f t="shared" si="145"/>
        <v>.</v>
      </c>
      <c r="AN139" s="886"/>
      <c r="AO139" s="754"/>
      <c r="AP139" s="752"/>
      <c r="AQ139" s="755" t="str">
        <f t="shared" si="146"/>
        <v>.</v>
      </c>
      <c r="AR139" s="752"/>
      <c r="AS139" s="752"/>
      <c r="AT139" s="753"/>
      <c r="AU139" s="753"/>
      <c r="AV139" s="854" t="str">
        <f t="shared" si="147"/>
        <v>.</v>
      </c>
      <c r="AW139" s="886"/>
      <c r="AX139" s="754"/>
      <c r="AY139" s="752"/>
      <c r="AZ139" s="755" t="str">
        <f t="shared" si="148"/>
        <v>.</v>
      </c>
      <c r="BA139" s="752"/>
      <c r="BB139" s="752"/>
      <c r="BC139" s="753"/>
      <c r="BD139" s="753"/>
      <c r="BE139" s="854" t="str">
        <f t="shared" si="149"/>
        <v>.</v>
      </c>
      <c r="BF139" s="3"/>
    </row>
    <row r="140" spans="1:58" ht="12" x14ac:dyDescent="0.2">
      <c r="A140" s="841"/>
      <c r="B140" s="769" t="s">
        <v>585</v>
      </c>
      <c r="C140" s="820" t="str">
        <f>IF('WS3 - Notional General Income'!C138="","",'WS3 - Notional General Income'!C138)</f>
        <v/>
      </c>
      <c r="D140" s="886"/>
      <c r="E140" s="754"/>
      <c r="F140" s="752"/>
      <c r="G140" s="755" t="str">
        <f t="shared" si="138"/>
        <v>.</v>
      </c>
      <c r="H140" s="752"/>
      <c r="I140" s="752"/>
      <c r="J140" s="753"/>
      <c r="K140" s="753"/>
      <c r="L140" s="854" t="str">
        <f t="shared" si="139"/>
        <v>.</v>
      </c>
      <c r="M140" s="886"/>
      <c r="N140" s="754"/>
      <c r="O140" s="752"/>
      <c r="P140" s="755" t="str">
        <f t="shared" si="140"/>
        <v>.</v>
      </c>
      <c r="Q140" s="752"/>
      <c r="R140" s="752"/>
      <c r="S140" s="753"/>
      <c r="T140" s="753"/>
      <c r="U140" s="854" t="str">
        <f t="shared" si="141"/>
        <v>.</v>
      </c>
      <c r="V140" s="886"/>
      <c r="W140" s="754"/>
      <c r="X140" s="752"/>
      <c r="Y140" s="755" t="str">
        <f t="shared" si="142"/>
        <v>.</v>
      </c>
      <c r="Z140" s="752"/>
      <c r="AA140" s="752"/>
      <c r="AB140" s="753"/>
      <c r="AC140" s="753"/>
      <c r="AD140" s="854" t="str">
        <f t="shared" si="143"/>
        <v>.</v>
      </c>
      <c r="AE140" s="886"/>
      <c r="AF140" s="754"/>
      <c r="AG140" s="752"/>
      <c r="AH140" s="755" t="str">
        <f t="shared" si="144"/>
        <v>.</v>
      </c>
      <c r="AI140" s="752"/>
      <c r="AJ140" s="752"/>
      <c r="AK140" s="753"/>
      <c r="AL140" s="753"/>
      <c r="AM140" s="854" t="str">
        <f t="shared" si="145"/>
        <v>.</v>
      </c>
      <c r="AN140" s="886"/>
      <c r="AO140" s="754"/>
      <c r="AP140" s="752"/>
      <c r="AQ140" s="755" t="str">
        <f t="shared" si="146"/>
        <v>.</v>
      </c>
      <c r="AR140" s="752"/>
      <c r="AS140" s="752"/>
      <c r="AT140" s="753"/>
      <c r="AU140" s="753"/>
      <c r="AV140" s="854" t="str">
        <f t="shared" si="147"/>
        <v>.</v>
      </c>
      <c r="AW140" s="886"/>
      <c r="AX140" s="754"/>
      <c r="AY140" s="752"/>
      <c r="AZ140" s="755" t="str">
        <f t="shared" si="148"/>
        <v>.</v>
      </c>
      <c r="BA140" s="752"/>
      <c r="BB140" s="752"/>
      <c r="BC140" s="753"/>
      <c r="BD140" s="753"/>
      <c r="BE140" s="854" t="str">
        <f t="shared" si="149"/>
        <v>.</v>
      </c>
      <c r="BF140" s="3"/>
    </row>
    <row r="141" spans="1:58" ht="12" x14ac:dyDescent="0.2">
      <c r="A141" s="841"/>
      <c r="B141" s="769" t="s">
        <v>585</v>
      </c>
      <c r="C141" s="820" t="str">
        <f>IF('WS3 - Notional General Income'!C139="","",'WS3 - Notional General Income'!C139)</f>
        <v/>
      </c>
      <c r="D141" s="886"/>
      <c r="E141" s="754"/>
      <c r="F141" s="752"/>
      <c r="G141" s="755" t="str">
        <f t="shared" si="138"/>
        <v>.</v>
      </c>
      <c r="H141" s="752"/>
      <c r="I141" s="752"/>
      <c r="J141" s="753"/>
      <c r="K141" s="753"/>
      <c r="L141" s="854" t="str">
        <f t="shared" si="139"/>
        <v>.</v>
      </c>
      <c r="M141" s="886"/>
      <c r="N141" s="754"/>
      <c r="O141" s="752"/>
      <c r="P141" s="755" t="str">
        <f t="shared" si="140"/>
        <v>.</v>
      </c>
      <c r="Q141" s="752"/>
      <c r="R141" s="752"/>
      <c r="S141" s="753"/>
      <c r="T141" s="753"/>
      <c r="U141" s="854" t="str">
        <f t="shared" si="141"/>
        <v>.</v>
      </c>
      <c r="V141" s="886"/>
      <c r="W141" s="754"/>
      <c r="X141" s="752"/>
      <c r="Y141" s="755" t="str">
        <f t="shared" si="142"/>
        <v>.</v>
      </c>
      <c r="Z141" s="752"/>
      <c r="AA141" s="752"/>
      <c r="AB141" s="753"/>
      <c r="AC141" s="753"/>
      <c r="AD141" s="854" t="str">
        <f t="shared" si="143"/>
        <v>.</v>
      </c>
      <c r="AE141" s="886"/>
      <c r="AF141" s="754"/>
      <c r="AG141" s="752"/>
      <c r="AH141" s="755" t="str">
        <f t="shared" si="144"/>
        <v>.</v>
      </c>
      <c r="AI141" s="752"/>
      <c r="AJ141" s="752"/>
      <c r="AK141" s="753"/>
      <c r="AL141" s="753"/>
      <c r="AM141" s="854" t="str">
        <f t="shared" si="145"/>
        <v>.</v>
      </c>
      <c r="AN141" s="886"/>
      <c r="AO141" s="754"/>
      <c r="AP141" s="752"/>
      <c r="AQ141" s="755" t="str">
        <f t="shared" si="146"/>
        <v>.</v>
      </c>
      <c r="AR141" s="752"/>
      <c r="AS141" s="752"/>
      <c r="AT141" s="753"/>
      <c r="AU141" s="753"/>
      <c r="AV141" s="854" t="str">
        <f t="shared" si="147"/>
        <v>.</v>
      </c>
      <c r="AW141" s="886"/>
      <c r="AX141" s="754"/>
      <c r="AY141" s="752"/>
      <c r="AZ141" s="755" t="str">
        <f t="shared" si="148"/>
        <v>.</v>
      </c>
      <c r="BA141" s="752"/>
      <c r="BB141" s="752"/>
      <c r="BC141" s="753"/>
      <c r="BD141" s="753"/>
      <c r="BE141" s="854" t="str">
        <f t="shared" si="149"/>
        <v>.</v>
      </c>
      <c r="BF141" s="3"/>
    </row>
    <row r="142" spans="1:58" ht="12" x14ac:dyDescent="0.2">
      <c r="A142" s="841"/>
      <c r="B142" s="769" t="s">
        <v>585</v>
      </c>
      <c r="C142" s="820" t="str">
        <f>IF('WS3 - Notional General Income'!C140="","",'WS3 - Notional General Income'!C140)</f>
        <v/>
      </c>
      <c r="D142" s="886"/>
      <c r="E142" s="754"/>
      <c r="F142" s="752"/>
      <c r="G142" s="755" t="str">
        <f t="shared" si="138"/>
        <v>.</v>
      </c>
      <c r="H142" s="752"/>
      <c r="I142" s="752"/>
      <c r="J142" s="753"/>
      <c r="K142" s="753"/>
      <c r="L142" s="854" t="str">
        <f t="shared" si="139"/>
        <v>.</v>
      </c>
      <c r="M142" s="886"/>
      <c r="N142" s="754"/>
      <c r="O142" s="752"/>
      <c r="P142" s="755" t="str">
        <f t="shared" si="140"/>
        <v>.</v>
      </c>
      <c r="Q142" s="752"/>
      <c r="R142" s="752"/>
      <c r="S142" s="753"/>
      <c r="T142" s="753"/>
      <c r="U142" s="854" t="str">
        <f t="shared" si="141"/>
        <v>.</v>
      </c>
      <c r="V142" s="886"/>
      <c r="W142" s="754"/>
      <c r="X142" s="752"/>
      <c r="Y142" s="755" t="str">
        <f t="shared" si="142"/>
        <v>.</v>
      </c>
      <c r="Z142" s="752"/>
      <c r="AA142" s="752"/>
      <c r="AB142" s="753"/>
      <c r="AC142" s="753"/>
      <c r="AD142" s="854" t="str">
        <f t="shared" si="143"/>
        <v>.</v>
      </c>
      <c r="AE142" s="886"/>
      <c r="AF142" s="754"/>
      <c r="AG142" s="752"/>
      <c r="AH142" s="755" t="str">
        <f t="shared" si="144"/>
        <v>.</v>
      </c>
      <c r="AI142" s="752"/>
      <c r="AJ142" s="752"/>
      <c r="AK142" s="753"/>
      <c r="AL142" s="753"/>
      <c r="AM142" s="854" t="str">
        <f t="shared" si="145"/>
        <v>.</v>
      </c>
      <c r="AN142" s="886"/>
      <c r="AO142" s="754"/>
      <c r="AP142" s="752"/>
      <c r="AQ142" s="755" t="str">
        <f t="shared" si="146"/>
        <v>.</v>
      </c>
      <c r="AR142" s="752"/>
      <c r="AS142" s="752"/>
      <c r="AT142" s="753"/>
      <c r="AU142" s="753"/>
      <c r="AV142" s="854" t="str">
        <f t="shared" si="147"/>
        <v>.</v>
      </c>
      <c r="AW142" s="886"/>
      <c r="AX142" s="754"/>
      <c r="AY142" s="752"/>
      <c r="AZ142" s="755" t="str">
        <f t="shared" si="148"/>
        <v>.</v>
      </c>
      <c r="BA142" s="752"/>
      <c r="BB142" s="752"/>
      <c r="BC142" s="753"/>
      <c r="BD142" s="753"/>
      <c r="BE142" s="854" t="str">
        <f t="shared" si="149"/>
        <v>.</v>
      </c>
      <c r="BF142" s="3"/>
    </row>
    <row r="143" spans="1:58" ht="12" x14ac:dyDescent="0.2">
      <c r="A143" s="841"/>
      <c r="B143" s="769" t="s">
        <v>585</v>
      </c>
      <c r="C143" s="820" t="str">
        <f>IF('WS3 - Notional General Income'!C141="","",'WS3 - Notional General Income'!C141)</f>
        <v/>
      </c>
      <c r="D143" s="886"/>
      <c r="E143" s="754"/>
      <c r="F143" s="752"/>
      <c r="G143" s="755" t="str">
        <f t="shared" si="138"/>
        <v>.</v>
      </c>
      <c r="H143" s="752"/>
      <c r="I143" s="752"/>
      <c r="J143" s="753"/>
      <c r="K143" s="753"/>
      <c r="L143" s="854" t="str">
        <f t="shared" si="139"/>
        <v>.</v>
      </c>
      <c r="M143" s="886"/>
      <c r="N143" s="754"/>
      <c r="O143" s="752"/>
      <c r="P143" s="755" t="str">
        <f t="shared" si="140"/>
        <v>.</v>
      </c>
      <c r="Q143" s="752"/>
      <c r="R143" s="752"/>
      <c r="S143" s="753"/>
      <c r="T143" s="753"/>
      <c r="U143" s="854" t="str">
        <f t="shared" si="141"/>
        <v>.</v>
      </c>
      <c r="V143" s="886"/>
      <c r="W143" s="754"/>
      <c r="X143" s="752"/>
      <c r="Y143" s="755" t="str">
        <f t="shared" si="142"/>
        <v>.</v>
      </c>
      <c r="Z143" s="752"/>
      <c r="AA143" s="752"/>
      <c r="AB143" s="753"/>
      <c r="AC143" s="753"/>
      <c r="AD143" s="854" t="str">
        <f t="shared" si="143"/>
        <v>.</v>
      </c>
      <c r="AE143" s="886"/>
      <c r="AF143" s="754"/>
      <c r="AG143" s="752"/>
      <c r="AH143" s="755" t="str">
        <f t="shared" si="144"/>
        <v>.</v>
      </c>
      <c r="AI143" s="752"/>
      <c r="AJ143" s="752"/>
      <c r="AK143" s="753"/>
      <c r="AL143" s="753"/>
      <c r="AM143" s="854" t="str">
        <f t="shared" si="145"/>
        <v>.</v>
      </c>
      <c r="AN143" s="886"/>
      <c r="AO143" s="754"/>
      <c r="AP143" s="752"/>
      <c r="AQ143" s="755" t="str">
        <f t="shared" si="146"/>
        <v>.</v>
      </c>
      <c r="AR143" s="752"/>
      <c r="AS143" s="752"/>
      <c r="AT143" s="753"/>
      <c r="AU143" s="753"/>
      <c r="AV143" s="854" t="str">
        <f t="shared" si="147"/>
        <v>.</v>
      </c>
      <c r="AW143" s="886"/>
      <c r="AX143" s="754"/>
      <c r="AY143" s="752"/>
      <c r="AZ143" s="755" t="str">
        <f t="shared" si="148"/>
        <v>.</v>
      </c>
      <c r="BA143" s="752"/>
      <c r="BB143" s="752"/>
      <c r="BC143" s="753"/>
      <c r="BD143" s="753"/>
      <c r="BE143" s="854" t="str">
        <f t="shared" si="149"/>
        <v>.</v>
      </c>
      <c r="BF143" s="3"/>
    </row>
    <row r="144" spans="1:58" ht="12" x14ac:dyDescent="0.2">
      <c r="A144" s="841"/>
      <c r="B144" s="769" t="s">
        <v>585</v>
      </c>
      <c r="C144" s="820" t="str">
        <f>IF('WS3 - Notional General Income'!C142="","",'WS3 - Notional General Income'!C142)</f>
        <v/>
      </c>
      <c r="D144" s="886"/>
      <c r="E144" s="754"/>
      <c r="F144" s="752"/>
      <c r="G144" s="755" t="str">
        <f t="shared" si="138"/>
        <v>.</v>
      </c>
      <c r="H144" s="752"/>
      <c r="I144" s="752"/>
      <c r="J144" s="753"/>
      <c r="K144" s="753"/>
      <c r="L144" s="854" t="str">
        <f t="shared" si="139"/>
        <v>.</v>
      </c>
      <c r="M144" s="886"/>
      <c r="N144" s="754"/>
      <c r="O144" s="752"/>
      <c r="P144" s="755" t="str">
        <f t="shared" si="140"/>
        <v>.</v>
      </c>
      <c r="Q144" s="752"/>
      <c r="R144" s="752"/>
      <c r="S144" s="753"/>
      <c r="T144" s="753"/>
      <c r="U144" s="854" t="str">
        <f t="shared" si="141"/>
        <v>.</v>
      </c>
      <c r="V144" s="886"/>
      <c r="W144" s="754"/>
      <c r="X144" s="752"/>
      <c r="Y144" s="755" t="str">
        <f t="shared" si="142"/>
        <v>.</v>
      </c>
      <c r="Z144" s="752"/>
      <c r="AA144" s="752"/>
      <c r="AB144" s="753"/>
      <c r="AC144" s="753"/>
      <c r="AD144" s="854" t="str">
        <f t="shared" si="143"/>
        <v>.</v>
      </c>
      <c r="AE144" s="886"/>
      <c r="AF144" s="754"/>
      <c r="AG144" s="752"/>
      <c r="AH144" s="755" t="str">
        <f t="shared" si="144"/>
        <v>.</v>
      </c>
      <c r="AI144" s="752"/>
      <c r="AJ144" s="752"/>
      <c r="AK144" s="753"/>
      <c r="AL144" s="753"/>
      <c r="AM144" s="854" t="str">
        <f t="shared" si="145"/>
        <v>.</v>
      </c>
      <c r="AN144" s="886"/>
      <c r="AO144" s="754"/>
      <c r="AP144" s="752"/>
      <c r="AQ144" s="755" t="str">
        <f t="shared" si="146"/>
        <v>.</v>
      </c>
      <c r="AR144" s="752"/>
      <c r="AS144" s="752"/>
      <c r="AT144" s="753"/>
      <c r="AU144" s="753"/>
      <c r="AV144" s="854" t="str">
        <f t="shared" si="147"/>
        <v>.</v>
      </c>
      <c r="AW144" s="886"/>
      <c r="AX144" s="754"/>
      <c r="AY144" s="752"/>
      <c r="AZ144" s="755" t="str">
        <f t="shared" si="148"/>
        <v>.</v>
      </c>
      <c r="BA144" s="752"/>
      <c r="BB144" s="752"/>
      <c r="BC144" s="753"/>
      <c r="BD144" s="753"/>
      <c r="BE144" s="854" t="str">
        <f t="shared" si="149"/>
        <v>.</v>
      </c>
      <c r="BF144" s="3"/>
    </row>
    <row r="145" spans="1:58" ht="12" x14ac:dyDescent="0.2">
      <c r="A145" s="841"/>
      <c r="B145" s="769" t="s">
        <v>585</v>
      </c>
      <c r="C145" s="820" t="str">
        <f>IF('WS3 - Notional General Income'!C143="","",'WS3 - Notional General Income'!C143)</f>
        <v/>
      </c>
      <c r="D145" s="886"/>
      <c r="E145" s="754"/>
      <c r="F145" s="752"/>
      <c r="G145" s="755" t="str">
        <f t="shared" si="138"/>
        <v>.</v>
      </c>
      <c r="H145" s="752"/>
      <c r="I145" s="752"/>
      <c r="J145" s="753"/>
      <c r="K145" s="753"/>
      <c r="L145" s="854" t="str">
        <f t="shared" si="139"/>
        <v>.</v>
      </c>
      <c r="M145" s="886"/>
      <c r="N145" s="754"/>
      <c r="O145" s="752"/>
      <c r="P145" s="755" t="str">
        <f t="shared" si="140"/>
        <v>.</v>
      </c>
      <c r="Q145" s="752"/>
      <c r="R145" s="752"/>
      <c r="S145" s="753"/>
      <c r="T145" s="753"/>
      <c r="U145" s="854" t="str">
        <f t="shared" si="141"/>
        <v>.</v>
      </c>
      <c r="V145" s="886"/>
      <c r="W145" s="754"/>
      <c r="X145" s="752"/>
      <c r="Y145" s="755" t="str">
        <f t="shared" si="142"/>
        <v>.</v>
      </c>
      <c r="Z145" s="752"/>
      <c r="AA145" s="752"/>
      <c r="AB145" s="753"/>
      <c r="AC145" s="753"/>
      <c r="AD145" s="854" t="str">
        <f t="shared" si="143"/>
        <v>.</v>
      </c>
      <c r="AE145" s="886"/>
      <c r="AF145" s="754"/>
      <c r="AG145" s="752"/>
      <c r="AH145" s="755" t="str">
        <f t="shared" si="144"/>
        <v>.</v>
      </c>
      <c r="AI145" s="752"/>
      <c r="AJ145" s="752"/>
      <c r="AK145" s="753"/>
      <c r="AL145" s="753"/>
      <c r="AM145" s="854" t="str">
        <f t="shared" si="145"/>
        <v>.</v>
      </c>
      <c r="AN145" s="886"/>
      <c r="AO145" s="754"/>
      <c r="AP145" s="752"/>
      <c r="AQ145" s="755" t="str">
        <f t="shared" si="146"/>
        <v>.</v>
      </c>
      <c r="AR145" s="752"/>
      <c r="AS145" s="752"/>
      <c r="AT145" s="753"/>
      <c r="AU145" s="753"/>
      <c r="AV145" s="854" t="str">
        <f t="shared" si="147"/>
        <v>.</v>
      </c>
      <c r="AW145" s="886"/>
      <c r="AX145" s="754"/>
      <c r="AY145" s="752"/>
      <c r="AZ145" s="755" t="str">
        <f t="shared" si="148"/>
        <v>.</v>
      </c>
      <c r="BA145" s="752"/>
      <c r="BB145" s="752"/>
      <c r="BC145" s="753"/>
      <c r="BD145" s="753"/>
      <c r="BE145" s="854" t="str">
        <f t="shared" si="149"/>
        <v>.</v>
      </c>
      <c r="BF145" s="3"/>
    </row>
    <row r="146" spans="1:58" ht="12" x14ac:dyDescent="0.2">
      <c r="A146" s="841"/>
      <c r="B146" s="769" t="s">
        <v>585</v>
      </c>
      <c r="C146" s="820" t="str">
        <f>IF('WS3 - Notional General Income'!C144="","",'WS3 - Notional General Income'!C144)</f>
        <v/>
      </c>
      <c r="D146" s="886"/>
      <c r="E146" s="754"/>
      <c r="F146" s="752"/>
      <c r="G146" s="755" t="str">
        <f t="shared" si="138"/>
        <v>.</v>
      </c>
      <c r="H146" s="752"/>
      <c r="I146" s="752"/>
      <c r="J146" s="753"/>
      <c r="K146" s="753"/>
      <c r="L146" s="854" t="str">
        <f t="shared" si="139"/>
        <v>.</v>
      </c>
      <c r="M146" s="886"/>
      <c r="N146" s="754"/>
      <c r="O146" s="752"/>
      <c r="P146" s="755" t="str">
        <f t="shared" si="140"/>
        <v>.</v>
      </c>
      <c r="Q146" s="752"/>
      <c r="R146" s="752"/>
      <c r="S146" s="753"/>
      <c r="T146" s="753"/>
      <c r="U146" s="854" t="str">
        <f t="shared" si="141"/>
        <v>.</v>
      </c>
      <c r="V146" s="886"/>
      <c r="W146" s="754"/>
      <c r="X146" s="752"/>
      <c r="Y146" s="755" t="str">
        <f t="shared" si="142"/>
        <v>.</v>
      </c>
      <c r="Z146" s="752"/>
      <c r="AA146" s="752"/>
      <c r="AB146" s="753"/>
      <c r="AC146" s="753"/>
      <c r="AD146" s="854" t="str">
        <f t="shared" si="143"/>
        <v>.</v>
      </c>
      <c r="AE146" s="886"/>
      <c r="AF146" s="754"/>
      <c r="AG146" s="752"/>
      <c r="AH146" s="755" t="str">
        <f t="shared" si="144"/>
        <v>.</v>
      </c>
      <c r="AI146" s="752"/>
      <c r="AJ146" s="752"/>
      <c r="AK146" s="753"/>
      <c r="AL146" s="753"/>
      <c r="AM146" s="854" t="str">
        <f t="shared" si="145"/>
        <v>.</v>
      </c>
      <c r="AN146" s="886"/>
      <c r="AO146" s="754"/>
      <c r="AP146" s="752"/>
      <c r="AQ146" s="755" t="str">
        <f t="shared" si="146"/>
        <v>.</v>
      </c>
      <c r="AR146" s="752"/>
      <c r="AS146" s="752"/>
      <c r="AT146" s="753"/>
      <c r="AU146" s="753"/>
      <c r="AV146" s="854" t="str">
        <f t="shared" si="147"/>
        <v>.</v>
      </c>
      <c r="AW146" s="886"/>
      <c r="AX146" s="754"/>
      <c r="AY146" s="752"/>
      <c r="AZ146" s="755" t="str">
        <f t="shared" si="148"/>
        <v>.</v>
      </c>
      <c r="BA146" s="752"/>
      <c r="BB146" s="752"/>
      <c r="BC146" s="753"/>
      <c r="BD146" s="753"/>
      <c r="BE146" s="854" t="str">
        <f t="shared" si="149"/>
        <v>.</v>
      </c>
      <c r="BF146" s="3"/>
    </row>
    <row r="147" spans="1:58" ht="12" x14ac:dyDescent="0.2">
      <c r="A147" s="841"/>
      <c r="B147" s="779" t="s">
        <v>585</v>
      </c>
      <c r="C147" s="821" t="str">
        <f>IF('WS3 - Notional General Income'!C145="","",'WS3 - Notional General Income'!C145)</f>
        <v/>
      </c>
      <c r="D147" s="895"/>
      <c r="E147" s="781"/>
      <c r="F147" s="780"/>
      <c r="G147" s="782" t="str">
        <f t="shared" si="138"/>
        <v>.</v>
      </c>
      <c r="H147" s="780"/>
      <c r="I147" s="780"/>
      <c r="J147" s="783"/>
      <c r="K147" s="783"/>
      <c r="L147" s="854" t="str">
        <f t="shared" si="139"/>
        <v>.</v>
      </c>
      <c r="M147" s="895"/>
      <c r="N147" s="781"/>
      <c r="O147" s="780"/>
      <c r="P147" s="782" t="str">
        <f t="shared" si="140"/>
        <v>.</v>
      </c>
      <c r="Q147" s="780"/>
      <c r="R147" s="780"/>
      <c r="S147" s="783"/>
      <c r="T147" s="783"/>
      <c r="U147" s="896" t="str">
        <f t="shared" si="141"/>
        <v>.</v>
      </c>
      <c r="V147" s="895"/>
      <c r="W147" s="781"/>
      <c r="X147" s="780"/>
      <c r="Y147" s="782" t="str">
        <f t="shared" si="142"/>
        <v>.</v>
      </c>
      <c r="Z147" s="780"/>
      <c r="AA147" s="780"/>
      <c r="AB147" s="783"/>
      <c r="AC147" s="783"/>
      <c r="AD147" s="896" t="str">
        <f t="shared" si="143"/>
        <v>.</v>
      </c>
      <c r="AE147" s="895"/>
      <c r="AF147" s="781"/>
      <c r="AG147" s="780"/>
      <c r="AH147" s="782" t="str">
        <f t="shared" si="144"/>
        <v>.</v>
      </c>
      <c r="AI147" s="780"/>
      <c r="AJ147" s="780"/>
      <c r="AK147" s="783"/>
      <c r="AL147" s="783"/>
      <c r="AM147" s="896" t="str">
        <f t="shared" si="145"/>
        <v>.</v>
      </c>
      <c r="AN147" s="895"/>
      <c r="AO147" s="781"/>
      <c r="AP147" s="780"/>
      <c r="AQ147" s="782" t="str">
        <f t="shared" si="146"/>
        <v>.</v>
      </c>
      <c r="AR147" s="780"/>
      <c r="AS147" s="780"/>
      <c r="AT147" s="783"/>
      <c r="AU147" s="783"/>
      <c r="AV147" s="896" t="str">
        <f t="shared" si="147"/>
        <v>.</v>
      </c>
      <c r="AW147" s="895"/>
      <c r="AX147" s="781"/>
      <c r="AY147" s="780"/>
      <c r="AZ147" s="782" t="str">
        <f t="shared" si="148"/>
        <v>.</v>
      </c>
      <c r="BA147" s="780"/>
      <c r="BB147" s="780"/>
      <c r="BC147" s="783"/>
      <c r="BD147" s="783"/>
      <c r="BE147" s="896" t="str">
        <f t="shared" si="149"/>
        <v>.</v>
      </c>
      <c r="BF147" s="3"/>
    </row>
    <row r="148" spans="1:58" ht="12" x14ac:dyDescent="0.2">
      <c r="A148" s="841"/>
      <c r="B148" s="290"/>
      <c r="C148" s="299"/>
      <c r="D148" s="887"/>
      <c r="E148" s="290"/>
      <c r="F148" s="772"/>
      <c r="G148" s="290"/>
      <c r="H148" s="290"/>
      <c r="I148" s="290"/>
      <c r="J148" s="773"/>
      <c r="K148" s="774" t="s">
        <v>589</v>
      </c>
      <c r="L148" s="857">
        <f>SUM(L98:L147)</f>
        <v>0</v>
      </c>
      <c r="M148" s="887"/>
      <c r="N148" s="290"/>
      <c r="O148" s="772"/>
      <c r="P148" s="290"/>
      <c r="Q148" s="290"/>
      <c r="R148" s="290"/>
      <c r="S148" s="773"/>
      <c r="T148" s="774" t="s">
        <v>589</v>
      </c>
      <c r="U148" s="857">
        <f>SUM(U98:U147)</f>
        <v>0</v>
      </c>
      <c r="V148" s="887"/>
      <c r="W148" s="290"/>
      <c r="X148" s="772"/>
      <c r="Y148" s="290"/>
      <c r="Z148" s="290"/>
      <c r="AA148" s="290"/>
      <c r="AB148" s="773"/>
      <c r="AC148" s="774" t="s">
        <v>589</v>
      </c>
      <c r="AD148" s="857">
        <f>SUM(AD98:AD147)</f>
        <v>0</v>
      </c>
      <c r="AE148" s="887"/>
      <c r="AF148" s="290"/>
      <c r="AG148" s="772"/>
      <c r="AH148" s="290"/>
      <c r="AI148" s="290"/>
      <c r="AJ148" s="290"/>
      <c r="AK148" s="773"/>
      <c r="AL148" s="774" t="s">
        <v>589</v>
      </c>
      <c r="AM148" s="857">
        <f>SUM(AM98:AM147)</f>
        <v>0</v>
      </c>
      <c r="AN148" s="887"/>
      <c r="AO148" s="290"/>
      <c r="AP148" s="772"/>
      <c r="AQ148" s="290"/>
      <c r="AR148" s="290"/>
      <c r="AS148" s="290"/>
      <c r="AT148" s="773"/>
      <c r="AU148" s="774" t="s">
        <v>589</v>
      </c>
      <c r="AV148" s="857">
        <f>SUM(AV98:AV147)</f>
        <v>0</v>
      </c>
      <c r="AW148" s="887"/>
      <c r="AX148" s="290"/>
      <c r="AY148" s="772"/>
      <c r="AZ148" s="290"/>
      <c r="BA148" s="290"/>
      <c r="BB148" s="290"/>
      <c r="BC148" s="773"/>
      <c r="BD148" s="774" t="s">
        <v>589</v>
      </c>
      <c r="BE148" s="857">
        <f>SUM(BE98:BE147)</f>
        <v>0</v>
      </c>
      <c r="BF148" s="3"/>
    </row>
    <row r="149" spans="1:58" x14ac:dyDescent="0.2">
      <c r="A149" s="841"/>
      <c r="B149" s="878"/>
      <c r="C149" s="815"/>
      <c r="D149" s="862"/>
      <c r="E149" s="776"/>
      <c r="F149" s="879"/>
      <c r="G149" s="776"/>
      <c r="H149" s="776"/>
      <c r="I149" s="776"/>
      <c r="J149" s="776"/>
      <c r="K149" s="880"/>
      <c r="L149" s="881"/>
      <c r="M149" s="862"/>
      <c r="N149" s="776"/>
      <c r="O149" s="879"/>
      <c r="P149" s="776"/>
      <c r="Q149" s="776"/>
      <c r="R149" s="776"/>
      <c r="S149" s="776"/>
      <c r="T149" s="880"/>
      <c r="U149" s="881"/>
      <c r="V149" s="862"/>
      <c r="W149" s="776"/>
      <c r="X149" s="879"/>
      <c r="Y149" s="776"/>
      <c r="Z149" s="776"/>
      <c r="AA149" s="776"/>
      <c r="AB149" s="776"/>
      <c r="AC149" s="880"/>
      <c r="AD149" s="881"/>
      <c r="AE149" s="862"/>
      <c r="AF149" s="776"/>
      <c r="AG149" s="879"/>
      <c r="AH149" s="776"/>
      <c r="AI149" s="776"/>
      <c r="AJ149" s="776"/>
      <c r="AK149" s="776"/>
      <c r="AL149" s="880"/>
      <c r="AM149" s="881"/>
      <c r="AN149" s="862"/>
      <c r="AO149" s="776"/>
      <c r="AP149" s="879"/>
      <c r="AQ149" s="776"/>
      <c r="AR149" s="776"/>
      <c r="AS149" s="776"/>
      <c r="AT149" s="776"/>
      <c r="AU149" s="880"/>
      <c r="AV149" s="881"/>
      <c r="AW149" s="862"/>
      <c r="AX149" s="776"/>
      <c r="AY149" s="879"/>
      <c r="AZ149" s="776"/>
      <c r="BA149" s="776"/>
      <c r="BB149" s="776"/>
      <c r="BC149" s="776"/>
      <c r="BD149" s="880"/>
      <c r="BE149" s="881"/>
      <c r="BF149" s="3"/>
    </row>
    <row r="150" spans="1:58" ht="12" customHeight="1" x14ac:dyDescent="0.2">
      <c r="A150" s="841"/>
      <c r="B150" s="813"/>
      <c r="C150" s="813"/>
      <c r="D150" s="3"/>
      <c r="E150" s="3"/>
      <c r="F150" s="181"/>
      <c r="G150" s="3"/>
      <c r="H150" s="3"/>
      <c r="I150" s="3"/>
      <c r="J150" s="3"/>
      <c r="K150" s="451"/>
      <c r="L150" s="814"/>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spans="1:58" ht="12" customHeight="1" x14ac:dyDescent="0.25">
      <c r="A151" s="841"/>
      <c r="B151" s="463"/>
      <c r="C151" s="463"/>
      <c r="D151" s="3"/>
      <c r="E151" s="3"/>
      <c r="F151" s="3"/>
      <c r="G151" s="3"/>
      <c r="H151" s="3"/>
      <c r="I151" s="3"/>
      <c r="J151" s="3"/>
      <c r="K151" s="25"/>
      <c r="L151" s="25"/>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spans="1:58" ht="15.75" customHeight="1" x14ac:dyDescent="0.35">
      <c r="A152" s="841">
        <f>A95+1</f>
        <v>3</v>
      </c>
      <c r="B152" s="626" t="str">
        <f>"Table "&amp;A1&amp;"."&amp;A152&amp;": Calculation of Notional General Income - Annual Charges from "&amp;'WS0 - Input data'!L58&amp;" to "&amp;'WS0 - Input data'!Q58&amp;" ($ nominal)"</f>
        <v>Table 5.3: Calculation of Notional General Income - Annual Charges from 2025-26 to 2030-31 ($ nominal)</v>
      </c>
      <c r="D152" s="23"/>
      <c r="E152" s="23"/>
      <c r="F152" s="23"/>
      <c r="H152" s="23"/>
      <c r="I152" s="23"/>
      <c r="J152" s="23"/>
      <c r="K152" s="23"/>
      <c r="L152" s="24"/>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spans="1:58" ht="23.25" x14ac:dyDescent="0.35">
      <c r="A153" s="841"/>
      <c r="B153" s="848"/>
      <c r="C153" s="689"/>
      <c r="D153" s="884" t="str">
        <f>D96</f>
        <v>Year 2 (2025-26)</v>
      </c>
      <c r="E153" s="912"/>
      <c r="F153" s="912"/>
      <c r="G153" s="906"/>
      <c r="H153" s="912"/>
      <c r="I153" s="912"/>
      <c r="J153" s="912"/>
      <c r="K153" s="912"/>
      <c r="L153" s="913"/>
      <c r="M153" s="858" t="str">
        <f>M96</f>
        <v>Year 3 (2026-27)</v>
      </c>
      <c r="N153" s="920"/>
      <c r="O153" s="920"/>
      <c r="P153" s="920"/>
      <c r="Q153" s="920"/>
      <c r="R153" s="920"/>
      <c r="S153" s="920"/>
      <c r="T153" s="921"/>
      <c r="U153" s="922"/>
      <c r="V153" s="939" t="str">
        <f>V96</f>
        <v>Year 4 (2027-28)</v>
      </c>
      <c r="W153" s="940"/>
      <c r="X153" s="940"/>
      <c r="Y153" s="940"/>
      <c r="Z153" s="940"/>
      <c r="AA153" s="940"/>
      <c r="AB153" s="940"/>
      <c r="AC153" s="941"/>
      <c r="AD153" s="942"/>
      <c r="AE153" s="858" t="str">
        <f>AE96</f>
        <v>Year 5 (2028-29)</v>
      </c>
      <c r="AF153" s="920"/>
      <c r="AG153" s="920"/>
      <c r="AH153" s="920"/>
      <c r="AI153" s="920"/>
      <c r="AJ153" s="920"/>
      <c r="AK153" s="920"/>
      <c r="AL153" s="921"/>
      <c r="AM153" s="922"/>
      <c r="AN153" s="939" t="str">
        <f>AN96</f>
        <v>Year 6 (2029-30)</v>
      </c>
      <c r="AO153" s="940"/>
      <c r="AP153" s="940"/>
      <c r="AQ153" s="940"/>
      <c r="AR153" s="940"/>
      <c r="AS153" s="940"/>
      <c r="AT153" s="940"/>
      <c r="AU153" s="941"/>
      <c r="AV153" s="942"/>
      <c r="AW153" s="858" t="str">
        <f>AW96</f>
        <v>Year 7 (2030-31)</v>
      </c>
      <c r="AX153" s="920"/>
      <c r="AY153" s="920"/>
      <c r="AZ153" s="920"/>
      <c r="BA153" s="920"/>
      <c r="BB153" s="920"/>
      <c r="BC153" s="920"/>
      <c r="BD153" s="921"/>
      <c r="BE153" s="922"/>
      <c r="BF153" s="3"/>
    </row>
    <row r="154" spans="1:58" ht="36" x14ac:dyDescent="0.2">
      <c r="A154" s="841"/>
      <c r="B154" s="831" t="s">
        <v>594</v>
      </c>
      <c r="C154" s="832"/>
      <c r="D154" s="832"/>
      <c r="E154" s="832"/>
      <c r="F154" s="832"/>
      <c r="G154" s="833"/>
      <c r="H154" s="794"/>
      <c r="I154" s="834"/>
      <c r="J154" s="734" t="s">
        <v>595</v>
      </c>
      <c r="K154" s="734" t="s">
        <v>596</v>
      </c>
      <c r="L154" s="853" t="s">
        <v>608</v>
      </c>
      <c r="M154" s="938"/>
      <c r="N154" s="794"/>
      <c r="O154" s="794"/>
      <c r="P154" s="794"/>
      <c r="Q154" s="794"/>
      <c r="R154" s="834"/>
      <c r="S154" s="734" t="s">
        <v>595</v>
      </c>
      <c r="T154" s="734" t="s">
        <v>596</v>
      </c>
      <c r="U154" s="853" t="s">
        <v>608</v>
      </c>
      <c r="V154" s="938"/>
      <c r="W154" s="794"/>
      <c r="X154" s="794"/>
      <c r="Y154" s="794"/>
      <c r="Z154" s="794"/>
      <c r="AA154" s="834"/>
      <c r="AB154" s="734" t="s">
        <v>595</v>
      </c>
      <c r="AC154" s="734" t="s">
        <v>596</v>
      </c>
      <c r="AD154" s="853" t="s">
        <v>608</v>
      </c>
      <c r="AE154" s="938"/>
      <c r="AF154" s="794"/>
      <c r="AG154" s="794"/>
      <c r="AH154" s="794"/>
      <c r="AI154" s="794"/>
      <c r="AJ154" s="834"/>
      <c r="AK154" s="734" t="s">
        <v>595</v>
      </c>
      <c r="AL154" s="734" t="s">
        <v>596</v>
      </c>
      <c r="AM154" s="853" t="s">
        <v>608</v>
      </c>
      <c r="AN154" s="938"/>
      <c r="AO154" s="794"/>
      <c r="AP154" s="794"/>
      <c r="AQ154" s="794"/>
      <c r="AR154" s="794"/>
      <c r="AS154" s="834"/>
      <c r="AT154" s="734" t="s">
        <v>595</v>
      </c>
      <c r="AU154" s="734" t="s">
        <v>596</v>
      </c>
      <c r="AV154" s="853" t="s">
        <v>608</v>
      </c>
      <c r="AW154" s="938"/>
      <c r="AX154" s="794"/>
      <c r="AY154" s="794"/>
      <c r="AZ154" s="794"/>
      <c r="BA154" s="794"/>
      <c r="BB154" s="834"/>
      <c r="BC154" s="734" t="s">
        <v>595</v>
      </c>
      <c r="BD154" s="734" t="s">
        <v>596</v>
      </c>
      <c r="BE154" s="853" t="s">
        <v>608</v>
      </c>
      <c r="BF154" s="3"/>
    </row>
    <row r="155" spans="1:58" ht="12" x14ac:dyDescent="0.2">
      <c r="A155" s="841"/>
      <c r="B155" s="909"/>
      <c r="C155" s="786"/>
      <c r="D155" s="934"/>
      <c r="E155" s="937"/>
      <c r="F155" s="937"/>
      <c r="G155" s="937"/>
      <c r="H155" s="937"/>
      <c r="I155" s="936"/>
      <c r="J155" s="837"/>
      <c r="K155" s="771"/>
      <c r="L155" s="910" t="str">
        <f t="shared" ref="L155:L162" si="150">IF(B155="",".",J155*K155)</f>
        <v>.</v>
      </c>
      <c r="M155" s="206"/>
      <c r="N155" s="206"/>
      <c r="O155" s="206"/>
      <c r="P155" s="206"/>
      <c r="Q155" s="206"/>
      <c r="R155" s="206"/>
      <c r="S155" s="835"/>
      <c r="T155" s="836"/>
      <c r="U155" s="923" t="str">
        <f>IF(B155="",".",S155*T155)</f>
        <v>.</v>
      </c>
      <c r="V155" s="206"/>
      <c r="W155" s="206"/>
      <c r="X155" s="206"/>
      <c r="Y155" s="206"/>
      <c r="Z155" s="206"/>
      <c r="AA155" s="206"/>
      <c r="AB155" s="835"/>
      <c r="AC155" s="836"/>
      <c r="AD155" s="923" t="str">
        <f>IF(B155="",".",AB155*AC155)</f>
        <v>.</v>
      </c>
      <c r="AE155" s="206"/>
      <c r="AF155" s="206"/>
      <c r="AG155" s="206"/>
      <c r="AH155" s="206"/>
      <c r="AI155" s="206"/>
      <c r="AJ155" s="206"/>
      <c r="AK155" s="835"/>
      <c r="AL155" s="836"/>
      <c r="AM155" s="923" t="str">
        <f>IF(B155="",".",AK155*AL155)</f>
        <v>.</v>
      </c>
      <c r="AN155" s="206"/>
      <c r="AO155" s="206"/>
      <c r="AP155" s="206"/>
      <c r="AQ155" s="206"/>
      <c r="AR155" s="206"/>
      <c r="AS155" s="206"/>
      <c r="AT155" s="835"/>
      <c r="AU155" s="836"/>
      <c r="AV155" s="923" t="str">
        <f>IF(B155="",".",AT155*AU155)</f>
        <v>.</v>
      </c>
      <c r="AW155" s="206"/>
      <c r="AX155" s="206"/>
      <c r="AY155" s="206"/>
      <c r="AZ155" s="206"/>
      <c r="BA155" s="206"/>
      <c r="BB155" s="206"/>
      <c r="BC155" s="835"/>
      <c r="BD155" s="836"/>
      <c r="BE155" s="923" t="str">
        <f>IF(B155="",".",BC155*BD155)</f>
        <v>.</v>
      </c>
      <c r="BF155" s="3"/>
    </row>
    <row r="156" spans="1:58" ht="12" x14ac:dyDescent="0.2">
      <c r="A156" s="841"/>
      <c r="B156" s="909"/>
      <c r="C156" s="786"/>
      <c r="D156" s="934"/>
      <c r="E156" s="206"/>
      <c r="F156" s="206"/>
      <c r="G156" s="206"/>
      <c r="H156" s="206"/>
      <c r="I156" s="936"/>
      <c r="J156" s="837"/>
      <c r="K156" s="771"/>
      <c r="L156" s="910" t="str">
        <f t="shared" si="150"/>
        <v>.</v>
      </c>
      <c r="M156" s="206"/>
      <c r="N156" s="206"/>
      <c r="O156" s="206"/>
      <c r="P156" s="206"/>
      <c r="Q156" s="206"/>
      <c r="R156" s="206"/>
      <c r="S156" s="837"/>
      <c r="T156" s="771"/>
      <c r="U156" s="924" t="str">
        <f t="shared" ref="U156:U162" si="151">IF(B156="",".",S156*T156)</f>
        <v>.</v>
      </c>
      <c r="V156" s="206"/>
      <c r="W156" s="206"/>
      <c r="X156" s="206"/>
      <c r="Y156" s="206"/>
      <c r="Z156" s="206"/>
      <c r="AA156" s="206"/>
      <c r="AB156" s="837"/>
      <c r="AC156" s="771"/>
      <c r="AD156" s="924" t="str">
        <f t="shared" ref="AD156:AD162" si="152">IF(B156="",".",AB156*AC156)</f>
        <v>.</v>
      </c>
      <c r="AE156" s="206"/>
      <c r="AF156" s="206"/>
      <c r="AG156" s="206"/>
      <c r="AH156" s="206"/>
      <c r="AI156" s="206"/>
      <c r="AJ156" s="206"/>
      <c r="AK156" s="837"/>
      <c r="AL156" s="771"/>
      <c r="AM156" s="924" t="str">
        <f t="shared" ref="AM156:AM162" si="153">IF(B156="",".",AK156*AL156)</f>
        <v>.</v>
      </c>
      <c r="AN156" s="206"/>
      <c r="AO156" s="206"/>
      <c r="AP156" s="206"/>
      <c r="AQ156" s="206"/>
      <c r="AR156" s="206"/>
      <c r="AS156" s="206"/>
      <c r="AT156" s="837"/>
      <c r="AU156" s="771"/>
      <c r="AV156" s="924" t="str">
        <f t="shared" ref="AV156:AV162" si="154">IF(B156="",".",AT156*AU156)</f>
        <v>.</v>
      </c>
      <c r="AW156" s="206"/>
      <c r="AX156" s="206"/>
      <c r="AY156" s="206"/>
      <c r="AZ156" s="206"/>
      <c r="BA156" s="206"/>
      <c r="BB156" s="206"/>
      <c r="BC156" s="837"/>
      <c r="BD156" s="771"/>
      <c r="BE156" s="924" t="str">
        <f t="shared" ref="BE156:BE162" si="155">IF(B156="",".",BC156*BD156)</f>
        <v>.</v>
      </c>
      <c r="BF156" s="3"/>
    </row>
    <row r="157" spans="1:58" ht="12" x14ac:dyDescent="0.2">
      <c r="A157" s="841"/>
      <c r="B157" s="909"/>
      <c r="C157" s="786"/>
      <c r="D157" s="934"/>
      <c r="E157" s="206"/>
      <c r="F157" s="206"/>
      <c r="G157" s="206"/>
      <c r="H157" s="206"/>
      <c r="I157" s="936"/>
      <c r="J157" s="837"/>
      <c r="K157" s="771"/>
      <c r="L157" s="910" t="str">
        <f t="shared" si="150"/>
        <v>.</v>
      </c>
      <c r="M157" s="206"/>
      <c r="N157" s="206"/>
      <c r="O157" s="206"/>
      <c r="P157" s="206"/>
      <c r="Q157" s="206"/>
      <c r="R157" s="206"/>
      <c r="S157" s="837"/>
      <c r="T157" s="771"/>
      <c r="U157" s="924" t="str">
        <f t="shared" si="151"/>
        <v>.</v>
      </c>
      <c r="V157" s="206"/>
      <c r="W157" s="206"/>
      <c r="X157" s="206"/>
      <c r="Y157" s="206"/>
      <c r="Z157" s="206"/>
      <c r="AA157" s="206"/>
      <c r="AB157" s="837"/>
      <c r="AC157" s="771"/>
      <c r="AD157" s="924" t="str">
        <f t="shared" si="152"/>
        <v>.</v>
      </c>
      <c r="AE157" s="206"/>
      <c r="AF157" s="206"/>
      <c r="AG157" s="206"/>
      <c r="AH157" s="206"/>
      <c r="AI157" s="206"/>
      <c r="AJ157" s="206"/>
      <c r="AK157" s="837"/>
      <c r="AL157" s="771"/>
      <c r="AM157" s="924" t="str">
        <f t="shared" si="153"/>
        <v>.</v>
      </c>
      <c r="AN157" s="206"/>
      <c r="AO157" s="206"/>
      <c r="AP157" s="206"/>
      <c r="AQ157" s="206"/>
      <c r="AR157" s="206"/>
      <c r="AS157" s="206"/>
      <c r="AT157" s="837"/>
      <c r="AU157" s="771"/>
      <c r="AV157" s="924" t="str">
        <f t="shared" si="154"/>
        <v>.</v>
      </c>
      <c r="AW157" s="206"/>
      <c r="AX157" s="206"/>
      <c r="AY157" s="206"/>
      <c r="AZ157" s="206"/>
      <c r="BA157" s="206"/>
      <c r="BB157" s="206"/>
      <c r="BC157" s="837"/>
      <c r="BD157" s="771"/>
      <c r="BE157" s="924" t="str">
        <f t="shared" si="155"/>
        <v>.</v>
      </c>
      <c r="BF157" s="3"/>
    </row>
    <row r="158" spans="1:58" ht="12" x14ac:dyDescent="0.2">
      <c r="A158" s="841"/>
      <c r="B158" s="909"/>
      <c r="C158" s="786"/>
      <c r="D158" s="934"/>
      <c r="E158" s="206"/>
      <c r="F158" s="206"/>
      <c r="G158" s="206"/>
      <c r="H158" s="206"/>
      <c r="I158" s="936"/>
      <c r="J158" s="837"/>
      <c r="K158" s="771"/>
      <c r="L158" s="910" t="str">
        <f t="shared" si="150"/>
        <v>.</v>
      </c>
      <c r="M158" s="206"/>
      <c r="N158" s="206"/>
      <c r="O158" s="206"/>
      <c r="P158" s="206"/>
      <c r="Q158" s="206"/>
      <c r="R158" s="206"/>
      <c r="S158" s="837"/>
      <c r="T158" s="771"/>
      <c r="U158" s="924" t="str">
        <f t="shared" si="151"/>
        <v>.</v>
      </c>
      <c r="V158" s="206"/>
      <c r="W158" s="206"/>
      <c r="X158" s="206"/>
      <c r="Y158" s="206"/>
      <c r="Z158" s="206"/>
      <c r="AA158" s="206"/>
      <c r="AB158" s="837"/>
      <c r="AC158" s="771"/>
      <c r="AD158" s="924" t="str">
        <f t="shared" si="152"/>
        <v>.</v>
      </c>
      <c r="AE158" s="206"/>
      <c r="AF158" s="206"/>
      <c r="AG158" s="206"/>
      <c r="AH158" s="206"/>
      <c r="AI158" s="206"/>
      <c r="AJ158" s="206"/>
      <c r="AK158" s="837"/>
      <c r="AL158" s="771"/>
      <c r="AM158" s="924" t="str">
        <f t="shared" si="153"/>
        <v>.</v>
      </c>
      <c r="AN158" s="206"/>
      <c r="AO158" s="206"/>
      <c r="AP158" s="206"/>
      <c r="AQ158" s="206"/>
      <c r="AR158" s="206"/>
      <c r="AS158" s="206"/>
      <c r="AT158" s="837"/>
      <c r="AU158" s="771"/>
      <c r="AV158" s="924" t="str">
        <f t="shared" si="154"/>
        <v>.</v>
      </c>
      <c r="AW158" s="206"/>
      <c r="AX158" s="206"/>
      <c r="AY158" s="206"/>
      <c r="AZ158" s="206"/>
      <c r="BA158" s="206"/>
      <c r="BB158" s="206"/>
      <c r="BC158" s="837"/>
      <c r="BD158" s="771"/>
      <c r="BE158" s="924" t="str">
        <f t="shared" si="155"/>
        <v>.</v>
      </c>
      <c r="BF158" s="3"/>
    </row>
    <row r="159" spans="1:58" ht="12" x14ac:dyDescent="0.2">
      <c r="A159" s="841"/>
      <c r="B159" s="909"/>
      <c r="C159" s="786"/>
      <c r="D159" s="934"/>
      <c r="E159" s="206"/>
      <c r="F159" s="206"/>
      <c r="G159" s="206"/>
      <c r="H159" s="206"/>
      <c r="I159" s="936"/>
      <c r="J159" s="837"/>
      <c r="K159" s="771"/>
      <c r="L159" s="910" t="str">
        <f t="shared" si="150"/>
        <v>.</v>
      </c>
      <c r="M159" s="206"/>
      <c r="N159" s="206"/>
      <c r="O159" s="206"/>
      <c r="P159" s="206"/>
      <c r="Q159" s="206"/>
      <c r="R159" s="206"/>
      <c r="S159" s="837"/>
      <c r="T159" s="771"/>
      <c r="U159" s="924" t="str">
        <f t="shared" si="151"/>
        <v>.</v>
      </c>
      <c r="V159" s="206"/>
      <c r="W159" s="206"/>
      <c r="X159" s="206"/>
      <c r="Y159" s="206"/>
      <c r="Z159" s="206"/>
      <c r="AA159" s="206"/>
      <c r="AB159" s="837"/>
      <c r="AC159" s="771"/>
      <c r="AD159" s="924" t="str">
        <f t="shared" si="152"/>
        <v>.</v>
      </c>
      <c r="AE159" s="206"/>
      <c r="AF159" s="206"/>
      <c r="AG159" s="206"/>
      <c r="AH159" s="206"/>
      <c r="AI159" s="206"/>
      <c r="AJ159" s="206"/>
      <c r="AK159" s="837"/>
      <c r="AL159" s="771"/>
      <c r="AM159" s="924" t="str">
        <f t="shared" si="153"/>
        <v>.</v>
      </c>
      <c r="AN159" s="206"/>
      <c r="AO159" s="206"/>
      <c r="AP159" s="206"/>
      <c r="AQ159" s="206"/>
      <c r="AR159" s="206"/>
      <c r="AS159" s="206"/>
      <c r="AT159" s="837"/>
      <c r="AU159" s="771"/>
      <c r="AV159" s="924" t="str">
        <f t="shared" si="154"/>
        <v>.</v>
      </c>
      <c r="AW159" s="206"/>
      <c r="AX159" s="206"/>
      <c r="AY159" s="206"/>
      <c r="AZ159" s="206"/>
      <c r="BA159" s="206"/>
      <c r="BB159" s="206"/>
      <c r="BC159" s="837"/>
      <c r="BD159" s="771"/>
      <c r="BE159" s="924" t="str">
        <f t="shared" si="155"/>
        <v>.</v>
      </c>
      <c r="BF159" s="3"/>
    </row>
    <row r="160" spans="1:58" ht="12" x14ac:dyDescent="0.2">
      <c r="A160" s="841"/>
      <c r="B160" s="909"/>
      <c r="C160" s="786"/>
      <c r="D160" s="934"/>
      <c r="E160" s="206"/>
      <c r="F160" s="206"/>
      <c r="G160" s="206"/>
      <c r="H160" s="206"/>
      <c r="I160" s="936"/>
      <c r="J160" s="837"/>
      <c r="K160" s="771"/>
      <c r="L160" s="910" t="str">
        <f t="shared" si="150"/>
        <v>.</v>
      </c>
      <c r="M160" s="206"/>
      <c r="N160" s="206"/>
      <c r="O160" s="206"/>
      <c r="P160" s="206"/>
      <c r="Q160" s="206"/>
      <c r="R160" s="206"/>
      <c r="S160" s="837"/>
      <c r="T160" s="771"/>
      <c r="U160" s="924" t="str">
        <f t="shared" si="151"/>
        <v>.</v>
      </c>
      <c r="V160" s="206"/>
      <c r="W160" s="206"/>
      <c r="X160" s="206"/>
      <c r="Y160" s="206"/>
      <c r="Z160" s="206"/>
      <c r="AA160" s="206"/>
      <c r="AB160" s="837"/>
      <c r="AC160" s="771"/>
      <c r="AD160" s="924" t="str">
        <f t="shared" si="152"/>
        <v>.</v>
      </c>
      <c r="AE160" s="206"/>
      <c r="AF160" s="206"/>
      <c r="AG160" s="206"/>
      <c r="AH160" s="206"/>
      <c r="AI160" s="206"/>
      <c r="AJ160" s="206"/>
      <c r="AK160" s="837"/>
      <c r="AL160" s="771"/>
      <c r="AM160" s="924" t="str">
        <f t="shared" si="153"/>
        <v>.</v>
      </c>
      <c r="AN160" s="206"/>
      <c r="AO160" s="206"/>
      <c r="AP160" s="206"/>
      <c r="AQ160" s="206"/>
      <c r="AR160" s="206"/>
      <c r="AS160" s="206"/>
      <c r="AT160" s="837"/>
      <c r="AU160" s="771"/>
      <c r="AV160" s="924" t="str">
        <f t="shared" si="154"/>
        <v>.</v>
      </c>
      <c r="AW160" s="206"/>
      <c r="AX160" s="206"/>
      <c r="AY160" s="206"/>
      <c r="AZ160" s="206"/>
      <c r="BA160" s="206"/>
      <c r="BB160" s="206"/>
      <c r="BC160" s="837"/>
      <c r="BD160" s="771"/>
      <c r="BE160" s="924" t="str">
        <f t="shared" si="155"/>
        <v>.</v>
      </c>
      <c r="BF160" s="3"/>
    </row>
    <row r="161" spans="1:58" ht="12" x14ac:dyDescent="0.2">
      <c r="A161" s="841"/>
      <c r="B161" s="909"/>
      <c r="C161" s="786"/>
      <c r="D161" s="934"/>
      <c r="E161" s="206"/>
      <c r="F161" s="206"/>
      <c r="G161" s="206"/>
      <c r="H161" s="206"/>
      <c r="I161" s="936"/>
      <c r="J161" s="837"/>
      <c r="K161" s="771"/>
      <c r="L161" s="910" t="str">
        <f t="shared" si="150"/>
        <v>.</v>
      </c>
      <c r="M161" s="206"/>
      <c r="N161" s="206"/>
      <c r="O161" s="206"/>
      <c r="P161" s="206"/>
      <c r="Q161" s="206"/>
      <c r="R161" s="206"/>
      <c r="S161" s="837"/>
      <c r="T161" s="771"/>
      <c r="U161" s="924" t="str">
        <f t="shared" si="151"/>
        <v>.</v>
      </c>
      <c r="V161" s="206"/>
      <c r="W161" s="206"/>
      <c r="X161" s="206"/>
      <c r="Y161" s="206"/>
      <c r="Z161" s="206"/>
      <c r="AA161" s="206"/>
      <c r="AB161" s="837"/>
      <c r="AC161" s="771"/>
      <c r="AD161" s="924" t="str">
        <f t="shared" si="152"/>
        <v>.</v>
      </c>
      <c r="AE161" s="206"/>
      <c r="AF161" s="206"/>
      <c r="AG161" s="206"/>
      <c r="AH161" s="206"/>
      <c r="AI161" s="206"/>
      <c r="AJ161" s="206"/>
      <c r="AK161" s="837"/>
      <c r="AL161" s="771"/>
      <c r="AM161" s="924" t="str">
        <f t="shared" si="153"/>
        <v>.</v>
      </c>
      <c r="AN161" s="206"/>
      <c r="AO161" s="206"/>
      <c r="AP161" s="206"/>
      <c r="AQ161" s="206"/>
      <c r="AR161" s="206"/>
      <c r="AS161" s="206"/>
      <c r="AT161" s="837"/>
      <c r="AU161" s="771"/>
      <c r="AV161" s="924" t="str">
        <f t="shared" si="154"/>
        <v>.</v>
      </c>
      <c r="AW161" s="206"/>
      <c r="AX161" s="206"/>
      <c r="AY161" s="206"/>
      <c r="AZ161" s="206"/>
      <c r="BA161" s="206"/>
      <c r="BB161" s="206"/>
      <c r="BC161" s="837"/>
      <c r="BD161" s="771"/>
      <c r="BE161" s="924" t="str">
        <f t="shared" si="155"/>
        <v>.</v>
      </c>
      <c r="BF161" s="3"/>
    </row>
    <row r="162" spans="1:58" ht="12" x14ac:dyDescent="0.2">
      <c r="A162" s="841"/>
      <c r="B162" s="914"/>
      <c r="C162" s="800"/>
      <c r="D162" s="935"/>
      <c r="E162" s="801"/>
      <c r="F162" s="801"/>
      <c r="G162" s="801"/>
      <c r="H162" s="801"/>
      <c r="I162" s="839"/>
      <c r="J162" s="838"/>
      <c r="K162" s="799"/>
      <c r="L162" s="915" t="str">
        <f t="shared" si="150"/>
        <v>.</v>
      </c>
      <c r="M162" s="801"/>
      <c r="N162" s="801"/>
      <c r="O162" s="801"/>
      <c r="P162" s="801"/>
      <c r="Q162" s="801"/>
      <c r="R162" s="801"/>
      <c r="S162" s="838"/>
      <c r="T162" s="799"/>
      <c r="U162" s="925" t="str">
        <f t="shared" si="151"/>
        <v>.</v>
      </c>
      <c r="V162" s="801"/>
      <c r="W162" s="801"/>
      <c r="X162" s="801"/>
      <c r="Y162" s="801"/>
      <c r="Z162" s="801"/>
      <c r="AA162" s="801"/>
      <c r="AB162" s="838"/>
      <c r="AC162" s="799"/>
      <c r="AD162" s="925" t="str">
        <f t="shared" si="152"/>
        <v>.</v>
      </c>
      <c r="AE162" s="801"/>
      <c r="AF162" s="801"/>
      <c r="AG162" s="801"/>
      <c r="AH162" s="801"/>
      <c r="AI162" s="801"/>
      <c r="AJ162" s="801"/>
      <c r="AK162" s="838"/>
      <c r="AL162" s="799"/>
      <c r="AM162" s="925" t="str">
        <f t="shared" si="153"/>
        <v>.</v>
      </c>
      <c r="AN162" s="801"/>
      <c r="AO162" s="801"/>
      <c r="AP162" s="801"/>
      <c r="AQ162" s="801"/>
      <c r="AR162" s="801"/>
      <c r="AS162" s="801"/>
      <c r="AT162" s="838"/>
      <c r="AU162" s="799"/>
      <c r="AV162" s="925" t="str">
        <f t="shared" si="154"/>
        <v>.</v>
      </c>
      <c r="AW162" s="801"/>
      <c r="AX162" s="801"/>
      <c r="AY162" s="801"/>
      <c r="AZ162" s="801"/>
      <c r="BA162" s="801"/>
      <c r="BB162" s="801"/>
      <c r="BC162" s="838"/>
      <c r="BD162" s="799"/>
      <c r="BE162" s="925" t="str">
        <f t="shared" si="155"/>
        <v>.</v>
      </c>
      <c r="BF162" s="3"/>
    </row>
    <row r="163" spans="1:58" ht="12" x14ac:dyDescent="0.2">
      <c r="A163" s="841"/>
      <c r="B163" s="811"/>
      <c r="C163" s="788"/>
      <c r="D163" s="918"/>
      <c r="E163" s="141"/>
      <c r="F163" s="695"/>
      <c r="G163" s="141"/>
      <c r="H163" s="141"/>
      <c r="I163" s="141"/>
      <c r="J163" s="47"/>
      <c r="K163" s="932" t="s">
        <v>589</v>
      </c>
      <c r="L163" s="916">
        <f>SUM(L155:L162)</f>
        <v>0</v>
      </c>
      <c r="M163" s="3"/>
      <c r="N163" s="3"/>
      <c r="O163" s="2"/>
      <c r="P163" s="3"/>
      <c r="Q163" s="3"/>
      <c r="R163" s="3"/>
      <c r="S163" s="47"/>
      <c r="T163" s="47" t="s">
        <v>589</v>
      </c>
      <c r="U163" s="916">
        <f>SUM(U155:U162)</f>
        <v>0</v>
      </c>
      <c r="V163" s="3"/>
      <c r="W163" s="3"/>
      <c r="X163" s="2"/>
      <c r="Y163" s="3"/>
      <c r="Z163" s="3"/>
      <c r="AA163" s="3"/>
      <c r="AB163" s="47"/>
      <c r="AC163" s="47" t="s">
        <v>589</v>
      </c>
      <c r="AD163" s="916">
        <f>SUM(AD155:AD162)</f>
        <v>0</v>
      </c>
      <c r="AE163" s="3"/>
      <c r="AF163" s="3"/>
      <c r="AG163" s="2"/>
      <c r="AH163" s="3"/>
      <c r="AI163" s="3"/>
      <c r="AJ163" s="3"/>
      <c r="AK163" s="47"/>
      <c r="AL163" s="47" t="s">
        <v>589</v>
      </c>
      <c r="AM163" s="916">
        <f>SUM(AM155:AM162)</f>
        <v>0</v>
      </c>
      <c r="AN163" s="3"/>
      <c r="AO163" s="3"/>
      <c r="AP163" s="2"/>
      <c r="AQ163" s="3"/>
      <c r="AR163" s="3"/>
      <c r="AS163" s="3"/>
      <c r="AT163" s="47"/>
      <c r="AU163" s="47" t="s">
        <v>589</v>
      </c>
      <c r="AV163" s="916">
        <f>SUM(AV155:AV162)</f>
        <v>0</v>
      </c>
      <c r="AW163" s="3"/>
      <c r="AX163" s="3"/>
      <c r="AY163" s="2"/>
      <c r="AZ163" s="3"/>
      <c r="BA163" s="3"/>
      <c r="BB163" s="3"/>
      <c r="BC163" s="47"/>
      <c r="BD163" s="47" t="s">
        <v>589</v>
      </c>
      <c r="BE163" s="916">
        <f>SUM(BE155:BE162)</f>
        <v>0</v>
      </c>
      <c r="BF163" s="3"/>
    </row>
    <row r="164" spans="1:58" ht="12" x14ac:dyDescent="0.2">
      <c r="A164" s="841"/>
      <c r="B164" s="811"/>
      <c r="C164" s="788"/>
      <c r="D164" s="918"/>
      <c r="E164" s="3"/>
      <c r="F164" s="2"/>
      <c r="G164" s="3"/>
      <c r="H164" s="3"/>
      <c r="I164" s="3"/>
      <c r="J164" s="3"/>
      <c r="K164" s="46"/>
      <c r="L164" s="926"/>
      <c r="M164" s="3"/>
      <c r="N164" s="3"/>
      <c r="O164" s="2"/>
      <c r="P164" s="3"/>
      <c r="Q164" s="3"/>
      <c r="R164" s="3"/>
      <c r="S164" s="3"/>
      <c r="T164" s="46"/>
      <c r="U164" s="926"/>
      <c r="V164" s="3"/>
      <c r="W164" s="3"/>
      <c r="X164" s="2"/>
      <c r="Y164" s="3"/>
      <c r="Z164" s="3"/>
      <c r="AA164" s="3"/>
      <c r="AB164" s="3"/>
      <c r="AC164" s="46"/>
      <c r="AD164" s="926"/>
      <c r="AE164" s="3"/>
      <c r="AF164" s="3"/>
      <c r="AG164" s="2"/>
      <c r="AH164" s="3"/>
      <c r="AI164" s="3"/>
      <c r="AJ164" s="3"/>
      <c r="AK164" s="3"/>
      <c r="AL164" s="46"/>
      <c r="AM164" s="926"/>
      <c r="AN164" s="3"/>
      <c r="AO164" s="3"/>
      <c r="AP164" s="2"/>
      <c r="AQ164" s="3"/>
      <c r="AR164" s="3"/>
      <c r="AS164" s="3"/>
      <c r="AT164" s="3"/>
      <c r="AU164" s="46"/>
      <c r="AV164" s="926"/>
      <c r="AW164" s="3"/>
      <c r="AX164" s="3"/>
      <c r="AY164" s="2"/>
      <c r="AZ164" s="3"/>
      <c r="BA164" s="3"/>
      <c r="BB164" s="3"/>
      <c r="BC164" s="3"/>
      <c r="BD164" s="46"/>
      <c r="BE164" s="926"/>
      <c r="BF164" s="3"/>
    </row>
    <row r="165" spans="1:58" ht="12" x14ac:dyDescent="0.2">
      <c r="A165" s="841"/>
      <c r="B165" s="290"/>
      <c r="C165" s="299"/>
      <c r="D165" s="918"/>
      <c r="E165" s="3"/>
      <c r="F165" s="2"/>
      <c r="G165" s="3"/>
      <c r="H165" s="3"/>
      <c r="I165" s="3"/>
      <c r="J165" s="3"/>
      <c r="K165" s="46"/>
      <c r="L165" s="926"/>
      <c r="M165" s="3"/>
      <c r="N165" s="3"/>
      <c r="O165" s="2"/>
      <c r="P165" s="3"/>
      <c r="Q165" s="3"/>
      <c r="R165" s="3"/>
      <c r="S165" s="3"/>
      <c r="T165" s="46"/>
      <c r="U165" s="926"/>
      <c r="V165" s="3"/>
      <c r="W165" s="3"/>
      <c r="X165" s="2"/>
      <c r="Y165" s="3"/>
      <c r="Z165" s="3"/>
      <c r="AA165" s="3"/>
      <c r="AB165" s="3"/>
      <c r="AC165" s="46"/>
      <c r="AD165" s="926"/>
      <c r="AE165" s="3"/>
      <c r="AF165" s="3"/>
      <c r="AG165" s="2"/>
      <c r="AH165" s="3"/>
      <c r="AI165" s="3"/>
      <c r="AJ165" s="3"/>
      <c r="AK165" s="3"/>
      <c r="AL165" s="46"/>
      <c r="AM165" s="926"/>
      <c r="AN165" s="3"/>
      <c r="AO165" s="3"/>
      <c r="AP165" s="2"/>
      <c r="AQ165" s="3"/>
      <c r="AR165" s="3"/>
      <c r="AS165" s="3"/>
      <c r="AT165" s="3"/>
      <c r="AU165" s="46"/>
      <c r="AV165" s="926"/>
      <c r="AW165" s="3"/>
      <c r="AX165" s="3"/>
      <c r="AY165" s="2"/>
      <c r="AZ165" s="3"/>
      <c r="BA165" s="3"/>
      <c r="BB165" s="3"/>
      <c r="BC165" s="3"/>
      <c r="BD165" s="46"/>
      <c r="BE165" s="926"/>
      <c r="BF165" s="3"/>
    </row>
    <row r="166" spans="1:58" ht="12" x14ac:dyDescent="0.2">
      <c r="A166" s="841"/>
      <c r="B166" s="290"/>
      <c r="C166" s="299"/>
      <c r="D166" s="918"/>
      <c r="E166" s="3"/>
      <c r="F166" s="38" t="s">
        <v>609</v>
      </c>
      <c r="G166" s="3"/>
      <c r="H166" s="2"/>
      <c r="I166" s="3"/>
      <c r="J166" s="46"/>
      <c r="K166" s="3"/>
      <c r="L166" s="916">
        <f>L91+L148+L163</f>
        <v>64379948.330897808</v>
      </c>
      <c r="M166" s="3"/>
      <c r="N166" s="3"/>
      <c r="O166" s="38" t="s">
        <v>609</v>
      </c>
      <c r="P166" s="3"/>
      <c r="Q166" s="2"/>
      <c r="R166" s="3"/>
      <c r="S166" s="46"/>
      <c r="T166" s="3"/>
      <c r="U166" s="916">
        <f>U91+U148+U163</f>
        <v>66311346.780824751</v>
      </c>
      <c r="V166" s="3"/>
      <c r="W166" s="3"/>
      <c r="X166" s="38" t="s">
        <v>609</v>
      </c>
      <c r="Y166" s="3"/>
      <c r="Z166" s="2"/>
      <c r="AA166" s="3"/>
      <c r="AB166" s="46"/>
      <c r="AC166" s="3"/>
      <c r="AD166" s="916">
        <f>AD91+AD148+AD163</f>
        <v>68300687.18424949</v>
      </c>
      <c r="AE166" s="3"/>
      <c r="AF166" s="3"/>
      <c r="AG166" s="38" t="s">
        <v>609</v>
      </c>
      <c r="AH166" s="3"/>
      <c r="AI166" s="2"/>
      <c r="AJ166" s="3"/>
      <c r="AK166" s="46"/>
      <c r="AL166" s="3"/>
      <c r="AM166" s="916">
        <f>AM91+AM148+AM163</f>
        <v>70349707.799776971</v>
      </c>
      <c r="AN166" s="3"/>
      <c r="AO166" s="3"/>
      <c r="AP166" s="38" t="s">
        <v>609</v>
      </c>
      <c r="AQ166" s="3"/>
      <c r="AR166" s="2"/>
      <c r="AS166" s="3"/>
      <c r="AT166" s="46"/>
      <c r="AU166" s="3"/>
      <c r="AV166" s="916">
        <f>AV91+AV148+AV163</f>
        <v>72460199.033770293</v>
      </c>
      <c r="AW166" s="3"/>
      <c r="AX166" s="3"/>
      <c r="AY166" s="38" t="s">
        <v>609</v>
      </c>
      <c r="AZ166" s="3"/>
      <c r="BA166" s="2"/>
      <c r="BB166" s="3"/>
      <c r="BC166" s="46"/>
      <c r="BD166" s="3"/>
      <c r="BE166" s="916">
        <f>BE91+BE148+BE163</f>
        <v>74634005.004783407</v>
      </c>
      <c r="BF166" s="3"/>
    </row>
    <row r="167" spans="1:58" ht="12" x14ac:dyDescent="0.2">
      <c r="A167" s="841"/>
      <c r="B167" s="811"/>
      <c r="C167" s="788"/>
      <c r="D167" s="918"/>
      <c r="E167" s="3"/>
      <c r="F167" s="2"/>
      <c r="G167" s="3"/>
      <c r="H167" s="3"/>
      <c r="I167" s="3"/>
      <c r="J167" s="3"/>
      <c r="K167" s="46"/>
      <c r="L167" s="926"/>
      <c r="M167" s="3"/>
      <c r="N167" s="3"/>
      <c r="O167" s="2"/>
      <c r="P167" s="3"/>
      <c r="Q167" s="3"/>
      <c r="R167" s="3"/>
      <c r="S167" s="3"/>
      <c r="T167" s="46"/>
      <c r="U167" s="926"/>
      <c r="V167" s="3"/>
      <c r="W167" s="3"/>
      <c r="X167" s="2"/>
      <c r="Y167" s="3"/>
      <c r="Z167" s="3"/>
      <c r="AA167" s="3"/>
      <c r="AB167" s="3"/>
      <c r="AC167" s="46"/>
      <c r="AD167" s="926"/>
      <c r="AE167" s="3"/>
      <c r="AF167" s="3"/>
      <c r="AG167" s="2"/>
      <c r="AH167" s="3"/>
      <c r="AI167" s="3"/>
      <c r="AJ167" s="3"/>
      <c r="AK167" s="3"/>
      <c r="AL167" s="46"/>
      <c r="AM167" s="926"/>
      <c r="AN167" s="3"/>
      <c r="AO167" s="3"/>
      <c r="AP167" s="2"/>
      <c r="AQ167" s="3"/>
      <c r="AR167" s="3"/>
      <c r="AS167" s="3"/>
      <c r="AT167" s="3"/>
      <c r="AU167" s="46"/>
      <c r="AV167" s="926"/>
      <c r="AW167" s="3"/>
      <c r="AX167" s="3"/>
      <c r="AY167" s="2"/>
      <c r="AZ167" s="3"/>
      <c r="BA167" s="3"/>
      <c r="BB167" s="3"/>
      <c r="BC167" s="3"/>
      <c r="BD167" s="46"/>
      <c r="BE167" s="926"/>
      <c r="BF167" s="3"/>
    </row>
    <row r="168" spans="1:58" ht="12" x14ac:dyDescent="0.2">
      <c r="A168" s="841"/>
      <c r="B168" s="290"/>
      <c r="C168" s="299"/>
      <c r="D168" s="918"/>
      <c r="E168" s="3"/>
      <c r="F168" s="2" t="s">
        <v>610</v>
      </c>
      <c r="G168" s="2"/>
      <c r="H168" s="3"/>
      <c r="I168" s="3"/>
      <c r="K168" s="3"/>
      <c r="L168" s="917"/>
      <c r="M168" s="3"/>
      <c r="N168" s="3"/>
      <c r="O168" s="2" t="s">
        <v>610</v>
      </c>
      <c r="P168" s="2"/>
      <c r="Q168" s="3"/>
      <c r="R168" s="3"/>
      <c r="T168" s="3"/>
      <c r="U168" s="917"/>
      <c r="V168" s="3"/>
      <c r="W168" s="3"/>
      <c r="X168" s="2" t="s">
        <v>610</v>
      </c>
      <c r="Y168" s="2"/>
      <c r="Z168" s="3"/>
      <c r="AA168" s="3"/>
      <c r="AC168" s="3"/>
      <c r="AD168" s="917"/>
      <c r="AE168" s="3"/>
      <c r="AF168" s="3"/>
      <c r="AG168" s="2" t="s">
        <v>610</v>
      </c>
      <c r="AH168" s="2"/>
      <c r="AI168" s="3"/>
      <c r="AJ168" s="3"/>
      <c r="AL168" s="3"/>
      <c r="AM168" s="917"/>
      <c r="AN168" s="3"/>
      <c r="AO168" s="3"/>
      <c r="AP168" s="2" t="s">
        <v>610</v>
      </c>
      <c r="AQ168" s="2"/>
      <c r="AR168" s="3"/>
      <c r="AS168" s="3"/>
      <c r="AU168" s="3"/>
      <c r="AV168" s="917"/>
      <c r="AW168" s="3"/>
      <c r="AX168" s="3"/>
      <c r="AY168" s="2" t="s">
        <v>610</v>
      </c>
      <c r="AZ168" s="2"/>
      <c r="BA168" s="3"/>
      <c r="BB168" s="3"/>
      <c r="BD168" s="3"/>
      <c r="BE168" s="917"/>
      <c r="BF168" s="3"/>
    </row>
    <row r="169" spans="1:58" ht="12" x14ac:dyDescent="0.2">
      <c r="A169" s="841"/>
      <c r="B169" s="290"/>
      <c r="C169" s="299"/>
      <c r="D169" s="918"/>
      <c r="E169" s="3"/>
      <c r="F169" s="2"/>
      <c r="G169" s="3"/>
      <c r="H169" s="3"/>
      <c r="I169" s="3"/>
      <c r="J169" s="46"/>
      <c r="K169" s="51"/>
      <c r="L169" s="927"/>
      <c r="M169" s="3"/>
      <c r="N169" s="3"/>
      <c r="O169" s="2"/>
      <c r="P169" s="3"/>
      <c r="Q169" s="3"/>
      <c r="R169" s="3"/>
      <c r="S169" s="46"/>
      <c r="T169" s="51"/>
      <c r="U169" s="927"/>
      <c r="V169" s="3"/>
      <c r="W169" s="3"/>
      <c r="X169" s="2"/>
      <c r="Y169" s="3"/>
      <c r="Z169" s="3"/>
      <c r="AA169" s="3"/>
      <c r="AB169" s="46"/>
      <c r="AC169" s="51"/>
      <c r="AD169" s="927"/>
      <c r="AE169" s="3"/>
      <c r="AF169" s="3"/>
      <c r="AG169" s="2"/>
      <c r="AH169" s="3"/>
      <c r="AI169" s="3"/>
      <c r="AJ169" s="3"/>
      <c r="AK169" s="46"/>
      <c r="AL169" s="51"/>
      <c r="AM169" s="927"/>
      <c r="AN169" s="3"/>
      <c r="AO169" s="3"/>
      <c r="AP169" s="2"/>
      <c r="AQ169" s="3"/>
      <c r="AR169" s="3"/>
      <c r="AS169" s="3"/>
      <c r="AT169" s="46"/>
      <c r="AU169" s="51"/>
      <c r="AV169" s="927"/>
      <c r="AW169" s="3"/>
      <c r="AX169" s="3"/>
      <c r="AY169" s="2"/>
      <c r="AZ169" s="3"/>
      <c r="BA169" s="3"/>
      <c r="BB169" s="3"/>
      <c r="BC169" s="46"/>
      <c r="BD169" s="51"/>
      <c r="BE169" s="927"/>
      <c r="BF169" s="3"/>
    </row>
    <row r="170" spans="1:58" ht="12" x14ac:dyDescent="0.2">
      <c r="A170" s="841"/>
      <c r="B170" s="290"/>
      <c r="C170" s="299"/>
      <c r="D170" s="918"/>
      <c r="E170" s="3"/>
      <c r="F170" s="2" t="s">
        <v>611</v>
      </c>
      <c r="G170" s="3"/>
      <c r="H170" s="3"/>
      <c r="I170" s="3"/>
      <c r="J170" s="46"/>
      <c r="K170" s="3"/>
      <c r="L170" s="933">
        <f>L166+L168</f>
        <v>64379948.330897808</v>
      </c>
      <c r="M170" s="3"/>
      <c r="N170" s="3"/>
      <c r="O170" s="2" t="s">
        <v>611</v>
      </c>
      <c r="P170" s="3"/>
      <c r="Q170" s="3"/>
      <c r="R170" s="3"/>
      <c r="S170" s="46"/>
      <c r="T170" s="3"/>
      <c r="U170" s="928">
        <f>U166+U168</f>
        <v>66311346.780824751</v>
      </c>
      <c r="V170" s="3"/>
      <c r="W170" s="3"/>
      <c r="X170" s="2" t="s">
        <v>611</v>
      </c>
      <c r="Y170" s="3"/>
      <c r="Z170" s="3"/>
      <c r="AA170" s="3"/>
      <c r="AB170" s="46"/>
      <c r="AC170" s="3"/>
      <c r="AD170" s="928">
        <f>AD166+AD168</f>
        <v>68300687.18424949</v>
      </c>
      <c r="AE170" s="3"/>
      <c r="AF170" s="3"/>
      <c r="AG170" s="2" t="s">
        <v>611</v>
      </c>
      <c r="AH170" s="3"/>
      <c r="AI170" s="3"/>
      <c r="AJ170" s="3"/>
      <c r="AK170" s="46"/>
      <c r="AL170" s="3"/>
      <c r="AM170" s="928">
        <f>AM166+AM168</f>
        <v>70349707.799776971</v>
      </c>
      <c r="AN170" s="3"/>
      <c r="AO170" s="3"/>
      <c r="AP170" s="2" t="s">
        <v>611</v>
      </c>
      <c r="AQ170" s="3"/>
      <c r="AR170" s="3"/>
      <c r="AS170" s="3"/>
      <c r="AT170" s="46"/>
      <c r="AU170" s="3"/>
      <c r="AV170" s="928">
        <f>AV166+AV168</f>
        <v>72460199.033770293</v>
      </c>
      <c r="AW170" s="3"/>
      <c r="AX170" s="3"/>
      <c r="AY170" s="2" t="s">
        <v>611</v>
      </c>
      <c r="AZ170" s="3"/>
      <c r="BA170" s="3"/>
      <c r="BB170" s="3"/>
      <c r="BC170" s="46"/>
      <c r="BD170" s="3"/>
      <c r="BE170" s="928">
        <f>BE166+BE168</f>
        <v>74634005.004783407</v>
      </c>
      <c r="BF170" s="3"/>
    </row>
    <row r="171" spans="1:58" x14ac:dyDescent="0.2">
      <c r="A171" s="841"/>
      <c r="B171" s="290"/>
      <c r="C171" s="299"/>
      <c r="D171" s="918"/>
      <c r="E171" s="3"/>
      <c r="F171" s="181"/>
      <c r="G171" s="3"/>
      <c r="H171" s="3"/>
      <c r="I171" s="3"/>
      <c r="J171" s="451"/>
      <c r="K171" s="50"/>
      <c r="L171" s="929"/>
      <c r="M171" s="3"/>
      <c r="N171" s="3"/>
      <c r="O171" s="181"/>
      <c r="P171" s="3"/>
      <c r="Q171" s="3"/>
      <c r="R171" s="3"/>
      <c r="S171" s="451"/>
      <c r="T171" s="50"/>
      <c r="U171" s="929"/>
      <c r="V171" s="3"/>
      <c r="W171" s="3"/>
      <c r="X171" s="181"/>
      <c r="Y171" s="3"/>
      <c r="Z171" s="3"/>
      <c r="AA171" s="3"/>
      <c r="AB171" s="451"/>
      <c r="AC171" s="50"/>
      <c r="AD171" s="929"/>
      <c r="AE171" s="3"/>
      <c r="AF171" s="3"/>
      <c r="AG171" s="181"/>
      <c r="AH171" s="3"/>
      <c r="AI171" s="3"/>
      <c r="AJ171" s="3"/>
      <c r="AK171" s="451"/>
      <c r="AL171" s="50"/>
      <c r="AM171" s="929"/>
      <c r="AN171" s="3"/>
      <c r="AO171" s="3"/>
      <c r="AP171" s="181"/>
      <c r="AQ171" s="3"/>
      <c r="AR171" s="3"/>
      <c r="AS171" s="3"/>
      <c r="AT171" s="451"/>
      <c r="AU171" s="50"/>
      <c r="AV171" s="929"/>
      <c r="AW171" s="3"/>
      <c r="AX171" s="3"/>
      <c r="AY171" s="181"/>
      <c r="AZ171" s="3"/>
      <c r="BA171" s="3"/>
      <c r="BB171" s="3"/>
      <c r="BC171" s="451"/>
      <c r="BD171" s="50"/>
      <c r="BE171" s="929"/>
      <c r="BF171" s="3"/>
    </row>
    <row r="172" spans="1:58" x14ac:dyDescent="0.2">
      <c r="A172" s="841"/>
      <c r="B172" s="911" t="s">
        <v>612</v>
      </c>
      <c r="C172" s="692"/>
      <c r="D172" s="918"/>
      <c r="E172" s="3"/>
      <c r="F172" s="181"/>
      <c r="G172" s="3"/>
      <c r="H172" s="3"/>
      <c r="I172" s="3"/>
      <c r="J172" s="3"/>
      <c r="K172" s="451"/>
      <c r="L172" s="930"/>
      <c r="M172" s="3"/>
      <c r="N172" s="3"/>
      <c r="O172" s="181"/>
      <c r="P172" s="3"/>
      <c r="Q172" s="3"/>
      <c r="R172" s="3"/>
      <c r="S172" s="3"/>
      <c r="T172" s="451"/>
      <c r="U172" s="930"/>
      <c r="V172" s="3"/>
      <c r="W172" s="3"/>
      <c r="X172" s="181"/>
      <c r="Y172" s="3"/>
      <c r="Z172" s="3"/>
      <c r="AA172" s="3"/>
      <c r="AB172" s="3"/>
      <c r="AC172" s="451"/>
      <c r="AD172" s="930"/>
      <c r="AE172" s="3"/>
      <c r="AF172" s="3"/>
      <c r="AG172" s="181"/>
      <c r="AH172" s="3"/>
      <c r="AI172" s="3"/>
      <c r="AJ172" s="3"/>
      <c r="AK172" s="3"/>
      <c r="AL172" s="451"/>
      <c r="AM172" s="930"/>
      <c r="AN172" s="3"/>
      <c r="AO172" s="3"/>
      <c r="AP172" s="181"/>
      <c r="AQ172" s="3"/>
      <c r="AR172" s="3"/>
      <c r="AS172" s="3"/>
      <c r="AT172" s="3"/>
      <c r="AU172" s="451"/>
      <c r="AV172" s="930"/>
      <c r="AW172" s="3"/>
      <c r="AX172" s="3"/>
      <c r="AY172" s="181"/>
      <c r="AZ172" s="3"/>
      <c r="BA172" s="3"/>
      <c r="BB172" s="3"/>
      <c r="BC172" s="3"/>
      <c r="BD172" s="451"/>
      <c r="BE172" s="930"/>
      <c r="BF172" s="3"/>
    </row>
    <row r="173" spans="1:58" x14ac:dyDescent="0.2">
      <c r="A173" s="841"/>
      <c r="B173" s="776"/>
      <c r="C173" s="344"/>
      <c r="D173" s="919"/>
      <c r="E173" s="140"/>
      <c r="F173" s="140"/>
      <c r="G173" s="140"/>
      <c r="H173" s="140"/>
      <c r="I173" s="140"/>
      <c r="J173" s="140"/>
      <c r="K173" s="829"/>
      <c r="L173" s="931"/>
      <c r="M173" s="919"/>
      <c r="N173" s="140"/>
      <c r="O173" s="140"/>
      <c r="P173" s="140"/>
      <c r="Q173" s="140"/>
      <c r="R173" s="140"/>
      <c r="S173" s="140"/>
      <c r="T173" s="829"/>
      <c r="U173" s="931"/>
      <c r="V173" s="919"/>
      <c r="W173" s="140"/>
      <c r="X173" s="140"/>
      <c r="Y173" s="140"/>
      <c r="Z173" s="140"/>
      <c r="AA173" s="140"/>
      <c r="AB173" s="140"/>
      <c r="AC173" s="829"/>
      <c r="AD173" s="931"/>
      <c r="AE173" s="919"/>
      <c r="AF173" s="140"/>
      <c r="AG173" s="140"/>
      <c r="AH173" s="140"/>
      <c r="AI173" s="140"/>
      <c r="AJ173" s="140"/>
      <c r="AK173" s="140"/>
      <c r="AL173" s="829"/>
      <c r="AM173" s="931"/>
      <c r="AN173" s="919"/>
      <c r="AO173" s="140"/>
      <c r="AP173" s="140"/>
      <c r="AQ173" s="140"/>
      <c r="AR173" s="140"/>
      <c r="AS173" s="140"/>
      <c r="AT173" s="140"/>
      <c r="AU173" s="829"/>
      <c r="AV173" s="931"/>
      <c r="AW173" s="919"/>
      <c r="AX173" s="140"/>
      <c r="AY173" s="140"/>
      <c r="AZ173" s="140"/>
      <c r="BA173" s="140"/>
      <c r="BB173" s="140"/>
      <c r="BC173" s="140"/>
      <c r="BD173" s="829"/>
      <c r="BE173" s="931"/>
      <c r="BF173" s="3"/>
    </row>
    <row r="174" spans="1:58" x14ac:dyDescent="0.2">
      <c r="A174" s="841"/>
      <c r="B174" s="20"/>
      <c r="C174" s="3"/>
      <c r="D174" s="3"/>
      <c r="E174" s="3"/>
      <c r="F174" s="3"/>
      <c r="G174" s="3"/>
      <c r="H174" s="3"/>
      <c r="I174" s="3"/>
      <c r="J174" s="3"/>
      <c r="K174" s="34"/>
      <c r="L174" s="34"/>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spans="1:58" x14ac:dyDescent="0.2">
      <c r="A175" s="841"/>
      <c r="B175" s="20"/>
      <c r="C175" s="3"/>
      <c r="D175" s="3"/>
      <c r="E175" s="3"/>
      <c r="F175" s="3"/>
      <c r="G175" s="3"/>
      <c r="H175" s="3"/>
      <c r="I175" s="3"/>
      <c r="J175" s="3"/>
      <c r="K175" s="34"/>
      <c r="L175" s="34"/>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spans="1:58" x14ac:dyDescent="0.2">
      <c r="A176" s="841"/>
      <c r="B176" s="20"/>
      <c r="C176" s="3"/>
      <c r="D176" s="3"/>
      <c r="E176" s="3"/>
      <c r="F176" s="3"/>
      <c r="G176" s="3"/>
      <c r="H176" s="3"/>
      <c r="I176" s="3"/>
      <c r="J176" s="3"/>
      <c r="K176" s="34"/>
      <c r="L176" s="34"/>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spans="1:58" x14ac:dyDescent="0.2">
      <c r="A177" s="841"/>
      <c r="B177" s="20"/>
      <c r="C177" s="3"/>
      <c r="D177" s="3"/>
      <c r="E177" s="3"/>
      <c r="F177" s="3"/>
      <c r="G177" s="3"/>
      <c r="H177" s="3"/>
      <c r="I177" s="3"/>
      <c r="J177" s="3"/>
      <c r="K177" s="541"/>
      <c r="L177" s="54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spans="1:58" x14ac:dyDescent="0.2">
      <c r="A178" s="841"/>
      <c r="B178" s="20"/>
      <c r="C178" s="3"/>
      <c r="D178" s="3"/>
      <c r="E178" s="3"/>
      <c r="F178" s="3"/>
      <c r="G178" s="3"/>
      <c r="H178" s="3"/>
      <c r="I178" s="3"/>
      <c r="J178" s="3"/>
      <c r="K178" s="541"/>
      <c r="L178" s="54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spans="1:58" x14ac:dyDescent="0.2">
      <c r="A179" s="841"/>
      <c r="B179" s="20"/>
      <c r="C179" s="3"/>
      <c r="D179" s="3"/>
      <c r="E179" s="3"/>
      <c r="F179" s="3"/>
      <c r="G179" s="3"/>
      <c r="H179" s="3"/>
      <c r="I179" s="3"/>
      <c r="J179" s="3"/>
      <c r="K179" s="541"/>
      <c r="L179" s="54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spans="1:58" x14ac:dyDescent="0.2">
      <c r="A180" s="841"/>
      <c r="B180" s="3"/>
      <c r="C180" s="3"/>
      <c r="D180" s="3"/>
      <c r="E180" s="3"/>
      <c r="F180" s="3"/>
      <c r="G180" s="3"/>
      <c r="H180" s="3"/>
      <c r="I180" s="3"/>
      <c r="J180" s="3"/>
      <c r="K180" s="541"/>
      <c r="L180" s="54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spans="1:58" x14ac:dyDescent="0.2">
      <c r="A181" s="841"/>
      <c r="B181" s="3"/>
      <c r="C181" s="3"/>
      <c r="D181" s="3"/>
      <c r="E181" s="3"/>
      <c r="F181" s="3"/>
      <c r="G181" s="3"/>
      <c r="H181" s="3"/>
      <c r="I181" s="3"/>
      <c r="J181" s="3"/>
      <c r="K181" s="541"/>
      <c r="L181" s="54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spans="1:58" x14ac:dyDescent="0.2">
      <c r="A182" s="841"/>
      <c r="B182" s="3"/>
      <c r="C182" s="3"/>
      <c r="D182" s="3"/>
      <c r="E182" s="3"/>
      <c r="F182" s="3"/>
      <c r="G182" s="3"/>
      <c r="H182" s="3"/>
      <c r="I182" s="3"/>
      <c r="J182" s="3"/>
      <c r="K182" s="541"/>
      <c r="L182" s="54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spans="1:58" x14ac:dyDescent="0.2">
      <c r="A183" s="841"/>
      <c r="B183" s="3"/>
      <c r="C183" s="3"/>
      <c r="D183" s="3"/>
      <c r="E183" s="3"/>
      <c r="F183" s="3"/>
      <c r="G183" s="3"/>
      <c r="H183" s="3"/>
      <c r="I183" s="3"/>
      <c r="J183" s="3"/>
      <c r="K183" s="541"/>
      <c r="L183" s="54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spans="1:58" x14ac:dyDescent="0.2">
      <c r="A184" s="841"/>
      <c r="B184" s="3"/>
      <c r="C184" s="3"/>
      <c r="D184" s="3"/>
      <c r="E184" s="3"/>
      <c r="F184" s="3"/>
      <c r="G184" s="3"/>
      <c r="H184" s="3"/>
      <c r="I184" s="3"/>
      <c r="J184" s="3"/>
      <c r="K184" s="541"/>
      <c r="L184" s="54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spans="1:58" x14ac:dyDescent="0.2">
      <c r="A185" s="841"/>
      <c r="B185" s="3"/>
      <c r="C185" s="3"/>
      <c r="D185" s="3"/>
      <c r="E185" s="3"/>
      <c r="F185" s="3"/>
      <c r="G185" s="3"/>
      <c r="H185" s="3"/>
      <c r="I185" s="3"/>
      <c r="J185" s="3"/>
      <c r="K185" s="541"/>
      <c r="L185" s="54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spans="1:58" x14ac:dyDescent="0.2">
      <c r="A186" s="841"/>
      <c r="B186" s="3"/>
      <c r="C186" s="3"/>
      <c r="D186" s="3"/>
      <c r="E186" s="3"/>
      <c r="F186" s="3"/>
      <c r="G186" s="3"/>
      <c r="H186" s="3"/>
      <c r="I186" s="3"/>
      <c r="J186" s="3"/>
      <c r="K186" s="541"/>
      <c r="L186" s="54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spans="1:58" x14ac:dyDescent="0.2">
      <c r="A187" s="841"/>
      <c r="B187" s="3"/>
      <c r="C187" s="3"/>
      <c r="D187" s="3"/>
      <c r="E187" s="3"/>
      <c r="F187" s="3"/>
      <c r="G187" s="3"/>
      <c r="H187" s="3"/>
      <c r="I187" s="3"/>
      <c r="J187" s="3"/>
      <c r="K187" s="541"/>
      <c r="L187" s="54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row>
    <row r="188" spans="1:58" x14ac:dyDescent="0.2">
      <c r="A188" s="841"/>
      <c r="B188" s="3"/>
      <c r="C188" s="3"/>
      <c r="D188" s="3"/>
      <c r="E188" s="3"/>
      <c r="F188" s="3"/>
      <c r="G188" s="3"/>
      <c r="H188" s="3"/>
      <c r="I188" s="3"/>
      <c r="J188" s="3"/>
      <c r="K188" s="541"/>
      <c r="L188" s="54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spans="1:58" x14ac:dyDescent="0.2">
      <c r="A189" s="841"/>
      <c r="B189" s="3"/>
      <c r="C189" s="3"/>
      <c r="D189" s="3"/>
      <c r="E189" s="3"/>
      <c r="F189" s="3"/>
      <c r="G189" s="3"/>
      <c r="H189" s="3"/>
      <c r="I189" s="3"/>
      <c r="J189" s="3"/>
      <c r="K189" s="541"/>
      <c r="L189" s="54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spans="1:58" x14ac:dyDescent="0.2">
      <c r="A190" s="841"/>
      <c r="B190" s="3"/>
      <c r="C190" s="3"/>
      <c r="D190" s="3"/>
      <c r="E190" s="3"/>
      <c r="F190" s="3"/>
      <c r="G190" s="3"/>
      <c r="H190" s="3"/>
      <c r="I190" s="3"/>
      <c r="J190" s="3"/>
      <c r="K190" s="541"/>
      <c r="L190" s="54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spans="1:58" x14ac:dyDescent="0.2">
      <c r="A191" s="841"/>
      <c r="B191" s="3"/>
      <c r="C191" s="3"/>
      <c r="D191" s="3"/>
      <c r="E191" s="3"/>
      <c r="F191" s="3"/>
      <c r="G191" s="3"/>
      <c r="H191" s="3"/>
      <c r="I191" s="3"/>
      <c r="J191" s="3"/>
      <c r="K191" s="541"/>
      <c r="L191" s="54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spans="1:58" x14ac:dyDescent="0.2">
      <c r="A192" s="841"/>
      <c r="B192" s="3"/>
      <c r="C192" s="3"/>
      <c r="D192" s="3"/>
      <c r="E192" s="3"/>
      <c r="F192" s="3"/>
      <c r="G192" s="3"/>
      <c r="H192" s="3"/>
      <c r="I192" s="3"/>
      <c r="J192" s="3"/>
      <c r="K192" s="541"/>
      <c r="L192" s="54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row>
    <row r="193" spans="1:58" x14ac:dyDescent="0.2">
      <c r="A193" s="841"/>
      <c r="B193" s="3"/>
      <c r="C193" s="3"/>
      <c r="D193" s="3"/>
      <c r="E193" s="3"/>
      <c r="F193" s="3"/>
      <c r="G193" s="3"/>
      <c r="H193" s="3"/>
      <c r="I193" s="3"/>
      <c r="J193" s="3"/>
      <c r="K193" s="541"/>
      <c r="L193" s="54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spans="1:58" x14ac:dyDescent="0.2">
      <c r="A194" s="841"/>
      <c r="B194" s="3"/>
      <c r="C194" s="3"/>
      <c r="D194" s="3"/>
      <c r="E194" s="3"/>
      <c r="F194" s="3"/>
      <c r="G194" s="3"/>
      <c r="H194" s="3"/>
      <c r="I194" s="3"/>
      <c r="J194" s="3"/>
      <c r="K194" s="541"/>
      <c r="L194" s="54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spans="1:58" x14ac:dyDescent="0.2">
      <c r="A195" s="841"/>
      <c r="B195" s="3"/>
      <c r="C195" s="3"/>
      <c r="D195" s="3"/>
      <c r="E195" s="3"/>
      <c r="F195" s="3"/>
      <c r="G195" s="3"/>
      <c r="H195" s="3"/>
      <c r="I195" s="3"/>
      <c r="J195" s="3"/>
      <c r="K195" s="541"/>
      <c r="L195" s="54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spans="1:58" x14ac:dyDescent="0.2">
      <c r="A196" s="841"/>
      <c r="B196" s="3"/>
      <c r="C196" s="3"/>
      <c r="D196" s="3"/>
      <c r="E196" s="3"/>
      <c r="F196" s="3"/>
      <c r="G196" s="3"/>
      <c r="H196" s="3"/>
      <c r="I196" s="3"/>
      <c r="J196" s="3"/>
      <c r="K196" s="541"/>
      <c r="L196" s="54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spans="1:58" x14ac:dyDescent="0.2">
      <c r="A197" s="841"/>
      <c r="B197" s="3"/>
      <c r="C197" s="3"/>
      <c r="D197" s="3"/>
      <c r="E197" s="3"/>
      <c r="F197" s="3"/>
      <c r="G197" s="3"/>
      <c r="H197" s="3"/>
      <c r="I197" s="3"/>
      <c r="J197" s="3"/>
      <c r="K197" s="541"/>
      <c r="L197" s="54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sheetData>
  <sheetProtection algorithmName="SHA-512" hashValue="yW1BCP0jz04fVoZ2ljo5rYvWSUaFlDtKL/+9s0cCcyX7iAuL7XrC+P6gy6s9bqZ41fJ2/ixu1LQgPuoFECcbtg==" saltValue="xstDu07fvFC44BpddmaWNg==" spinCount="100000" sheet="1" formatColumns="0" formatRows="0"/>
  <conditionalFormatting sqref="B3">
    <cfRule type="cellIs" dxfId="14" priority="11" operator="equal">
      <formula>0</formula>
    </cfRule>
  </conditionalFormatting>
  <dataValidations count="5">
    <dataValidation allowBlank="1" showInputMessage="1" showErrorMessage="1" promptTitle="Note:" prompt="Please enter Minimum, Ad Valorem Rate and Base Amount for this rating category/sub-category on the same row." sqref="H98:H147 H43:H67 H69:H78 H80:H89 H22:H41 Q98:Q147 Z98:Z147 AI98:AI147 AR98:AR147 BA98:BA147"/>
    <dataValidation operator="greaterThan" allowBlank="1" showInputMessage="1" showErrorMessage="1" errorTitle="Data Entry Error" error="Number must be greater than zero." promptTitle="Note:" prompt="Please enter Minimum, Ad Valorem Rate and Base Amount for this rating category/sub-category on the same row." sqref="E98:E147 AX98:AX147 E22:E26 E69:E78 E29:E41 E80:E89 N98:N147 W98:W147 AF98:AF147 AO98:AO147 E43:E67"/>
    <dataValidation allowBlank="1" showInputMessage="1" showErrorMessage="1" promptTitle="Note:" prompt="Total land value includes all rateable parcels including those parcels subject to a minimum." sqref="J80:J89 J22:J41 BC98:BC147 S22 J98:J147 J69:J78 AB22 AK22 AT22 J43:J67 S98:S147 AB98:AB147 AK98:AK147 AT98:AT147 BC22"/>
    <dataValidation allowBlank="1" showInputMessage="1" showErrorMessage="1" promptTitle="Note:" prompt="Please enter Minimum, Ad Valorem Rate and Base Amount for this rating category/sub-category on the same row._x000a__x000a_Section 500 permits a maximum of 50% of category/sub-category income as a Base Amount." sqref="F80:F89 F98:F147 AY98:AY147 F69:F78 F29:F41 F22:F26 O98:O147 X98:X147 AG98:AG147 AP98:AP147 F43:F67"/>
    <dataValidation allowBlank="1" showErrorMessage="1" promptTitle="Note:" prompt="Do not forget to enter base date at the top of this form._x000a_" sqref="L166 U166 AD166 AM166 AV166 BE166"/>
  </dataValidations>
  <printOptions horizontalCentered="1"/>
  <pageMargins left="0.74803149606299213" right="0.74803149606299213" top="0.15748031496062992" bottom="0.15748031496062992" header="0.15748031496062992" footer="0.15748031496062992"/>
  <pageSetup paperSize="9" scale="74" fitToHeight="0" orientation="landscape" r:id="rId1"/>
  <headerFooter alignWithMargins="0">
    <oddHeader>&amp;C&amp;"Calibri"&amp;10&amp;KFF0000 UNOFFICIAL&amp;1#_x000D_</oddHeader>
    <oddFooter>&amp;C_x000D_&amp;1#&amp;"Calibri"&amp;10&amp;KFF0000 UNOFFICIAL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C3028E07767B14B9CE1058FE04BA169" ma:contentTypeVersion="17" ma:contentTypeDescription="Create a new document." ma:contentTypeScope="" ma:versionID="a95644985ae90ddbedbd803a35864772">
  <xsd:schema xmlns:xsd="http://www.w3.org/2001/XMLSchema" xmlns:xs="http://www.w3.org/2001/XMLSchema" xmlns:p="http://schemas.microsoft.com/office/2006/metadata/properties" xmlns:ns2="8954c74a-0647-486f-a0c4-a23d5bd4d0ac" xmlns:ns3="a8c694c2-8810-45bc-8916-eeae2125cc56" targetNamespace="http://schemas.microsoft.com/office/2006/metadata/properties" ma:root="true" ma:fieldsID="13cc263c59e7cf4d8bda0d054fd9eacb" ns2:_="" ns3:_="">
    <xsd:import namespace="8954c74a-0647-486f-a0c4-a23d5bd4d0ac"/>
    <xsd:import namespace="a8c694c2-8810-45bc-8916-eeae2125cc5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54c74a-0647-486f-a0c4-a23d5bd4d0ac"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e50dd8ae-f9a1-4e32-9db0-febe03a25443}" ma:internalName="TaxCatchAll" ma:showField="CatchAllData" ma:web="8954c74a-0647-486f-a0c4-a23d5bd4d0a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8c694c2-8810-45bc-8916-eeae2125cc5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8c694c2-8810-45bc-8916-eeae2125cc56">
      <Terms xmlns="http://schemas.microsoft.com/office/infopath/2007/PartnerControls"/>
    </lcf76f155ced4ddcb4097134ff3c332f>
    <TaxCatchAll xmlns="8954c74a-0647-486f-a0c4-a23d5bd4d0ac" xsi:nil="true"/>
    <SharedWithUsers xmlns="8954c74a-0647-486f-a0c4-a23d5bd4d0ac">
      <UserInfo>
        <DisplayName>Jisoo Mok</DisplayName>
        <AccountId>93</AccountId>
        <AccountType/>
      </UserInfo>
      <UserInfo>
        <DisplayName>Bee Thompson</DisplayName>
        <AccountId>89</AccountId>
        <AccountType/>
      </UserInfo>
    </SharedWithUsers>
  </documentManagement>
</p:properties>
</file>

<file path=customXml/itemProps1.xml><?xml version="1.0" encoding="utf-8"?>
<ds:datastoreItem xmlns:ds="http://schemas.openxmlformats.org/officeDocument/2006/customXml" ds:itemID="{84FF12DC-CD9E-4870-AB39-1D26A5737FBE}">
  <ds:schemaRefs>
    <ds:schemaRef ds:uri="http://schemas.microsoft.com/sharepoint/v3/contenttype/forms"/>
  </ds:schemaRefs>
</ds:datastoreItem>
</file>

<file path=customXml/itemProps2.xml><?xml version="1.0" encoding="utf-8"?>
<ds:datastoreItem xmlns:ds="http://schemas.openxmlformats.org/officeDocument/2006/customXml" ds:itemID="{6C34DF94-4CC6-4256-A0E2-DAA3AFB9A3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54c74a-0647-486f-a0c4-a23d5bd4d0ac"/>
    <ds:schemaRef ds:uri="a8c694c2-8810-45bc-8916-eeae2125cc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B90D54-DDD2-4C94-909C-E3BCFC65536F}">
  <ds:schemaRefs>
    <ds:schemaRef ds:uri="http://purl.org/dc/elements/1.1/"/>
    <ds:schemaRef ds:uri="http://schemas.microsoft.com/office/2006/metadata/properties"/>
    <ds:schemaRef ds:uri="http://purl.org/dc/terms/"/>
    <ds:schemaRef ds:uri="a8c694c2-8810-45bc-8916-eeae2125cc56"/>
    <ds:schemaRef ds:uri="http://schemas.microsoft.com/office/2006/documentManagement/types"/>
    <ds:schemaRef ds:uri="http://schemas.microsoft.com/office/infopath/2007/PartnerControls"/>
    <ds:schemaRef ds:uri="http://schemas.openxmlformats.org/package/2006/metadata/core-properties"/>
    <ds:schemaRef ds:uri="8954c74a-0647-486f-a0c4-a23d5bd4d0a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Other QA scope</vt:lpstr>
      <vt:lpstr>Export</vt:lpstr>
      <vt:lpstr>WS0 - Input data</vt:lpstr>
      <vt:lpstr>Overview</vt:lpstr>
      <vt:lpstr>WS1-Application</vt:lpstr>
      <vt:lpstr>WS2-Proposal</vt:lpstr>
      <vt:lpstr>WS3 - Notional General Income</vt:lpstr>
      <vt:lpstr>WS4 - Yr 1 YIELD</vt:lpstr>
      <vt:lpstr>WS5 - Yrs 2-7 YIELD</vt:lpstr>
      <vt:lpstr>WS6 - PGI summary</vt:lpstr>
      <vt:lpstr>WS7 - Impact on Rates</vt:lpstr>
      <vt:lpstr>WS8 - Expenditure Program</vt:lpstr>
      <vt:lpstr>WS9 - Financials</vt:lpstr>
      <vt:lpstr>WS10 - LTFP</vt:lpstr>
      <vt:lpstr>WS11 - Ratios</vt:lpstr>
      <vt:lpstr>WS12 - Other</vt:lpstr>
      <vt:lpstr>No</vt:lpstr>
      <vt:lpstr>'Other QA scope'!Print_Area</vt:lpstr>
      <vt:lpstr>Overview!Print_Area</vt:lpstr>
      <vt:lpstr>'WS10 - LTFP'!Print_Area</vt:lpstr>
      <vt:lpstr>'WS11 - Ratios'!Print_Area</vt:lpstr>
      <vt:lpstr>'WS1-Application'!Print_Area</vt:lpstr>
      <vt:lpstr>'WS2-Proposal'!Print_Area</vt:lpstr>
      <vt:lpstr>'WS3 - Notional General Income'!Print_Area</vt:lpstr>
      <vt:lpstr>'WS4 - Yr 1 YIELD'!Print_Area</vt:lpstr>
      <vt:lpstr>'WS5 - Yrs 2-7 YIELD'!Print_Area</vt:lpstr>
      <vt:lpstr>'WS6 - PGI summary'!Print_Area</vt:lpstr>
      <vt:lpstr>'WS7 - Impact on Rates'!Print_Area</vt:lpstr>
      <vt:lpstr>'WS8 - Expenditure Program'!Print_Area</vt:lpstr>
      <vt:lpstr>'WS9 - Financials'!Print_Area</vt:lpstr>
      <vt:lpstr>Year0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Nicole Haddock</dc:creator>
  <cp:keywords/>
  <dc:description/>
  <cp:lastModifiedBy>Murray, Sarah</cp:lastModifiedBy>
  <cp:revision/>
  <cp:lastPrinted>2023-12-12T22:12:41Z</cp:lastPrinted>
  <dcterms:created xsi:type="dcterms:W3CDTF">1998-01-08T05:01:38Z</dcterms:created>
  <dcterms:modified xsi:type="dcterms:W3CDTF">2024-02-07T04:10:46Z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b0a398-bec5-4ae3-aae5-d55f4fc69eca_Enabled">
    <vt:lpwstr>true</vt:lpwstr>
  </property>
  <property fmtid="{D5CDD505-2E9C-101B-9397-08002B2CF9AE}" pid="3" name="MSIP_Label_b0b0a398-bec5-4ae3-aae5-d55f4fc69eca_SetDate">
    <vt:lpwstr>2023-07-23T23:24:41Z</vt:lpwstr>
  </property>
  <property fmtid="{D5CDD505-2E9C-101B-9397-08002B2CF9AE}" pid="4" name="MSIP_Label_b0b0a398-bec5-4ae3-aae5-d55f4fc69eca_Method">
    <vt:lpwstr>Privileged</vt:lpwstr>
  </property>
  <property fmtid="{D5CDD505-2E9C-101B-9397-08002B2CF9AE}" pid="5" name="MSIP_Label_b0b0a398-bec5-4ae3-aae5-d55f4fc69eca_Name">
    <vt:lpwstr>UNOFFICIAL</vt:lpwstr>
  </property>
  <property fmtid="{D5CDD505-2E9C-101B-9397-08002B2CF9AE}" pid="6" name="MSIP_Label_b0b0a398-bec5-4ae3-aae5-d55f4fc69eca_SiteId">
    <vt:lpwstr>2bea2e25-92fe-44a6-b83b-69dd33436148</vt:lpwstr>
  </property>
  <property fmtid="{D5CDD505-2E9C-101B-9397-08002B2CF9AE}" pid="7" name="MSIP_Label_b0b0a398-bec5-4ae3-aae5-d55f4fc69eca_ActionId">
    <vt:lpwstr>c35aa712-1273-4cf4-b211-29dcdf29f8f8</vt:lpwstr>
  </property>
  <property fmtid="{D5CDD505-2E9C-101B-9397-08002B2CF9AE}" pid="8" name="MSIP_Label_b0b0a398-bec5-4ae3-aae5-d55f4fc69eca_ContentBits">
    <vt:lpwstr>3</vt:lpwstr>
  </property>
  <property fmtid="{D5CDD505-2E9C-101B-9397-08002B2CF9AE}" pid="9" name="ContentTypeId">
    <vt:lpwstr>0x0101003C3028E07767B14B9CE1058FE04BA169</vt:lpwstr>
  </property>
  <property fmtid="{D5CDD505-2E9C-101B-9397-08002B2CF9AE}" pid="10" name="Order">
    <vt:r8>287300</vt:r8>
  </property>
  <property fmtid="{D5CDD505-2E9C-101B-9397-08002B2CF9AE}" pid="11" name="_ExtendedDescription">
    <vt:lpwstr/>
  </property>
  <property fmtid="{D5CDD505-2E9C-101B-9397-08002B2CF9AE}" pid="12" name="MediaServiceImageTags">
    <vt:lpwstr/>
  </property>
</Properties>
</file>